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1. Assumptions" sheetId="2" state="visible" r:id="rId4"/>
    <sheet name="2. Cash flow" sheetId="3" state="visible" r:id="rId5"/>
    <sheet name="3. Covenants" sheetId="4" state="visible" r:id="rId6"/>
    <sheet name="4. Scenarios" sheetId="5" state="visible" r:id="rId7"/>
    <sheet name="5. Hedge and recourse"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<sst xmlns="http://schemas.openxmlformats.org/spreadsheetml/2006/main" count="276" uniqueCount="224">
  <si>
    <t xml:space="preserve">The extension model</t>
  </si>
  <si>
    <t xml:space="preserve">Companion workbook to The Real Estate Workout — Julian R. Sterling</t>
  </si>
  <si>
    <t xml:space="preserve">What this workbook is</t>
  </si>
  <si>
    <t xml:space="preserve">An extension is the option that looks best on paper and is hardest to make real. This workbook builds it year by year — income, interest at the increased margin, amortisation, capex and the exit — re-tests the covenants each year, and computes the exit yield at which the loan is repaid in full.</t>
  </si>
  <si>
    <t xml:space="preserve">It also prices the two things the four-option comparison leaves out: the hedge, and the sponsor guarantee.</t>
  </si>
  <si>
    <t xml:space="preserve">The six sheets</t>
  </si>
  <si>
    <t xml:space="preserve">1. Assumptions — the plan the borrower is proposing, and the terms the lender would attach to it.</t>
  </si>
  <si>
    <t xml:space="preserve">2. Cash flow — three years, with the cash the lender receives capped at the income the building earns, the shortfall added to the balance, and the capex the lender advances paid out.</t>
  </si>
  <si>
    <t xml:space="preserve">3. Covenants — loan to value and interest cover re-tested each year against the levels a reset would set.</t>
  </si>
  <si>
    <t xml:space="preserve">4. Scenarios — a grid over year-3 income and exit yield, the exit yields of Chapter 4, the case where the letting plan fails, and the exit yield at which the extension falls to the payoff.</t>
  </si>
  <si>
    <t xml:space="preserve">5. Hedge and recourse — the swap mark to market and what the guarantee is actually worth, both as points of recovery.</t>
  </si>
  <si>
    <t xml:space="preserve">6. Checks — every figure the book prints, recomputed and compared.</t>
  </si>
  <si>
    <t xml:space="preserve">Where to start</t>
  </si>
  <si>
    <t xml:space="preserve">Sheet 4. Find the combination of income and exit yield you actually believe, and read the recovery. Then look at how much of the grid is shaded against the extension. An extension that only works in one corner is not a plan; it is a hope with a term sheet attached.</t>
  </si>
  <si>
    <t xml:space="preserve">Revised 24 September 2026</t>
  </si>
  <si>
    <t xml:space="preserve">Revised 24 September 2026. The cash flow on sheet 2 counted 1.24 a year of amortisation on top of income already spent on interest, and never paid out the 1.5 of capex the lender advances: in year one the lender "received" 6.39 from a building earning 5.15. Chapter 33 says to cap cash at the income; the file now does. Present value 80.33, not 81.75; recovery 97.4 per cent, not 99.1; balance at exit 86.74, not 82.73; break-even exit yield 6.69 per cent, not 7.01. Sheet 4 now moves year-3 cash with year-3 income, and shows what the book asserts without computing: if income stays at 5.15 the extension still returns 74.52, far above enforcement. The checks sheet ends ALL OK.</t>
  </si>
  <si>
    <t xml:space="preserve">Assumptions</t>
  </si>
  <si>
    <t xml:space="preserve">The loan today</t>
  </si>
  <si>
    <t xml:space="preserve">Loan outstanding (EUR m)</t>
  </si>
  <si>
    <t xml:space="preserve">Margin</t>
  </si>
  <si>
    <t xml:space="preserve">Base rate</t>
  </si>
  <si>
    <t xml:space="preserve">Market yield today</t>
  </si>
  <si>
    <t xml:space="preserve">Discount rate</t>
  </si>
  <si>
    <t xml:space="preserve">The plan the borrower proposes</t>
  </si>
  <si>
    <t xml:space="preserve">Net operating income, year 1 (EUR m)</t>
  </si>
  <si>
    <t xml:space="preserve">Net operating income, year 2 (EUR m)</t>
  </si>
  <si>
    <t xml:space="preserve">Net operating income, year 3 (EUR m)</t>
  </si>
  <si>
    <t xml:space="preserve">CARRIES THE ANSWER — the exit value is this figure capitalised</t>
  </si>
  <si>
    <t xml:space="preserve">Letting capex required (EUR m)</t>
  </si>
  <si>
    <t xml:space="preserve">New sponsor equity (EUR m)</t>
  </si>
  <si>
    <t xml:space="preserve">Funded ahead of any lender money</t>
  </si>
  <si>
    <t xml:space="preserve">Exit yield in three years</t>
  </si>
  <si>
    <t xml:space="preserve">CARRIES THE ANSWER — 25 basis points is EUR 2.3 m of exit value</t>
  </si>
  <si>
    <t xml:space="preserve">Sale costs on exit</t>
  </si>
  <si>
    <t xml:space="preserve">The terms the lender attaches</t>
  </si>
  <si>
    <t xml:space="preserve">Term (years)</t>
  </si>
  <si>
    <t xml:space="preserve">Margin uplift</t>
  </si>
  <si>
    <t xml:space="preserve">Fee, as a share of the loan</t>
  </si>
  <si>
    <t xml:space="preserve">Cash at signing</t>
  </si>
  <si>
    <t xml:space="preserve">Amortisation per year, as a share of the loan</t>
  </si>
  <si>
    <t xml:space="preserve">Interest cover covenant, as reset</t>
  </si>
  <si>
    <t xml:space="preserve">Loan to value covenant, as reset</t>
  </si>
  <si>
    <t xml:space="preserve">The alternative it is measured against</t>
  </si>
  <si>
    <t xml:space="preserve">Payoff offered (cents on the euro)</t>
  </si>
  <si>
    <t xml:space="preserve">Years to completion of a payoff</t>
  </si>
  <si>
    <t xml:space="preserve">The hedge</t>
  </si>
  <si>
    <t xml:space="preserve">Notional (EUR m)</t>
  </si>
  <si>
    <t xml:space="preserve">Fixed rate paid</t>
  </si>
  <si>
    <t xml:space="preserve">Forward curve for the residual term</t>
  </si>
  <si>
    <t xml:space="preserve">Years remaining</t>
  </si>
  <si>
    <t xml:space="preserve">The sponsor guarantee</t>
  </si>
  <si>
    <t xml:space="preserve">Share of interest guaranteed</t>
  </si>
  <si>
    <t xml:space="preserve">Cap (EUR m)</t>
  </si>
  <si>
    <t xml:space="preserve">Share actually collectable</t>
  </si>
  <si>
    <t xml:space="preserve">The guarantor's unencumbered net worth, not the cap</t>
  </si>
  <si>
    <t xml:space="preserve">Years to judgment and collection</t>
  </si>
  <si>
    <t xml:space="preserve">The extension, year by year</t>
  </si>
  <si>
    <t xml:space="preserve">Year 1</t>
  </si>
  <si>
    <t xml:space="preserve">Year 2</t>
  </si>
  <si>
    <t xml:space="preserve">Year 3</t>
  </si>
  <si>
    <t xml:space="preserve">Opening balance</t>
  </si>
  <si>
    <t xml:space="preserve">Net operating income</t>
  </si>
  <si>
    <t xml:space="preserve">Interest at the increased margin</t>
  </si>
  <si>
    <t xml:space="preserve">Interest shortfall</t>
  </si>
  <si>
    <t xml:space="preserve">Income below interest. The plan does not cover its own cost in year one</t>
  </si>
  <si>
    <t xml:space="preserve">Amortisation paid (scheduled 1.5% a year, from income left after interest)</t>
  </si>
  <si>
    <t xml:space="preserve">Revised: the first file added the full 1.24 on top of income already spent on interest. Income covers interest in no year, so none is paid</t>
  </si>
  <si>
    <t xml:space="preserve">Capex funded by the loan</t>
  </si>
  <si>
    <t xml:space="preserve">Sponsor equity is spent first; only the excess is lender money</t>
  </si>
  <si>
    <t xml:space="preserve">Closing balance</t>
  </si>
  <si>
    <t xml:space="preserve">Net cash to the lender (income applied, less the capex it advances)</t>
  </si>
  <si>
    <t xml:space="preserve">Revised: capped at the income the building earns (Chapter 33); the 1.5 of capex the lender advances is paid out in year 1</t>
  </si>
  <si>
    <t xml:space="preserve">Discount factor</t>
  </si>
  <si>
    <t xml:space="preserve">Present value of the year</t>
  </si>
  <si>
    <t xml:space="preserve">The exit</t>
  </si>
  <si>
    <t xml:space="preserve">Value on exit</t>
  </si>
  <si>
    <t xml:space="preserve">Year 3 income capitalised at the exit yield</t>
  </si>
  <si>
    <t xml:space="preserve">Net of sale costs</t>
  </si>
  <si>
    <t xml:space="preserve">Balance outstanding</t>
  </si>
  <si>
    <t xml:space="preserve">Repaid to the lender</t>
  </si>
  <si>
    <t xml:space="preserve">Capped at the balance</t>
  </si>
  <si>
    <t xml:space="preserve">Shortfall at exit</t>
  </si>
  <si>
    <t xml:space="preserve">Present value of the exit</t>
  </si>
  <si>
    <t xml:space="preserve">Fee received at signing</t>
  </si>
  <si>
    <t xml:space="preserve">Present value of the extension</t>
  </si>
  <si>
    <t xml:space="preserve">Recovery on the loan</t>
  </si>
  <si>
    <t xml:space="preserve">Against the payoff offered</t>
  </si>
  <si>
    <t xml:space="preserve">Present value of the payoff</t>
  </si>
  <si>
    <t xml:space="preserve">Advantage of extending</t>
  </si>
  <si>
    <t xml:space="preserve">Before the three years of execution risk the grid on sheet 4 prices</t>
  </si>
  <si>
    <t xml:space="preserve">Sponsor's position at exit: net sale less the balance (EUR m)</t>
  </si>
  <si>
    <t xml:space="preserve">Chapter 18: what the EUR 3.0 m of new equity buys if the plan works</t>
  </si>
  <si>
    <t xml:space="preserve">The covenants, re-tested each year</t>
  </si>
  <si>
    <t xml:space="preserve">An extension whose covenants breach in year two has not been thought through.</t>
  </si>
  <si>
    <t xml:space="preserve">Note</t>
  </si>
  <si>
    <t xml:space="preserve">Value</t>
  </si>
  <si>
    <t xml:space="preserve">Held at today's yield, not the exit yield</t>
  </si>
  <si>
    <t xml:space="preserve">Balance</t>
  </si>
  <si>
    <t xml:space="preserve">Loan to value</t>
  </si>
  <si>
    <t xml:space="preserve">Covenant</t>
  </si>
  <si>
    <t xml:space="preserve">Headroom, in value (EUR m)</t>
  </si>
  <si>
    <t xml:space="preserve">How far the building can fall before the test is missed</t>
  </si>
  <si>
    <t xml:space="preserve">Interest cover</t>
  </si>
  <si>
    <t xml:space="preserve">Compliant?</t>
  </si>
  <si>
    <t xml:space="preserve">Both tests, both years</t>
  </si>
  <si>
    <t xml:space="preserve">Recovery, by year-3 income and exit yield</t>
  </si>
  <si>
    <t xml:space="preserve">Everything else held at the assumptions. Year-3 income moves both the year-3 cash and the exit value. Revised: cash capped at income, capex advance paid out.</t>
  </si>
  <si>
    <t xml:space="preserve">Year-3 income \ exit yield</t>
  </si>
  <si>
    <t xml:space="preserve">Recovery on the payoff offered, for comparison</t>
  </si>
  <si>
    <t xml:space="preserve">Cells below that figure are combinations in which the payoff is the better option.</t>
  </si>
  <si>
    <t xml:space="preserve">Break-even exit yield</t>
  </si>
  <si>
    <t xml:space="preserve">Value required at exit to repay in full (EUR m)</t>
  </si>
  <si>
    <t xml:space="preserve">The exit yields of Chapter 4, on the business plan</t>
  </si>
  <si>
    <t xml:space="preserve">Exit yield</t>
  </si>
  <si>
    <t xml:space="preserve">Value at exit</t>
  </si>
  <si>
    <t xml:space="preserve">Repaid</t>
  </si>
  <si>
    <t xml:space="preserve">Present value</t>
  </si>
  <si>
    <t xml:space="preserve">Recovery</t>
  </si>
  <si>
    <t xml:space="preserve">If the letting plan fails: income stays at the year-1 level for three years</t>
  </si>
  <si>
    <t xml:space="preserve">Interest</t>
  </si>
  <si>
    <t xml:space="preserve">Amortisation paid</t>
  </si>
  <si>
    <t xml:space="preserve">Capex advanced</t>
  </si>
  <si>
    <t xml:space="preserve">Net cash to the lender</t>
  </si>
  <si>
    <t xml:space="preserve">Value at exit, at the assumed exit yield</t>
  </si>
  <si>
    <t xml:space="preserve">Repaid at exit</t>
  </si>
  <si>
    <t xml:space="preserve">Present value if the plan fails</t>
  </si>
  <si>
    <t xml:space="preserve">Still far above enforcement (46.42 in the Harbour Quay workbook): a flat income at a normal sale is not what makes the extension lose. A failure that ends in enforcement is (Chapter 7)</t>
  </si>
  <si>
    <t xml:space="preserve">Against the payoff on the table (EUR m)</t>
  </si>
  <si>
    <t xml:space="preserve">Exit yield at which the extension falls to the payoff's present value (Chapter 26)</t>
  </si>
  <si>
    <t xml:space="preserve">The hedge and the guarantee</t>
  </si>
  <si>
    <t xml:space="preserve">Two items the four-option comparison leaves out, and both are worth points.</t>
  </si>
  <si>
    <t xml:space="preserve">The interest rate swap</t>
  </si>
  <si>
    <t xml:space="preserve">Forward curve, residual term</t>
  </si>
  <si>
    <t xml:space="preserve">Spread in the borrower's favour</t>
  </si>
  <si>
    <t xml:space="preserve">Positive: the borrower pays below market, so the hedge is an asset</t>
  </si>
  <si>
    <t xml:space="preserve">Mark to market (EUR m)</t>
  </si>
  <si>
    <t xml:space="preserve">Semi-annual accruals discounted at the lender's rate. An indicative figure — ask the counterparty for its close-out calculation before relying on it</t>
  </si>
  <si>
    <t xml:space="preserve">As points of recovery</t>
  </si>
  <si>
    <t xml:space="preserve">Annual interest (EUR m)</t>
  </si>
  <si>
    <t xml:space="preserve">Guaranteed share</t>
  </si>
  <si>
    <t xml:space="preserve">Three years of the guaranteed share (EUR m)</t>
  </si>
  <si>
    <t xml:space="preserve">Contractual cover (EUR m)</t>
  </si>
  <si>
    <t xml:space="preserve">The lesser of the two</t>
  </si>
  <si>
    <t xml:space="preserve">Collectable share</t>
  </si>
  <si>
    <t xml:space="preserve">The guarantor's unencumbered net worth, divided by the number of guarantees it has given</t>
  </si>
  <si>
    <t xml:space="preserve">Collectable amount (EUR m)</t>
  </si>
  <si>
    <t xml:space="preserve">Present value (EUR m)</t>
  </si>
  <si>
    <t xml:space="preserve">What the word “guarantee” is actually worth</t>
  </si>
  <si>
    <t xml:space="preserve">Checks — every figure the book prints, against what this workbook computes</t>
  </si>
  <si>
    <t xml:space="preserve">The Real Estate Workout — Julian R. Sterling. Column D is a live formula; the rows without a book figure hold for any inputs.</t>
  </si>
  <si>
    <t xml:space="preserve">Source</t>
  </si>
  <si>
    <t xml:space="preserve">Check</t>
  </si>
  <si>
    <t xml:space="preserve">The book</t>
  </si>
  <si>
    <t xml:space="preserve">This file</t>
  </si>
  <si>
    <t xml:space="preserve">Status</t>
  </si>
  <si>
    <t xml:space="preserve">Ch. 4</t>
  </si>
  <si>
    <t xml:space="preserve">Year 1 interest at the increased margin, EUR m</t>
  </si>
  <si>
    <t xml:space="preserve">Year 1 interest shortfall, EUR m</t>
  </si>
  <si>
    <t xml:space="preserve">Year 2 interest, EUR m</t>
  </si>
  <si>
    <t xml:space="preserve">revised: 6.38</t>
  </si>
  <si>
    <t xml:space="preserve">Year 3 interest, EUR m</t>
  </si>
  <si>
    <t xml:space="preserve">revised: 6.35</t>
  </si>
  <si>
    <t xml:space="preserve">Year 2 interest shortfall, EUR m</t>
  </si>
  <si>
    <t xml:space="preserve">revised: 0.93</t>
  </si>
  <si>
    <t xml:space="preserve">Year 3 interest shortfall, EUR m</t>
  </si>
  <si>
    <t xml:space="preserve">revised: 0.40</t>
  </si>
  <si>
    <t xml:space="preserve">Scheduled amortisation a year, EUR m</t>
  </si>
  <si>
    <t xml:space="preserve">Amortisation actually paid over the three years</t>
  </si>
  <si>
    <t xml:space="preserve">income never covers the interest</t>
  </si>
  <si>
    <t xml:space="preserve">Year 1 net cash to the lender, EUR m</t>
  </si>
  <si>
    <t xml:space="preserve">revised: 6.39</t>
  </si>
  <si>
    <t xml:space="preserve">Balance end of year 1, EUR m</t>
  </si>
  <si>
    <t xml:space="preserve">revised: 83.88</t>
  </si>
  <si>
    <t xml:space="preserve">Balance end of year 2, EUR m</t>
  </si>
  <si>
    <t xml:space="preserve">revised: 83.57</t>
  </si>
  <si>
    <t xml:space="preserve">Balance at exit, EUR m</t>
  </si>
  <si>
    <t xml:space="preserve">revised: 82.73</t>
  </si>
  <si>
    <t xml:space="preserve">Value on exit, EUR m</t>
  </si>
  <si>
    <t xml:space="preserve">Net sale proceeds, EUR m</t>
  </si>
  <si>
    <t xml:space="preserve">Extension fee, EUR m</t>
  </si>
  <si>
    <t xml:space="preserve">Extension present value, EUR m</t>
  </si>
  <si>
    <t xml:space="preserve">revised: 81.75</t>
  </si>
  <si>
    <t xml:space="preserve">Extension recovery</t>
  </si>
  <si>
    <t xml:space="preserve">revised: 99.1 per cent</t>
  </si>
  <si>
    <t xml:space="preserve">Exit at 7.00%: present value, EUR m</t>
  </si>
  <si>
    <t xml:space="preserve">revised: 81.75 (the balance was repaid in full up to 7.01 per cent)</t>
  </si>
  <si>
    <t xml:space="preserve">Exit at 7.50%: repaid, EUR m</t>
  </si>
  <si>
    <t xml:space="preserve">Exit at 7.50%: present value, EUR m</t>
  </si>
  <si>
    <t xml:space="preserve">revised: 77.59</t>
  </si>
  <si>
    <t xml:space="preserve">If income stays at 5.15: value at exit, EUR m</t>
  </si>
  <si>
    <t xml:space="preserve">If income stays at 5.15: present value, EUR m</t>
  </si>
  <si>
    <t xml:space="preserve">the first edition said it returns less than enforcement</t>
  </si>
  <si>
    <t xml:space="preserve">Ch. 5</t>
  </si>
  <si>
    <t xml:space="preserve">Payoff present value, EUR m</t>
  </si>
  <si>
    <t xml:space="preserve">The extension against the payoff, EUR m</t>
  </si>
  <si>
    <t xml:space="preserve">revised: 24.85</t>
  </si>
  <si>
    <t xml:space="preserve">Ch. 18</t>
  </si>
  <si>
    <t xml:space="preserve">Sponsor's position at exit if the plan works, EUR m</t>
  </si>
  <si>
    <t xml:space="preserve">revised: 10.09</t>
  </si>
  <si>
    <t xml:space="preserve">Ch. 21</t>
  </si>
  <si>
    <t xml:space="preserve">Hedge mark to market, EUR m</t>
  </si>
  <si>
    <t xml:space="preserve">Ch. 22</t>
  </si>
  <si>
    <t xml:space="preserve">Contractual cover under the guarantee, EUR m</t>
  </si>
  <si>
    <t xml:space="preserve">Collectable amount, EUR m</t>
  </si>
  <si>
    <t xml:space="preserve">Guarantee present value, EUR m</t>
  </si>
  <si>
    <t xml:space="preserve">Guarantee as points of recovery</t>
  </si>
  <si>
    <t xml:space="preserve">Ch. 30</t>
  </si>
  <si>
    <t xml:space="preserve">Guarantee overstated at face, EUR m</t>
  </si>
  <si>
    <t xml:space="preserve">Ch. 26</t>
  </si>
  <si>
    <t xml:space="preserve">Break-even exit yield (repaid in full)</t>
  </si>
  <si>
    <t xml:space="preserve">revised: 7.01 per cent</t>
  </si>
  <si>
    <t xml:space="preserve">Exit yield at which the extension falls to the payoff</t>
  </si>
  <si>
    <t xml:space="preserve">revised: 11.48 per cent</t>
  </si>
  <si>
    <t xml:space="preserve">Any inputs</t>
  </si>
  <si>
    <t xml:space="preserve">Net cash to the lender never exceeds the income, any year</t>
  </si>
  <si>
    <t xml:space="preserve">Chapter 33</t>
  </si>
  <si>
    <t xml:space="preserve">Balance at exit = opening balance + interest - net cash received</t>
  </si>
  <si>
    <t xml:space="preserve">Repaid at exit is never more than the balance, nor more than the net sale</t>
  </si>
  <si>
    <t xml:space="preserve">At the break-even exit yield the net sale equals the balance</t>
  </si>
  <si>
    <t xml:space="preserve">At the switching exit yield the extension returns exactly the payoff</t>
  </si>
  <si>
    <t xml:space="preserve">The grid, at the plan's income and exit yield, gives the recovery of sheet 2</t>
  </si>
  <si>
    <t xml:space="preserve">row 7, column D</t>
  </si>
  <si>
    <t xml:space="preserve">All checks</t>
  </si>
  <si>
    <t xml:space="preserve">Tolerances are the precision the book prints at: 0.05 for one decimal, 0.005 for two, 0.0005 for a percentage to one decimal. A check that widens its tolerance until it passes is not a check.</t>
  </si>
</sst>
</file>

<file path=xl/styles.xml><?xml version="1.0" encoding="utf-8"?>
<styleSheet xmlns="http://schemas.openxmlformats.org/spreadsheetml/2006/main">
  <numFmts count="10">
    <numFmt numFmtId="164" formatCode="General"/>
    <numFmt numFmtId="165" formatCode="#,##0.00"/>
    <numFmt numFmtId="166" formatCode="0.00%"/>
    <numFmt numFmtId="167" formatCode="0"/>
    <numFmt numFmtId="168" formatCode="0.00\x"/>
    <numFmt numFmtId="169" formatCode="0.00"/>
    <numFmt numFmtId="170" formatCode="0.0000"/>
    <numFmt numFmtId="171" formatCode="#,##0.0"/>
    <numFmt numFmtId="172" formatCode="0.0%"/>
    <numFmt numFmtId="173" formatCode="#,##0.000"/>
  </numFmts>
  <fonts count="14">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3"/>
      <color rgb="FF1F3864"/>
      <name val="Cambria"/>
      <family val="0"/>
      <charset val="1"/>
    </font>
    <font>
      <sz val="11"/>
      <color rgb="FF1F4E79"/>
      <name val="Cambria"/>
      <family val="0"/>
      <charset val="1"/>
    </font>
    <font>
      <b val="true"/>
      <sz val="11"/>
      <color rgb="FF1F4E79"/>
      <name val="Cambria"/>
      <family val="0"/>
      <charset val="1"/>
    </font>
    <font>
      <b val="true"/>
      <sz val="11"/>
      <name val="Cambria"/>
      <family val="0"/>
      <charset val="1"/>
    </font>
    <font>
      <sz val="11"/>
      <name val="Calibri"/>
      <family val="0"/>
      <charset val="1"/>
    </font>
    <font>
      <sz val="11"/>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DCE9F7"/>
        <bgColor rgb="FFCCFFFF"/>
      </patternFill>
    </fill>
    <fill>
      <patternFill patternType="solid">
        <fgColor rgb="FFFFF2CC"/>
        <bgColor rgb="FFFFFFFF"/>
      </patternFill>
    </fill>
    <fill>
      <patternFill patternType="solid">
        <fgColor rgb="FF1F3864"/>
        <bgColor rgb="FF1F4E79"/>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71" fontId="12" fillId="0" borderId="0" xfId="0" applyFont="true" applyBorder="false" applyAlignment="false" applyProtection="false">
      <alignment horizontal="general" vertical="bottom" textRotation="0" wrapText="false" indent="0" shrinkToFit="false"/>
      <protection locked="true" hidden="false"/>
    </xf>
    <xf numFmtId="172" fontId="12" fillId="0" borderId="0" xfId="0" applyFont="tru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center" textRotation="0" wrapText="tru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9" hidden="false" customHeight="true" outlineLevel="0" collapsed="false">
      <c r="A5" s="4" t="s">
        <v>3</v>
      </c>
    </row>
    <row r="6" customFormat="false" ht="25.5" hidden="false" customHeight="true" outlineLevel="0" collapsed="false">
      <c r="A6" s="4" t="s">
        <v>4</v>
      </c>
    </row>
    <row r="8" customFormat="false" ht="15" hidden="false" customHeight="false" outlineLevel="0" collapsed="false">
      <c r="A8" s="3" t="s">
        <v>5</v>
      </c>
    </row>
    <row r="9" customFormat="false" ht="15" hidden="false" customHeight="true" outlineLevel="0" collapsed="false">
      <c r="A9" s="4" t="s">
        <v>6</v>
      </c>
    </row>
    <row r="10" customFormat="false" ht="25.5" hidden="false" customHeight="true" outlineLevel="0" collapsed="false">
      <c r="A10" s="4" t="s">
        <v>7</v>
      </c>
    </row>
    <row r="11" customFormat="false" ht="25.5" hidden="false" customHeight="true" outlineLevel="0" collapsed="false">
      <c r="A11" s="4" t="s">
        <v>8</v>
      </c>
    </row>
    <row r="12" customFormat="false" ht="25.5" hidden="false" customHeight="true" outlineLevel="0" collapsed="false">
      <c r="A12" s="4" t="s">
        <v>9</v>
      </c>
    </row>
    <row r="13" customFormat="false" ht="25.5" hidden="false" customHeight="true" outlineLevel="0" collapsed="false">
      <c r="A13" s="4" t="s">
        <v>10</v>
      </c>
    </row>
    <row r="14" customFormat="false" ht="15" hidden="false" customHeight="true" outlineLevel="0" collapsed="false">
      <c r="A14" s="4" t="s">
        <v>11</v>
      </c>
    </row>
    <row r="16" customFormat="false" ht="15" hidden="false" customHeight="false" outlineLevel="0" collapsed="false">
      <c r="A16" s="3" t="s">
        <v>12</v>
      </c>
    </row>
    <row r="17" customFormat="false" ht="39" hidden="false" customHeight="true" outlineLevel="0" collapsed="false">
      <c r="A17" s="4" t="s">
        <v>13</v>
      </c>
    </row>
    <row r="19" customFormat="false" ht="15" hidden="false" customHeight="false" outlineLevel="0" collapsed="false">
      <c r="A19" s="3" t="s">
        <v>14</v>
      </c>
    </row>
    <row r="20" customFormat="false" ht="105" hidden="false" customHeight="true" outlineLevel="0" collapsed="false">
      <c r="A20" s="4"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3" min="3" style="0" width="58"/>
  </cols>
  <sheetData>
    <row r="1" customFormat="false" ht="16.15" hidden="false" customHeight="false" outlineLevel="0" collapsed="false">
      <c r="A1" s="5" t="s">
        <v>16</v>
      </c>
    </row>
    <row r="3" customFormat="false" ht="15" hidden="false" customHeight="false" outlineLevel="0" collapsed="false">
      <c r="A3" s="3" t="s">
        <v>17</v>
      </c>
    </row>
    <row r="4" customFormat="false" ht="15" hidden="false" customHeight="false" outlineLevel="0" collapsed="false">
      <c r="A4" s="0" t="s">
        <v>18</v>
      </c>
      <c r="B4" s="6" t="n">
        <v>82.5</v>
      </c>
    </row>
    <row r="5" customFormat="false" ht="15" hidden="false" customHeight="false" outlineLevel="0" collapsed="false">
      <c r="A5" s="0" t="s">
        <v>19</v>
      </c>
      <c r="B5" s="7" t="n">
        <v>0.0225</v>
      </c>
    </row>
    <row r="6" customFormat="false" ht="15" hidden="false" customHeight="false" outlineLevel="0" collapsed="false">
      <c r="A6" s="0" t="s">
        <v>20</v>
      </c>
      <c r="B6" s="7" t="n">
        <v>0.0385</v>
      </c>
    </row>
    <row r="7" customFormat="false" ht="15" hidden="false" customHeight="false" outlineLevel="0" collapsed="false">
      <c r="A7" s="0" t="s">
        <v>21</v>
      </c>
      <c r="B7" s="7" t="n">
        <v>0.0665</v>
      </c>
    </row>
    <row r="8" customFormat="false" ht="15" hidden="false" customHeight="false" outlineLevel="0" collapsed="false">
      <c r="A8" s="0" t="s">
        <v>22</v>
      </c>
      <c r="B8" s="7" t="n">
        <v>0.09</v>
      </c>
    </row>
    <row r="9" customFormat="false" ht="15" hidden="false" customHeight="false" outlineLevel="0" collapsed="false">
      <c r="A9" s="3" t="s">
        <v>23</v>
      </c>
    </row>
    <row r="10" customFormat="false" ht="15" hidden="false" customHeight="false" outlineLevel="0" collapsed="false">
      <c r="A10" s="0" t="s">
        <v>24</v>
      </c>
      <c r="B10" s="6" t="n">
        <v>5.15</v>
      </c>
    </row>
    <row r="11" customFormat="false" ht="15" hidden="false" customHeight="false" outlineLevel="0" collapsed="false">
      <c r="A11" s="0" t="s">
        <v>25</v>
      </c>
      <c r="B11" s="6" t="n">
        <v>5.45</v>
      </c>
    </row>
    <row r="12" customFormat="false" ht="15" hidden="false" customHeight="false" outlineLevel="0" collapsed="false">
      <c r="A12" s="0" t="s">
        <v>26</v>
      </c>
      <c r="B12" s="8" t="n">
        <v>5.95</v>
      </c>
      <c r="C12" s="9" t="s">
        <v>27</v>
      </c>
    </row>
    <row r="13" customFormat="false" ht="15" hidden="false" customHeight="false" outlineLevel="0" collapsed="false">
      <c r="A13" s="0" t="s">
        <v>28</v>
      </c>
      <c r="B13" s="6" t="n">
        <v>4.5</v>
      </c>
    </row>
    <row r="14" customFormat="false" ht="15" hidden="false" customHeight="false" outlineLevel="0" collapsed="false">
      <c r="A14" s="0" t="s">
        <v>29</v>
      </c>
      <c r="B14" s="6" t="n">
        <v>3</v>
      </c>
      <c r="C14" s="9" t="s">
        <v>30</v>
      </c>
    </row>
    <row r="15" customFormat="false" ht="15" hidden="false" customHeight="false" outlineLevel="0" collapsed="false">
      <c r="A15" s="0" t="s">
        <v>31</v>
      </c>
      <c r="B15" s="10" t="n">
        <v>0.0625</v>
      </c>
      <c r="C15" s="9" t="s">
        <v>32</v>
      </c>
    </row>
    <row r="16" customFormat="false" ht="15" hidden="false" customHeight="false" outlineLevel="0" collapsed="false">
      <c r="A16" s="0" t="s">
        <v>33</v>
      </c>
      <c r="B16" s="7" t="n">
        <v>0.025</v>
      </c>
    </row>
    <row r="17" customFormat="false" ht="15" hidden="false" customHeight="false" outlineLevel="0" collapsed="false">
      <c r="A17" s="3" t="s">
        <v>34</v>
      </c>
    </row>
    <row r="18" customFormat="false" ht="15" hidden="false" customHeight="false" outlineLevel="0" collapsed="false">
      <c r="A18" s="0" t="s">
        <v>35</v>
      </c>
      <c r="B18" s="11" t="n">
        <v>3</v>
      </c>
    </row>
    <row r="19" customFormat="false" ht="15" hidden="false" customHeight="false" outlineLevel="0" collapsed="false">
      <c r="A19" s="0" t="s">
        <v>36</v>
      </c>
      <c r="B19" s="7" t="n">
        <v>0.015</v>
      </c>
    </row>
    <row r="20" customFormat="false" ht="15" hidden="false" customHeight="false" outlineLevel="0" collapsed="false">
      <c r="A20" s="0" t="s">
        <v>37</v>
      </c>
      <c r="B20" s="7" t="n">
        <v>0.01</v>
      </c>
      <c r="C20" s="9" t="s">
        <v>38</v>
      </c>
    </row>
    <row r="21" customFormat="false" ht="15" hidden="false" customHeight="false" outlineLevel="0" collapsed="false">
      <c r="A21" s="0" t="s">
        <v>39</v>
      </c>
      <c r="B21" s="7" t="n">
        <v>0.015</v>
      </c>
    </row>
    <row r="22" customFormat="false" ht="15" hidden="false" customHeight="false" outlineLevel="0" collapsed="false">
      <c r="A22" s="0" t="s">
        <v>40</v>
      </c>
      <c r="B22" s="12" t="n">
        <v>1.8</v>
      </c>
    </row>
    <row r="23" customFormat="false" ht="15" hidden="false" customHeight="false" outlineLevel="0" collapsed="false">
      <c r="A23" s="0" t="s">
        <v>41</v>
      </c>
      <c r="B23" s="7" t="n">
        <v>0.65</v>
      </c>
    </row>
    <row r="24" customFormat="false" ht="15" hidden="false" customHeight="false" outlineLevel="0" collapsed="false">
      <c r="A24" s="3" t="s">
        <v>42</v>
      </c>
    </row>
    <row r="25" customFormat="false" ht="15" hidden="false" customHeight="false" outlineLevel="0" collapsed="false">
      <c r="A25" s="0" t="s">
        <v>43</v>
      </c>
      <c r="B25" s="7" t="n">
        <v>0.72</v>
      </c>
    </row>
    <row r="26" customFormat="false" ht="15" hidden="false" customHeight="false" outlineLevel="0" collapsed="false">
      <c r="A26" s="0" t="s">
        <v>44</v>
      </c>
      <c r="B26" s="13" t="n">
        <v>0.5</v>
      </c>
    </row>
    <row r="27" customFormat="false" ht="15" hidden="false" customHeight="false" outlineLevel="0" collapsed="false">
      <c r="A27" s="3" t="s">
        <v>45</v>
      </c>
    </row>
    <row r="28" customFormat="false" ht="15" hidden="false" customHeight="false" outlineLevel="0" collapsed="false">
      <c r="A28" s="0" t="s">
        <v>46</v>
      </c>
      <c r="B28" s="6" t="n">
        <v>70</v>
      </c>
    </row>
    <row r="29" customFormat="false" ht="15" hidden="false" customHeight="false" outlineLevel="0" collapsed="false">
      <c r="A29" s="0" t="s">
        <v>47</v>
      </c>
      <c r="B29" s="7" t="n">
        <v>0.0295</v>
      </c>
    </row>
    <row r="30" customFormat="false" ht="15" hidden="false" customHeight="false" outlineLevel="0" collapsed="false">
      <c r="A30" s="0" t="s">
        <v>48</v>
      </c>
      <c r="B30" s="7" t="n">
        <v>0.033</v>
      </c>
    </row>
    <row r="31" customFormat="false" ht="15" hidden="false" customHeight="false" outlineLevel="0" collapsed="false">
      <c r="A31" s="0" t="s">
        <v>49</v>
      </c>
      <c r="B31" s="13" t="n">
        <v>1.75</v>
      </c>
    </row>
    <row r="32" customFormat="false" ht="15" hidden="false" customHeight="false" outlineLevel="0" collapsed="false">
      <c r="A32" s="3" t="s">
        <v>50</v>
      </c>
    </row>
    <row r="33" customFormat="false" ht="15" hidden="false" customHeight="false" outlineLevel="0" collapsed="false">
      <c r="A33" s="0" t="s">
        <v>51</v>
      </c>
      <c r="B33" s="7" t="n">
        <v>0.5</v>
      </c>
    </row>
    <row r="34" customFormat="false" ht="15" hidden="false" customHeight="false" outlineLevel="0" collapsed="false">
      <c r="A34" s="0" t="s">
        <v>52</v>
      </c>
      <c r="B34" s="6" t="n">
        <v>8</v>
      </c>
    </row>
    <row r="35" customFormat="false" ht="15" hidden="false" customHeight="false" outlineLevel="0" collapsed="false">
      <c r="A35" s="0" t="s">
        <v>53</v>
      </c>
      <c r="B35" s="10" t="n">
        <v>0.6</v>
      </c>
      <c r="C35" s="9" t="s">
        <v>54</v>
      </c>
    </row>
    <row r="36" customFormat="false" ht="15" hidden="false" customHeight="false" outlineLevel="0" collapsed="false">
      <c r="A36" s="0" t="s">
        <v>55</v>
      </c>
      <c r="B36" s="13" t="n">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4" min="2" style="0" width="14"/>
    <col collapsed="false" customWidth="true" hidden="false" outlineLevel="0" max="5" min="5" style="0" width="4"/>
    <col collapsed="false" customWidth="true" hidden="false" outlineLevel="0" max="6" min="6" style="0" width="56"/>
  </cols>
  <sheetData>
    <row r="1" customFormat="false" ht="16.15" hidden="false" customHeight="false" outlineLevel="0" collapsed="false">
      <c r="A1" s="5" t="s">
        <v>56</v>
      </c>
    </row>
    <row r="3" customFormat="false" ht="15" hidden="false" customHeight="false" outlineLevel="0" collapsed="false">
      <c r="A3" s="14"/>
      <c r="B3" s="14" t="s">
        <v>57</v>
      </c>
      <c r="C3" s="14" t="s">
        <v>58</v>
      </c>
      <c r="D3" s="14" t="s">
        <v>59</v>
      </c>
    </row>
    <row r="4" customFormat="false" ht="15" hidden="false" customHeight="false" outlineLevel="0" collapsed="false">
      <c r="A4" s="0" t="s">
        <v>60</v>
      </c>
      <c r="B4" s="15" t="n">
        <f aca="false">'1. Assumptions'!$B$4</f>
        <v>82.5</v>
      </c>
      <c r="C4" s="15" t="n">
        <f aca="false">B10</f>
        <v>85.12</v>
      </c>
      <c r="D4" s="15" t="n">
        <f aca="false">C10</f>
        <v>86.13912</v>
      </c>
    </row>
    <row r="5" customFormat="false" ht="15" hidden="false" customHeight="false" outlineLevel="0" collapsed="false">
      <c r="A5" s="0" t="s">
        <v>61</v>
      </c>
      <c r="B5" s="15" t="n">
        <f aca="false">'1. Assumptions'!$B$10</f>
        <v>5.15</v>
      </c>
      <c r="C5" s="15" t="n">
        <f aca="false">'1. Assumptions'!$B$11</f>
        <v>5.45</v>
      </c>
      <c r="D5" s="15" t="n">
        <f aca="false">'1. Assumptions'!$B$12</f>
        <v>5.95</v>
      </c>
    </row>
    <row r="6" customFormat="false" ht="15" hidden="false" customHeight="false" outlineLevel="0" collapsed="false">
      <c r="A6" s="0" t="s">
        <v>62</v>
      </c>
      <c r="B6" s="15" t="n">
        <f aca="false">B4*('1. Assumptions'!$B$5+'1. Assumptions'!$B$6+'1. Assumptions'!$B$19)</f>
        <v>6.27</v>
      </c>
      <c r="C6" s="15" t="n">
        <f aca="false">C4*('1. Assumptions'!$B$5+'1. Assumptions'!$B$6+'1. Assumptions'!$B$19)</f>
        <v>6.46912</v>
      </c>
      <c r="D6" s="15" t="n">
        <f aca="false">D4*('1. Assumptions'!$B$5+'1. Assumptions'!$B$6+'1. Assumptions'!$B$19)</f>
        <v>6.54657312</v>
      </c>
    </row>
    <row r="7" customFormat="false" ht="15" hidden="false" customHeight="false" outlineLevel="0" collapsed="false">
      <c r="A7" s="0" t="s">
        <v>63</v>
      </c>
      <c r="B7" s="15" t="n">
        <f aca="false">MAX(0,B6-B5)</f>
        <v>1.12</v>
      </c>
      <c r="C7" s="15" t="n">
        <f aca="false">MAX(0,C6-C5)</f>
        <v>1.01912</v>
      </c>
      <c r="D7" s="15" t="n">
        <f aca="false">MAX(0,D6-D5)</f>
        <v>0.59657312</v>
      </c>
      <c r="F7" s="9" t="s">
        <v>64</v>
      </c>
    </row>
    <row r="8" customFormat="false" ht="22.35" hidden="false" customHeight="false" outlineLevel="0" collapsed="false">
      <c r="A8" s="0" t="s">
        <v>65</v>
      </c>
      <c r="B8" s="15" t="n">
        <f aca="false">MIN('1. Assumptions'!$B$4*'1. Assumptions'!$B$21,MAX(0,B5-B6))</f>
        <v>0</v>
      </c>
      <c r="C8" s="15" t="n">
        <f aca="false">MIN('1. Assumptions'!$B$4*'1. Assumptions'!$B$21,MAX(0,C5-C6))</f>
        <v>0</v>
      </c>
      <c r="D8" s="15" t="n">
        <f aca="false">MIN('1. Assumptions'!$B$4*'1. Assumptions'!$B$21,MAX(0,D5-D6))</f>
        <v>0</v>
      </c>
      <c r="F8" s="16" t="s">
        <v>66</v>
      </c>
    </row>
    <row r="9" customFormat="false" ht="15" hidden="false" customHeight="false" outlineLevel="0" collapsed="false">
      <c r="A9" s="0" t="s">
        <v>67</v>
      </c>
      <c r="B9" s="15" t="n">
        <f aca="false">MAX(0,'1. Assumptions'!$B$13-'1. Assumptions'!$B$14)</f>
        <v>1.5</v>
      </c>
      <c r="C9" s="15" t="n">
        <f aca="false">0</f>
        <v>0</v>
      </c>
      <c r="D9" s="15" t="n">
        <f aca="false">0</f>
        <v>0</v>
      </c>
      <c r="F9" s="9" t="s">
        <v>68</v>
      </c>
    </row>
    <row r="10" customFormat="false" ht="15" hidden="false" customHeight="false" outlineLevel="0" collapsed="false">
      <c r="A10" s="0" t="s">
        <v>69</v>
      </c>
      <c r="B10" s="15" t="n">
        <f aca="false">B4-B8+B9+B7</f>
        <v>85.12</v>
      </c>
      <c r="C10" s="15" t="n">
        <f aca="false">C4-C8+C9+C7</f>
        <v>86.13912</v>
      </c>
      <c r="D10" s="15" t="n">
        <f aca="false">D4-D8+D9+D7</f>
        <v>86.73569312</v>
      </c>
    </row>
    <row r="11" customFormat="false" ht="22.35" hidden="false" customHeight="false" outlineLevel="0" collapsed="false">
      <c r="A11" s="17" t="s">
        <v>70</v>
      </c>
      <c r="B11" s="18" t="n">
        <f aca="false">MIN(B5,B6)+B8-B9</f>
        <v>3.65</v>
      </c>
      <c r="C11" s="18" t="n">
        <f aca="false">MIN(C5,C6)+C8-C9</f>
        <v>5.45</v>
      </c>
      <c r="D11" s="18" t="n">
        <f aca="false">MIN(D5,D6)+D8-D9</f>
        <v>5.95</v>
      </c>
      <c r="F11" s="16" t="s">
        <v>71</v>
      </c>
    </row>
    <row r="12" customFormat="false" ht="15" hidden="false" customHeight="false" outlineLevel="0" collapsed="false">
      <c r="A12" s="0" t="s">
        <v>72</v>
      </c>
      <c r="B12" s="19" t="n">
        <f aca="false">1/(1+'1. Assumptions'!$B$8)^1</f>
        <v>0.91743119266055</v>
      </c>
      <c r="C12" s="19" t="n">
        <f aca="false">1/(1+'1. Assumptions'!$B$8)^2</f>
        <v>0.84167999326656</v>
      </c>
      <c r="D12" s="19" t="n">
        <f aca="false">1/(1+'1. Assumptions'!$B$8)^3</f>
        <v>0.772183480061064</v>
      </c>
    </row>
    <row r="13" customFormat="false" ht="15" hidden="false" customHeight="false" outlineLevel="0" collapsed="false">
      <c r="A13" s="0" t="s">
        <v>73</v>
      </c>
      <c r="B13" s="15" t="n">
        <f aca="false">B11*B12</f>
        <v>3.34862385321101</v>
      </c>
      <c r="C13" s="15" t="n">
        <f aca="false">C11*C12</f>
        <v>4.58715596330275</v>
      </c>
      <c r="D13" s="15" t="n">
        <f aca="false">D11*D12</f>
        <v>4.59449170636333</v>
      </c>
    </row>
    <row r="15" customFormat="false" ht="15" hidden="false" customHeight="false" outlineLevel="0" collapsed="false">
      <c r="A15" s="3" t="s">
        <v>74</v>
      </c>
    </row>
    <row r="16" customFormat="false" ht="15" hidden="false" customHeight="false" outlineLevel="0" collapsed="false">
      <c r="A16" s="0" t="s">
        <v>75</v>
      </c>
      <c r="B16" s="15" t="n">
        <f aca="false">D5/'1. Assumptions'!$B$15</f>
        <v>95.2</v>
      </c>
      <c r="F16" s="9" t="s">
        <v>76</v>
      </c>
    </row>
    <row r="17" customFormat="false" ht="15" hidden="false" customHeight="false" outlineLevel="0" collapsed="false">
      <c r="A17" s="0" t="s">
        <v>77</v>
      </c>
      <c r="B17" s="15" t="n">
        <f aca="false">B16*(1-'1. Assumptions'!$B$16)</f>
        <v>92.82</v>
      </c>
    </row>
    <row r="18" customFormat="false" ht="15" hidden="false" customHeight="false" outlineLevel="0" collapsed="false">
      <c r="A18" s="0" t="s">
        <v>78</v>
      </c>
      <c r="B18" s="15" t="n">
        <f aca="false">D10</f>
        <v>86.73569312</v>
      </c>
    </row>
    <row r="19" customFormat="false" ht="15" hidden="false" customHeight="false" outlineLevel="0" collapsed="false">
      <c r="A19" s="0" t="s">
        <v>79</v>
      </c>
      <c r="B19" s="15" t="n">
        <f aca="false">MIN(B18,B17)</f>
        <v>86.73569312</v>
      </c>
      <c r="F19" s="9" t="s">
        <v>80</v>
      </c>
    </row>
    <row r="20" customFormat="false" ht="15" hidden="false" customHeight="false" outlineLevel="0" collapsed="false">
      <c r="A20" s="0" t="s">
        <v>81</v>
      </c>
      <c r="B20" s="15" t="n">
        <f aca="false">MAX(0,B18-B19)</f>
        <v>0</v>
      </c>
    </row>
    <row r="21" customFormat="false" ht="15" hidden="false" customHeight="false" outlineLevel="0" collapsed="false">
      <c r="A21" s="0" t="s">
        <v>82</v>
      </c>
      <c r="B21" s="15" t="n">
        <f aca="false">B19/(1+'1. Assumptions'!$B$8)^'1. Assumptions'!$B$18</f>
        <v>66.9758693589101</v>
      </c>
    </row>
    <row r="22" customFormat="false" ht="15" hidden="false" customHeight="false" outlineLevel="0" collapsed="false">
      <c r="A22" s="0" t="s">
        <v>83</v>
      </c>
      <c r="B22" s="15" t="n">
        <f aca="false">'1. Assumptions'!$B$4*'1. Assumptions'!$B$20</f>
        <v>0.825</v>
      </c>
    </row>
    <row r="24" customFormat="false" ht="15" hidden="false" customHeight="false" outlineLevel="0" collapsed="false">
      <c r="A24" s="17" t="s">
        <v>84</v>
      </c>
      <c r="B24" s="18" t="n">
        <f aca="false">B22+SUM(B13:D13)+B21</f>
        <v>80.3311408817872</v>
      </c>
    </row>
    <row r="25" customFormat="false" ht="15" hidden="false" customHeight="false" outlineLevel="0" collapsed="false">
      <c r="A25" s="17" t="s">
        <v>85</v>
      </c>
      <c r="B25" s="20" t="n">
        <f aca="false">'2. Cash flow'!$B$24/'1. Assumptions'!$B$4</f>
        <v>0.973710798567118</v>
      </c>
    </row>
    <row r="27" customFormat="false" ht="15" hidden="false" customHeight="false" outlineLevel="0" collapsed="false">
      <c r="A27" s="3" t="s">
        <v>86</v>
      </c>
    </row>
    <row r="28" customFormat="false" ht="15" hidden="false" customHeight="false" outlineLevel="0" collapsed="false">
      <c r="A28" s="0" t="s">
        <v>87</v>
      </c>
      <c r="B28" s="15" t="n">
        <f aca="false">'1. Assumptions'!$B$4*'1. Assumptions'!$B$25/(1+'1. Assumptions'!$B$8)^'1. Assumptions'!$B$26</f>
        <v>56.8948813421364</v>
      </c>
    </row>
    <row r="29" customFormat="false" ht="15" hidden="false" customHeight="false" outlineLevel="0" collapsed="false">
      <c r="A29" s="17" t="s">
        <v>88</v>
      </c>
      <c r="B29" s="18" t="n">
        <f aca="false">'2. Cash flow'!$B$24-'2. Cash flow'!$B$28</f>
        <v>23.4362595396508</v>
      </c>
      <c r="F29" s="2" t="s">
        <v>89</v>
      </c>
    </row>
    <row r="30" customFormat="false" ht="15" hidden="false" customHeight="false" outlineLevel="0" collapsed="false">
      <c r="A30" s="21" t="s">
        <v>90</v>
      </c>
      <c r="B30" s="22" t="n">
        <f aca="false">B17-B18</f>
        <v>6.08430688</v>
      </c>
      <c r="F30" s="16" t="s">
        <v>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4" min="2" style="0" width="14"/>
    <col collapsed="false" customWidth="true" hidden="false" outlineLevel="0" max="5" min="5" style="0" width="52"/>
  </cols>
  <sheetData>
    <row r="1" customFormat="false" ht="16.15" hidden="false" customHeight="false" outlineLevel="0" collapsed="false">
      <c r="A1" s="5" t="s">
        <v>92</v>
      </c>
    </row>
    <row r="2" customFormat="false" ht="15" hidden="false" customHeight="false" outlineLevel="0" collapsed="false">
      <c r="A2" s="2" t="s">
        <v>93</v>
      </c>
    </row>
    <row r="4" customFormat="false" ht="15" hidden="false" customHeight="false" outlineLevel="0" collapsed="false">
      <c r="A4" s="14"/>
      <c r="B4" s="14" t="s">
        <v>57</v>
      </c>
      <c r="C4" s="14" t="s">
        <v>58</v>
      </c>
      <c r="D4" s="14" t="s">
        <v>59</v>
      </c>
      <c r="E4" s="14" t="s">
        <v>94</v>
      </c>
    </row>
    <row r="5" customFormat="false" ht="15" hidden="false" customHeight="false" outlineLevel="0" collapsed="false">
      <c r="A5" s="0" t="s">
        <v>95</v>
      </c>
      <c r="B5" s="15" t="n">
        <f aca="false">'2. Cash flow'!B5/'1. Assumptions'!$B$7</f>
        <v>77.4436090225564</v>
      </c>
      <c r="C5" s="15" t="n">
        <f aca="false">'2. Cash flow'!C5/'1. Assumptions'!$B$7</f>
        <v>81.9548872180451</v>
      </c>
      <c r="D5" s="15" t="n">
        <f aca="false">'2. Cash flow'!D5/'1. Assumptions'!$B$7</f>
        <v>89.4736842105263</v>
      </c>
      <c r="E5" s="9" t="s">
        <v>96</v>
      </c>
    </row>
    <row r="6" customFormat="false" ht="15" hidden="false" customHeight="false" outlineLevel="0" collapsed="false">
      <c r="A6" s="0" t="s">
        <v>97</v>
      </c>
      <c r="B6" s="15" t="n">
        <f aca="false">'2. Cash flow'!B10</f>
        <v>85.12</v>
      </c>
      <c r="C6" s="15" t="n">
        <f aca="false">'2. Cash flow'!C10</f>
        <v>86.13912</v>
      </c>
      <c r="D6" s="15" t="n">
        <f aca="false">'2. Cash flow'!D10</f>
        <v>86.73569312</v>
      </c>
    </row>
    <row r="7" customFormat="false" ht="15" hidden="false" customHeight="false" outlineLevel="0" collapsed="false">
      <c r="A7" s="0" t="s">
        <v>98</v>
      </c>
      <c r="B7" s="23" t="n">
        <f aca="false">B6/B5</f>
        <v>1.09912233009709</v>
      </c>
      <c r="C7" s="23" t="n">
        <f aca="false">C6/C5</f>
        <v>1.05105531743119</v>
      </c>
      <c r="D7" s="23" t="n">
        <f aca="false">D6/D5</f>
        <v>0.969398923105883</v>
      </c>
    </row>
    <row r="8" customFormat="false" ht="15" hidden="false" customHeight="false" outlineLevel="0" collapsed="false">
      <c r="A8" s="0" t="s">
        <v>99</v>
      </c>
      <c r="B8" s="23" t="n">
        <f aca="false">'1. Assumptions'!$B$23</f>
        <v>0.65</v>
      </c>
      <c r="C8" s="23" t="n">
        <f aca="false">'1. Assumptions'!$B$23</f>
        <v>0.65</v>
      </c>
      <c r="D8" s="23" t="n">
        <f aca="false">'1. Assumptions'!$B$23</f>
        <v>0.65</v>
      </c>
    </row>
    <row r="9" customFormat="false" ht="15" hidden="false" customHeight="false" outlineLevel="0" collapsed="false">
      <c r="A9" s="0" t="s">
        <v>100</v>
      </c>
      <c r="B9" s="15" t="n">
        <f aca="false">B5-B6/B8</f>
        <v>-53.5102371312898</v>
      </c>
      <c r="C9" s="15" t="n">
        <f aca="false">C5-C6/C8</f>
        <v>-50.566835858878</v>
      </c>
      <c r="D9" s="15" t="n">
        <f aca="false">D5-D6/D8</f>
        <v>-43.9658436663968</v>
      </c>
      <c r="E9" s="9" t="s">
        <v>101</v>
      </c>
    </row>
    <row r="10" customFormat="false" ht="15" hidden="false" customHeight="false" outlineLevel="0" collapsed="false">
      <c r="A10" s="0" t="s">
        <v>102</v>
      </c>
      <c r="B10" s="24" t="n">
        <f aca="false">'2. Cash flow'!B5/'2. Cash flow'!B6</f>
        <v>0.821371610845295</v>
      </c>
      <c r="C10" s="24" t="n">
        <f aca="false">'2. Cash flow'!C5/'2. Cash flow'!C6</f>
        <v>0.842463889988128</v>
      </c>
      <c r="D10" s="24" t="n">
        <f aca="false">'2. Cash flow'!D5/'2. Cash flow'!D6</f>
        <v>0.908872457533935</v>
      </c>
    </row>
    <row r="11" customFormat="false" ht="15" hidden="false" customHeight="false" outlineLevel="0" collapsed="false">
      <c r="A11" s="0" t="s">
        <v>99</v>
      </c>
      <c r="B11" s="24" t="n">
        <f aca="false">'1. Assumptions'!$B$22</f>
        <v>1.8</v>
      </c>
      <c r="C11" s="24" t="n">
        <f aca="false">'1. Assumptions'!$B$22</f>
        <v>1.8</v>
      </c>
      <c r="D11" s="24" t="n">
        <f aca="false">'1. Assumptions'!$B$22</f>
        <v>1.8</v>
      </c>
    </row>
    <row r="12" customFormat="false" ht="15" hidden="false" customHeight="false" outlineLevel="0" collapsed="false">
      <c r="A12" s="0" t="s">
        <v>103</v>
      </c>
      <c r="B12" s="0" t="str">
        <f aca="false">IF(AND(B7&lt;='1. Assumptions'!$B$23,B10&gt;='1. Assumptions'!$B$22),"yes","NO")</f>
        <v>NO</v>
      </c>
      <c r="C12" s="0" t="str">
        <f aca="false">IF(AND(C7&lt;='1. Assumptions'!$B$23,C10&gt;='1. Assumptions'!$B$22),"yes","NO")</f>
        <v>NO</v>
      </c>
      <c r="D12" s="0" t="str">
        <f aca="false">IF(AND(D7&lt;='1. Assumptions'!$B$23,D10&gt;='1. Assumptions'!$B$22),"yes","NO")</f>
        <v>NO</v>
      </c>
      <c r="E12" s="9" t="s">
        <v>104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4"/>
    <col collapsed="false" customWidth="true" hidden="false" outlineLevel="0" max="8" min="2" style="0" width="11"/>
  </cols>
  <sheetData>
    <row r="1" customFormat="false" ht="16.15" hidden="false" customHeight="false" outlineLevel="0" collapsed="false">
      <c r="A1" s="5" t="s">
        <v>105</v>
      </c>
    </row>
    <row r="2" customFormat="false" ht="53.7" hidden="false" customHeight="false" outlineLevel="0" collapsed="false">
      <c r="A2" s="16" t="s">
        <v>106</v>
      </c>
    </row>
    <row r="4" customFormat="false" ht="15" hidden="false" customHeight="false" outlineLevel="0" collapsed="false">
      <c r="A4" s="17" t="s">
        <v>107</v>
      </c>
      <c r="B4" s="20" t="n">
        <v>0.055</v>
      </c>
      <c r="C4" s="20" t="n">
        <v>0.06</v>
      </c>
      <c r="D4" s="20" t="n">
        <v>0.0625</v>
      </c>
      <c r="E4" s="20" t="n">
        <v>0.0675</v>
      </c>
      <c r="F4" s="20" t="n">
        <v>0.0725</v>
      </c>
      <c r="G4" s="20" t="n">
        <v>0.08</v>
      </c>
      <c r="H4" s="20" t="n">
        <v>0.09</v>
      </c>
    </row>
    <row r="5" customFormat="false" ht="15" hidden="false" customHeight="false" outlineLevel="0" collapsed="false">
      <c r="A5" s="18" t="n">
        <v>5.3</v>
      </c>
      <c r="B5" s="23" t="n">
        <f aca="false">('1. Assumptions'!$B$4*'1. Assumptions'!$B$20+'2. Cash flow'!$B$13+'2. Cash flow'!$C$13+(MIN($A5,'2. Cash flow'!$D$6)+MIN('1. Assumptions'!$B$4*'1. Assumptions'!$B$21,MAX(0,$A5-'2. Cash flow'!$D$6))-'2. Cash flow'!$D$9+MIN(('2. Cash flow'!$D$4+MAX(0,'2. Cash flow'!$D$6-$A5)-MIN('1. Assumptions'!$B$4*'1. Assumptions'!$B$21,MAX(0,$A5-'2. Cash flow'!$D$6))+'2. Cash flow'!$D$9),($A5/B$4)*(1-'1. Assumptions'!$B$16)))*'2. Cash flow'!$D$12)/'1. Assumptions'!$B$4</f>
        <v>0.973710798567118</v>
      </c>
      <c r="C5" s="23" t="n">
        <f aca="false">('1. Assumptions'!$B$4*'1. Assumptions'!$B$20+'2. Cash flow'!$B$13+'2. Cash flow'!$C$13+(MIN($A5,'2. Cash flow'!$D$6)+MIN('1. Assumptions'!$B$4*'1. Assumptions'!$B$21,MAX(0,$A5-'2. Cash flow'!$D$6))-'2. Cash flow'!$D$9+MIN(('2. Cash flow'!$D$4+MAX(0,'2. Cash flow'!$D$6-$A5)-MIN('1. Assumptions'!$B$4*'1. Assumptions'!$B$21,MAX(0,$A5-'2. Cash flow'!$D$6))+'2. Cash flow'!$D$9),($A5/C$4)*(1-'1. Assumptions'!$B$16)))*'2. Cash flow'!$D$12)/'1. Assumptions'!$B$4</f>
        <v>0.961910963407231</v>
      </c>
      <c r="D5" s="23" t="n">
        <f aca="false">('1. Assumptions'!$B$4*'1. Assumptions'!$B$20+'2. Cash flow'!$B$13+'2. Cash flow'!$C$13+(MIN($A5,'2. Cash flow'!$D$6)+MIN('1. Assumptions'!$B$4*'1. Assumptions'!$B$21,MAX(0,$A5-'2. Cash flow'!$D$6))-'2. Cash flow'!$D$9+MIN(('2. Cash flow'!$D$4+MAX(0,'2. Cash flow'!$D$6-$A5)-MIN('1. Assumptions'!$B$4*'1. Assumptions'!$B$21,MAX(0,$A5-'2. Cash flow'!$D$6))+'2. Cash flow'!$D$9),($A5/D$4)*(1-'1. Assumptions'!$B$16)))*'2. Cash flow'!$D$12)/'1. Assumptions'!$B$4</f>
        <v>0.929666453239832</v>
      </c>
      <c r="E5" s="23" t="n">
        <f aca="false">('1. Assumptions'!$B$4*'1. Assumptions'!$B$20+'2. Cash flow'!$B$13+'2. Cash flow'!$C$13+(MIN($A5,'2. Cash flow'!$D$6)+MIN('1. Assumptions'!$B$4*'1. Assumptions'!$B$21,MAX(0,$A5-'2. Cash flow'!$D$6))-'2. Cash flow'!$D$9+MIN(('2. Cash flow'!$D$4+MAX(0,'2. Cash flow'!$D$6-$A5)-MIN('1. Assumptions'!$B$4*'1. Assumptions'!$B$21,MAX(0,$A5-'2. Cash flow'!$D$6))+'2. Cash flow'!$D$9),($A5/E$4)*(1-'1. Assumptions'!$B$16)))*'2. Cash flow'!$D$12)/'1. Assumptions'!$B$4</f>
        <v>0.872342879608902</v>
      </c>
      <c r="F5" s="23" t="n">
        <f aca="false">('1. Assumptions'!$B$4*'1. Assumptions'!$B$20+'2. Cash flow'!$B$13+'2. Cash flow'!$C$13+(MIN($A5,'2. Cash flow'!$D$6)+MIN('1. Assumptions'!$B$4*'1. Assumptions'!$B$21,MAX(0,$A5-'2. Cash flow'!$D$6))-'2. Cash flow'!$D$9+MIN(('2. Cash flow'!$D$4+MAX(0,'2. Cash flow'!$D$6-$A5)-MIN('1. Assumptions'!$B$4*'1. Assumptions'!$B$21,MAX(0,$A5-'2. Cash flow'!$D$6))+'2. Cash flow'!$D$9),($A5/F$4)*(1-'1. Assumptions'!$B$16)))*'2. Cash flow'!$D$12)/'1. Assumptions'!$B$4</f>
        <v>0.822926005789134</v>
      </c>
      <c r="G5" s="23" t="n">
        <f aca="false">('1. Assumptions'!$B$4*'1. Assumptions'!$B$20+'2. Cash flow'!$B$13+'2. Cash flow'!$C$13+(MIN($A5,'2. Cash flow'!$D$6)+MIN('1. Assumptions'!$B$4*'1. Assumptions'!$B$21,MAX(0,$A5-'2. Cash flow'!$D$6))-'2. Cash flow'!$D$9+MIN(('2. Cash flow'!$D$4+MAX(0,'2. Cash flow'!$D$6-$A5)-MIN('1. Assumptions'!$B$4*'1. Assumptions'!$B$21,MAX(0,$A5-'2. Cash flow'!$D$6))+'2. Cash flow'!$D$9),($A5/G$4)*(1-'1. Assumptions'!$B$16)))*'2. Cash flow'!$D$12)/'1. Assumptions'!$B$4</f>
        <v>0.760382774860991</v>
      </c>
      <c r="H5" s="23" t="n">
        <f aca="false">('1. Assumptions'!$B$4*'1. Assumptions'!$B$20+'2. Cash flow'!$B$13+'2. Cash flow'!$C$13+(MIN($A5,'2. Cash flow'!$D$6)+MIN('1. Assumptions'!$B$4*'1. Assumptions'!$B$21,MAX(0,$A5-'2. Cash flow'!$D$6))-'2. Cash flow'!$D$9+MIN(('2. Cash flow'!$D$4+MAX(0,'2. Cash flow'!$D$6-$A5)-MIN('1. Assumptions'!$B$4*'1. Assumptions'!$B$21,MAX(0,$A5-'2. Cash flow'!$D$6))+'2. Cash flow'!$D$9),($A5/H$4)*(1-'1. Assumptions'!$B$16)))*'2. Cash flow'!$D$12)/'1. Assumptions'!$B$4</f>
        <v>0.693206712012244</v>
      </c>
    </row>
    <row r="6" customFormat="false" ht="15" hidden="false" customHeight="false" outlineLevel="0" collapsed="false">
      <c r="A6" s="18" t="n">
        <v>5.6</v>
      </c>
      <c r="B6" s="23" t="n">
        <f aca="false">('1. Assumptions'!$B$4*'1. Assumptions'!$B$20+'2. Cash flow'!$B$13+'2. Cash flow'!$C$13+(MIN($A6,'2. Cash flow'!$D$6)+MIN('1. Assumptions'!$B$4*'1. Assumptions'!$B$21,MAX(0,$A6-'2. Cash flow'!$D$6))-'2. Cash flow'!$D$9+MIN(('2. Cash flow'!$D$4+MAX(0,'2. Cash flow'!$D$6-$A6)-MIN('1. Assumptions'!$B$4*'1. Assumptions'!$B$21,MAX(0,$A6-'2. Cash flow'!$D$6))+'2. Cash flow'!$D$9),($A6/B$4)*(1-'1. Assumptions'!$B$16)))*'2. Cash flow'!$D$12)/'1. Assumptions'!$B$4</f>
        <v>0.973710798567118</v>
      </c>
      <c r="C6" s="23" t="n">
        <f aca="false">('1. Assumptions'!$B$4*'1. Assumptions'!$B$20+'2. Cash flow'!$B$13+'2. Cash flow'!$C$13+(MIN($A6,'2. Cash flow'!$D$6)+MIN('1. Assumptions'!$B$4*'1. Assumptions'!$B$21,MAX(0,$A6-'2. Cash flow'!$D$6))-'2. Cash flow'!$D$9+MIN(('2. Cash flow'!$D$4+MAX(0,'2. Cash flow'!$D$6-$A6)-MIN('1. Assumptions'!$B$4*'1. Assumptions'!$B$21,MAX(0,$A6-'2. Cash flow'!$D$6))+'2. Cash flow'!$D$9),($A6/C$4)*(1-'1. Assumptions'!$B$16)))*'2. Cash flow'!$D$12)/'1. Assumptions'!$B$4</f>
        <v>0.973710798567118</v>
      </c>
      <c r="D6" s="23" t="n">
        <f aca="false">('1. Assumptions'!$B$4*'1. Assumptions'!$B$20+'2. Cash flow'!$B$13+'2. Cash flow'!$C$13+(MIN($A6,'2. Cash flow'!$D$6)+MIN('1. Assumptions'!$B$4*'1. Assumptions'!$B$21,MAX(0,$A6-'2. Cash flow'!$D$6))-'2. Cash flow'!$D$9+MIN(('2. Cash flow'!$D$4+MAX(0,'2. Cash flow'!$D$6-$A6)-MIN('1. Assumptions'!$B$4*'1. Assumptions'!$B$21,MAX(0,$A6-'2. Cash flow'!$D$6))+'2. Cash flow'!$D$9),($A6/D$4)*(1-'1. Assumptions'!$B$16)))*'2. Cash flow'!$D$12)/'1. Assumptions'!$B$4</f>
        <v>0.973710798567118</v>
      </c>
      <c r="E6" s="23" t="n">
        <f aca="false">('1. Assumptions'!$B$4*'1. Assumptions'!$B$20+'2. Cash flow'!$B$13+'2. Cash flow'!$C$13+(MIN($A6,'2. Cash flow'!$D$6)+MIN('1. Assumptions'!$B$4*'1. Assumptions'!$B$21,MAX(0,$A6-'2. Cash flow'!$D$6))-'2. Cash flow'!$D$9+MIN(('2. Cash flow'!$D$4+MAX(0,'2. Cash flow'!$D$6-$A6)-MIN('1. Assumptions'!$B$4*'1. Assumptions'!$B$21,MAX(0,$A6-'2. Cash flow'!$D$6))+'2. Cash flow'!$D$9),($A6/E$4)*(1-'1. Assumptions'!$B$16)))*'2. Cash flow'!$D$12)/'1. Assumptions'!$B$4</f>
        <v>0.915709951822432</v>
      </c>
      <c r="F6" s="23" t="n">
        <f aca="false">('1. Assumptions'!$B$4*'1. Assumptions'!$B$20+'2. Cash flow'!$B$13+'2. Cash flow'!$C$13+(MIN($A6,'2. Cash flow'!$D$6)+MIN('1. Assumptions'!$B$4*'1. Assumptions'!$B$21,MAX(0,$A6-'2. Cash flow'!$D$6))-'2. Cash flow'!$D$9+MIN(('2. Cash flow'!$D$4+MAX(0,'2. Cash flow'!$D$6-$A6)-MIN('1. Assumptions'!$B$4*'1. Assumptions'!$B$21,MAX(0,$A6-'2. Cash flow'!$D$6))+'2. Cash flow'!$D$9),($A6/F$4)*(1-'1. Assumptions'!$B$16)))*'2. Cash flow'!$D$12)/'1. Assumptions'!$B$4</f>
        <v>0.863495896465697</v>
      </c>
      <c r="G6" s="23" t="n">
        <f aca="false">('1. Assumptions'!$B$4*'1. Assumptions'!$B$20+'2. Cash flow'!$B$13+'2. Cash flow'!$C$13+(MIN($A6,'2. Cash flow'!$D$6)+MIN('1. Assumptions'!$B$4*'1. Assumptions'!$B$21,MAX(0,$A6-'2. Cash flow'!$D$6))-'2. Cash flow'!$D$9+MIN(('2. Cash flow'!$D$4+MAX(0,'2. Cash flow'!$D$6-$A6)-MIN('1. Assumptions'!$B$4*'1. Assumptions'!$B$21,MAX(0,$A6-'2. Cash flow'!$D$6))+'2. Cash flow'!$D$9),($A6/G$4)*(1-'1. Assumptions'!$B$16)))*'2. Cash flow'!$D$12)/'1. Assumptions'!$B$4</f>
        <v>0.797412482654828</v>
      </c>
      <c r="H6" s="23" t="n">
        <f aca="false">('1. Assumptions'!$B$4*'1. Assumptions'!$B$20+'2. Cash flow'!$B$13+'2. Cash flow'!$C$13+(MIN($A6,'2. Cash flow'!$D$6)+MIN('1. Assumptions'!$B$4*'1. Assumptions'!$B$21,MAX(0,$A6-'2. Cash flow'!$D$6))-'2. Cash flow'!$D$9+MIN(('2. Cash flow'!$D$4+MAX(0,'2. Cash flow'!$D$6-$A6)-MIN('1. Assumptions'!$B$4*'1. Assumptions'!$B$21,MAX(0,$A6-'2. Cash flow'!$D$6))+'2. Cash flow'!$D$9),($A6/H$4)*(1-'1. Assumptions'!$B$16)))*'2. Cash flow'!$D$12)/'1. Assumptions'!$B$4</f>
        <v>0.726434001154266</v>
      </c>
    </row>
    <row r="7" customFormat="false" ht="15" hidden="false" customHeight="false" outlineLevel="0" collapsed="false">
      <c r="A7" s="18" t="n">
        <v>5.95</v>
      </c>
      <c r="B7" s="23" t="n">
        <f aca="false">('1. Assumptions'!$B$4*'1. Assumptions'!$B$20+'2. Cash flow'!$B$13+'2. Cash flow'!$C$13+(MIN($A7,'2. Cash flow'!$D$6)+MIN('1. Assumptions'!$B$4*'1. Assumptions'!$B$21,MAX(0,$A7-'2. Cash flow'!$D$6))-'2. Cash flow'!$D$9+MIN(('2. Cash flow'!$D$4+MAX(0,'2. Cash flow'!$D$6-$A7)-MIN('1. Assumptions'!$B$4*'1. Assumptions'!$B$21,MAX(0,$A7-'2. Cash flow'!$D$6))+'2. Cash flow'!$D$9),($A7/B$4)*(1-'1. Assumptions'!$B$16)))*'2. Cash flow'!$D$12)/'1. Assumptions'!$B$4</f>
        <v>0.973710798567118</v>
      </c>
      <c r="C7" s="23" t="n">
        <f aca="false">('1. Assumptions'!$B$4*'1. Assumptions'!$B$20+'2. Cash flow'!$B$13+'2. Cash flow'!$C$13+(MIN($A7,'2. Cash flow'!$D$6)+MIN('1. Assumptions'!$B$4*'1. Assumptions'!$B$21,MAX(0,$A7-'2. Cash flow'!$D$6))-'2. Cash flow'!$D$9+MIN(('2. Cash flow'!$D$4+MAX(0,'2. Cash flow'!$D$6-$A7)-MIN('1. Assumptions'!$B$4*'1. Assumptions'!$B$21,MAX(0,$A7-'2. Cash flow'!$D$6))+'2. Cash flow'!$D$9),($A7/C$4)*(1-'1. Assumptions'!$B$16)))*'2. Cash flow'!$D$12)/'1. Assumptions'!$B$4</f>
        <v>0.973710798567118</v>
      </c>
      <c r="D7" s="23" t="n">
        <f aca="false">('1. Assumptions'!$B$4*'1. Assumptions'!$B$20+'2. Cash flow'!$B$13+'2. Cash flow'!$C$13+(MIN($A7,'2. Cash flow'!$D$6)+MIN('1. Assumptions'!$B$4*'1. Assumptions'!$B$21,MAX(0,$A7-'2. Cash flow'!$D$6))-'2. Cash flow'!$D$9+MIN(('2. Cash flow'!$D$4+MAX(0,'2. Cash flow'!$D$6-$A7)-MIN('1. Assumptions'!$B$4*'1. Assumptions'!$B$21,MAX(0,$A7-'2. Cash flow'!$D$6))+'2. Cash flow'!$D$9),($A7/D$4)*(1-'1. Assumptions'!$B$16)))*'2. Cash flow'!$D$12)/'1. Assumptions'!$B$4</f>
        <v>0.973710798567118</v>
      </c>
      <c r="E7" s="23" t="n">
        <f aca="false">('1. Assumptions'!$B$4*'1. Assumptions'!$B$20+'2. Cash flow'!$B$13+'2. Cash flow'!$C$13+(MIN($A7,'2. Cash flow'!$D$6)+MIN('1. Assumptions'!$B$4*'1. Assumptions'!$B$21,MAX(0,$A7-'2. Cash flow'!$D$6))-'2. Cash flow'!$D$9+MIN(('2. Cash flow'!$D$4+MAX(0,'2. Cash flow'!$D$6-$A7)-MIN('1. Assumptions'!$B$4*'1. Assumptions'!$B$21,MAX(0,$A7-'2. Cash flow'!$D$6))+'2. Cash flow'!$D$9),($A7/E$4)*(1-'1. Assumptions'!$B$16)))*'2. Cash flow'!$D$12)/'1. Assumptions'!$B$4</f>
        <v>0.966304869404885</v>
      </c>
      <c r="F7" s="23" t="n">
        <f aca="false">('1. Assumptions'!$B$4*'1. Assumptions'!$B$20+'2. Cash flow'!$B$13+'2. Cash flow'!$C$13+(MIN($A7,'2. Cash flow'!$D$6)+MIN('1. Assumptions'!$B$4*'1. Assumptions'!$B$21,MAX(0,$A7-'2. Cash flow'!$D$6))-'2. Cash flow'!$D$9+MIN(('2. Cash flow'!$D$4+MAX(0,'2. Cash flow'!$D$6-$A7)-MIN('1. Assumptions'!$B$4*'1. Assumptions'!$B$21,MAX(0,$A7-'2. Cash flow'!$D$6))+'2. Cash flow'!$D$9),($A7/F$4)*(1-'1. Assumptions'!$B$16)))*'2. Cash flow'!$D$12)/'1. Assumptions'!$B$4</f>
        <v>0.910827435588353</v>
      </c>
      <c r="G7" s="23" t="n">
        <f aca="false">('1. Assumptions'!$B$4*'1. Assumptions'!$B$20+'2. Cash flow'!$B$13+'2. Cash flow'!$C$13+(MIN($A7,'2. Cash flow'!$D$6)+MIN('1. Assumptions'!$B$4*'1. Assumptions'!$B$21,MAX(0,$A7-'2. Cash flow'!$D$6))-'2. Cash flow'!$D$9+MIN(('2. Cash flow'!$D$4+MAX(0,'2. Cash flow'!$D$6-$A7)-MIN('1. Assumptions'!$B$4*'1. Assumptions'!$B$21,MAX(0,$A7-'2. Cash flow'!$D$6))+'2. Cash flow'!$D$9),($A7/G$4)*(1-'1. Assumptions'!$B$16)))*'2. Cash flow'!$D$12)/'1. Assumptions'!$B$4</f>
        <v>0.840613808414306</v>
      </c>
      <c r="H7" s="23" t="n">
        <f aca="false">('1. Assumptions'!$B$4*'1. Assumptions'!$B$20+'2. Cash flow'!$B$13+'2. Cash flow'!$C$13+(MIN($A7,'2. Cash flow'!$D$6)+MIN('1. Assumptions'!$B$4*'1. Assumptions'!$B$21,MAX(0,$A7-'2. Cash flow'!$D$6))-'2. Cash flow'!$D$9+MIN(('2. Cash flow'!$D$4+MAX(0,'2. Cash flow'!$D$6-$A7)-MIN('1. Assumptions'!$B$4*'1. Assumptions'!$B$21,MAX(0,$A7-'2. Cash flow'!$D$6))+'2. Cash flow'!$D$9),($A7/H$4)*(1-'1. Assumptions'!$B$16)))*'2. Cash flow'!$D$12)/'1. Assumptions'!$B$4</f>
        <v>0.765199171819958</v>
      </c>
    </row>
    <row r="8" customFormat="false" ht="15" hidden="false" customHeight="false" outlineLevel="0" collapsed="false">
      <c r="A8" s="18" t="n">
        <v>6.25</v>
      </c>
      <c r="B8" s="23" t="n">
        <f aca="false">('1. Assumptions'!$B$4*'1. Assumptions'!$B$20+'2. Cash flow'!$B$13+'2. Cash flow'!$C$13+(MIN($A8,'2. Cash flow'!$D$6)+MIN('1. Assumptions'!$B$4*'1. Assumptions'!$B$21,MAX(0,$A8-'2. Cash flow'!$D$6))-'2. Cash flow'!$D$9+MIN(('2. Cash flow'!$D$4+MAX(0,'2. Cash flow'!$D$6-$A8)-MIN('1. Assumptions'!$B$4*'1. Assumptions'!$B$21,MAX(0,$A8-'2. Cash flow'!$D$6))+'2. Cash flow'!$D$9),($A8/B$4)*(1-'1. Assumptions'!$B$16)))*'2. Cash flow'!$D$12)/'1. Assumptions'!$B$4</f>
        <v>0.973710798567118</v>
      </c>
      <c r="C8" s="23" t="n">
        <f aca="false">('1. Assumptions'!$B$4*'1. Assumptions'!$B$20+'2. Cash flow'!$B$13+'2. Cash flow'!$C$13+(MIN($A8,'2. Cash flow'!$D$6)+MIN('1. Assumptions'!$B$4*'1. Assumptions'!$B$21,MAX(0,$A8-'2. Cash flow'!$D$6))-'2. Cash flow'!$D$9+MIN(('2. Cash flow'!$D$4+MAX(0,'2. Cash flow'!$D$6-$A8)-MIN('1. Assumptions'!$B$4*'1. Assumptions'!$B$21,MAX(0,$A8-'2. Cash flow'!$D$6))+'2. Cash flow'!$D$9),($A8/C$4)*(1-'1. Assumptions'!$B$16)))*'2. Cash flow'!$D$12)/'1. Assumptions'!$B$4</f>
        <v>0.973710798567118</v>
      </c>
      <c r="D8" s="23" t="n">
        <f aca="false">('1. Assumptions'!$B$4*'1. Assumptions'!$B$20+'2. Cash flow'!$B$13+'2. Cash flow'!$C$13+(MIN($A8,'2. Cash flow'!$D$6)+MIN('1. Assumptions'!$B$4*'1. Assumptions'!$B$21,MAX(0,$A8-'2. Cash flow'!$D$6))-'2. Cash flow'!$D$9+MIN(('2. Cash flow'!$D$4+MAX(0,'2. Cash flow'!$D$6-$A8)-MIN('1. Assumptions'!$B$4*'1. Assumptions'!$B$21,MAX(0,$A8-'2. Cash flow'!$D$6))+'2. Cash flow'!$D$9),($A8/D$4)*(1-'1. Assumptions'!$B$16)))*'2. Cash flow'!$D$12)/'1. Assumptions'!$B$4</f>
        <v>0.973710798567118</v>
      </c>
      <c r="E8" s="23" t="n">
        <f aca="false">('1. Assumptions'!$B$4*'1. Assumptions'!$B$20+'2. Cash flow'!$B$13+'2. Cash flow'!$C$13+(MIN($A8,'2. Cash flow'!$D$6)+MIN('1. Assumptions'!$B$4*'1. Assumptions'!$B$21,MAX(0,$A8-'2. Cash flow'!$D$6))-'2. Cash flow'!$D$9+MIN(('2. Cash flow'!$D$4+MAX(0,'2. Cash flow'!$D$6-$A8)-MIN('1. Assumptions'!$B$4*'1. Assumptions'!$B$21,MAX(0,$A8-'2. Cash flow'!$D$6))+'2. Cash flow'!$D$9),($A8/E$4)*(1-'1. Assumptions'!$B$16)))*'2. Cash flow'!$D$12)/'1. Assumptions'!$B$4</f>
        <v>0.973710798567118</v>
      </c>
      <c r="F8" s="23" t="n">
        <f aca="false">('1. Assumptions'!$B$4*'1. Assumptions'!$B$20+'2. Cash flow'!$B$13+'2. Cash flow'!$C$13+(MIN($A8,'2. Cash flow'!$D$6)+MIN('1. Assumptions'!$B$4*'1. Assumptions'!$B$21,MAX(0,$A8-'2. Cash flow'!$D$6))-'2. Cash flow'!$D$9+MIN(('2. Cash flow'!$D$4+MAX(0,'2. Cash flow'!$D$6-$A8)-MIN('1. Assumptions'!$B$4*'1. Assumptions'!$B$21,MAX(0,$A8-'2. Cash flow'!$D$6))+'2. Cash flow'!$D$9),($A8/F$4)*(1-'1. Assumptions'!$B$16)))*'2. Cash flow'!$D$12)/'1. Assumptions'!$B$4</f>
        <v>0.951397326264916</v>
      </c>
      <c r="G8" s="23" t="n">
        <f aca="false">('1. Assumptions'!$B$4*'1. Assumptions'!$B$20+'2. Cash flow'!$B$13+'2. Cash flow'!$C$13+(MIN($A8,'2. Cash flow'!$D$6)+MIN('1. Assumptions'!$B$4*'1. Assumptions'!$B$21,MAX(0,$A8-'2. Cash flow'!$D$6))-'2. Cash flow'!$D$9+MIN(('2. Cash flow'!$D$4+MAX(0,'2. Cash flow'!$D$6-$A8)-MIN('1. Assumptions'!$B$4*'1. Assumptions'!$B$21,MAX(0,$A8-'2. Cash flow'!$D$6))+'2. Cash flow'!$D$9),($A8/G$4)*(1-'1. Assumptions'!$B$16)))*'2. Cash flow'!$D$12)/'1. Assumptions'!$B$4</f>
        <v>0.877643516208143</v>
      </c>
      <c r="H8" s="23" t="n">
        <f aca="false">('1. Assumptions'!$B$4*'1. Assumptions'!$B$20+'2. Cash flow'!$B$13+'2. Cash flow'!$C$13+(MIN($A8,'2. Cash flow'!$D$6)+MIN('1. Assumptions'!$B$4*'1. Assumptions'!$B$21,MAX(0,$A8-'2. Cash flow'!$D$6))-'2. Cash flow'!$D$9+MIN(('2. Cash flow'!$D$4+MAX(0,'2. Cash flow'!$D$6-$A8)-MIN('1. Assumptions'!$B$4*'1. Assumptions'!$B$21,MAX(0,$A8-'2. Cash flow'!$D$6))+'2. Cash flow'!$D$9),($A8/H$4)*(1-'1. Assumptions'!$B$16)))*'2. Cash flow'!$D$12)/'1. Assumptions'!$B$4</f>
        <v>0.798426460961979</v>
      </c>
    </row>
    <row r="9" customFormat="false" ht="15" hidden="false" customHeight="false" outlineLevel="0" collapsed="false">
      <c r="A9" s="18" t="n">
        <v>6.6</v>
      </c>
      <c r="B9" s="23" t="n">
        <f aca="false">('1. Assumptions'!$B$4*'1. Assumptions'!$B$20+'2. Cash flow'!$B$13+'2. Cash flow'!$C$13+(MIN($A9,'2. Cash flow'!$D$6)+MIN('1. Assumptions'!$B$4*'1. Assumptions'!$B$21,MAX(0,$A9-'2. Cash flow'!$D$6))-'2. Cash flow'!$D$9+MIN(('2. Cash flow'!$D$4+MAX(0,'2. Cash flow'!$D$6-$A9)-MIN('1. Assumptions'!$B$4*'1. Assumptions'!$B$21,MAX(0,$A9-'2. Cash flow'!$D$6))+'2. Cash flow'!$D$9),($A9/B$4)*(1-'1. Assumptions'!$B$16)))*'2. Cash flow'!$D$12)/'1. Assumptions'!$B$4</f>
        <v>0.973710798567118</v>
      </c>
      <c r="C9" s="23" t="n">
        <f aca="false">('1. Assumptions'!$B$4*'1. Assumptions'!$B$20+'2. Cash flow'!$B$13+'2. Cash flow'!$C$13+(MIN($A9,'2. Cash flow'!$D$6)+MIN('1. Assumptions'!$B$4*'1. Assumptions'!$B$21,MAX(0,$A9-'2. Cash flow'!$D$6))-'2. Cash flow'!$D$9+MIN(('2. Cash flow'!$D$4+MAX(0,'2. Cash flow'!$D$6-$A9)-MIN('1. Assumptions'!$B$4*'1. Assumptions'!$B$21,MAX(0,$A9-'2. Cash flow'!$D$6))+'2. Cash flow'!$D$9),($A9/C$4)*(1-'1. Assumptions'!$B$16)))*'2. Cash flow'!$D$12)/'1. Assumptions'!$B$4</f>
        <v>0.973710798567118</v>
      </c>
      <c r="D9" s="23" t="n">
        <f aca="false">('1. Assumptions'!$B$4*'1. Assumptions'!$B$20+'2. Cash flow'!$B$13+'2. Cash flow'!$C$13+(MIN($A9,'2. Cash flow'!$D$6)+MIN('1. Assumptions'!$B$4*'1. Assumptions'!$B$21,MAX(0,$A9-'2. Cash flow'!$D$6))-'2. Cash flow'!$D$9+MIN(('2. Cash flow'!$D$4+MAX(0,'2. Cash flow'!$D$6-$A9)-MIN('1. Assumptions'!$B$4*'1. Assumptions'!$B$21,MAX(0,$A9-'2. Cash flow'!$D$6))+'2. Cash flow'!$D$9),($A9/D$4)*(1-'1. Assumptions'!$B$16)))*'2. Cash flow'!$D$12)/'1. Assumptions'!$B$4</f>
        <v>0.973710798567118</v>
      </c>
      <c r="E9" s="23" t="n">
        <f aca="false">('1. Assumptions'!$B$4*'1. Assumptions'!$B$20+'2. Cash flow'!$B$13+'2. Cash flow'!$C$13+(MIN($A9,'2. Cash flow'!$D$6)+MIN('1. Assumptions'!$B$4*'1. Assumptions'!$B$21,MAX(0,$A9-'2. Cash flow'!$D$6))-'2. Cash flow'!$D$9+MIN(('2. Cash flow'!$D$4+MAX(0,'2. Cash flow'!$D$6-$A9)-MIN('1. Assumptions'!$B$4*'1. Assumptions'!$B$21,MAX(0,$A9-'2. Cash flow'!$D$6))+'2. Cash flow'!$D$9),($A9/E$4)*(1-'1. Assumptions'!$B$16)))*'2. Cash flow'!$D$12)/'1. Assumptions'!$B$4</f>
        <v>0.973710798567118</v>
      </c>
      <c r="F9" s="23" t="n">
        <f aca="false">('1. Assumptions'!$B$4*'1. Assumptions'!$B$20+'2. Cash flow'!$B$13+'2. Cash flow'!$C$13+(MIN($A9,'2. Cash flow'!$D$6)+MIN('1. Assumptions'!$B$4*'1. Assumptions'!$B$21,MAX(0,$A9-'2. Cash flow'!$D$6))-'2. Cash flow'!$D$9+MIN(('2. Cash flow'!$D$4+MAX(0,'2. Cash flow'!$D$6-$A9)-MIN('1. Assumptions'!$B$4*'1. Assumptions'!$B$21,MAX(0,$A9-'2. Cash flow'!$D$6))+'2. Cash flow'!$D$9),($A9/F$4)*(1-'1. Assumptions'!$B$16)))*'2. Cash flow'!$D$12)/'1. Assumptions'!$B$4</f>
        <v>0.973710798567118</v>
      </c>
      <c r="G9" s="23" t="n">
        <f aca="false">('1. Assumptions'!$B$4*'1. Assumptions'!$B$20+'2. Cash flow'!$B$13+'2. Cash flow'!$C$13+(MIN($A9,'2. Cash flow'!$D$6)+MIN('1. Assumptions'!$B$4*'1. Assumptions'!$B$21,MAX(0,$A9-'2. Cash flow'!$D$6))-'2. Cash flow'!$D$9+MIN(('2. Cash flow'!$D$4+MAX(0,'2. Cash flow'!$D$6-$A9)-MIN('1. Assumptions'!$B$4*'1. Assumptions'!$B$21,MAX(0,$A9-'2. Cash flow'!$D$6))+'2. Cash flow'!$D$9),($A9/G$4)*(1-'1. Assumptions'!$B$16)))*'2. Cash flow'!$D$12)/'1. Assumptions'!$B$4</f>
        <v>0.92084484196762</v>
      </c>
      <c r="H9" s="23" t="n">
        <f aca="false">('1. Assumptions'!$B$4*'1. Assumptions'!$B$20+'2. Cash flow'!$B$13+'2. Cash flow'!$C$13+(MIN($A9,'2. Cash flow'!$D$6)+MIN('1. Assumptions'!$B$4*'1. Assumptions'!$B$21,MAX(0,$A9-'2. Cash flow'!$D$6))-'2. Cash flow'!$D$9+MIN(('2. Cash flow'!$D$4+MAX(0,'2. Cash flow'!$D$6-$A9)-MIN('1. Assumptions'!$B$4*'1. Assumptions'!$B$21,MAX(0,$A9-'2. Cash flow'!$D$6))+'2. Cash flow'!$D$9),($A9/H$4)*(1-'1. Assumptions'!$B$16)))*'2. Cash flow'!$D$12)/'1. Assumptions'!$B$4</f>
        <v>0.837191631627671</v>
      </c>
    </row>
    <row r="11" customFormat="false" ht="15" hidden="false" customHeight="false" outlineLevel="0" collapsed="false">
      <c r="A11" s="17" t="s">
        <v>108</v>
      </c>
      <c r="B11" s="23" t="n">
        <f aca="false">'2. Cash flow'!$B$28/'1. Assumptions'!$B$4</f>
        <v>0.689634925359229</v>
      </c>
    </row>
    <row r="12" customFormat="false" ht="15" hidden="false" customHeight="false" outlineLevel="0" collapsed="false">
      <c r="A12" s="2" t="s">
        <v>109</v>
      </c>
    </row>
    <row r="14" customFormat="false" ht="15" hidden="false" customHeight="false" outlineLevel="0" collapsed="false">
      <c r="A14" s="3" t="s">
        <v>110</v>
      </c>
    </row>
    <row r="15" customFormat="false" ht="15" hidden="false" customHeight="false" outlineLevel="0" collapsed="false">
      <c r="A15" s="0" t="s">
        <v>111</v>
      </c>
      <c r="B15" s="15" t="n">
        <f aca="false">'2. Cash flow'!$B$18/(1-'1. Assumptions'!$B$16)</f>
        <v>88.9596852512821</v>
      </c>
    </row>
    <row r="16" customFormat="false" ht="15" hidden="false" customHeight="false" outlineLevel="0" collapsed="false">
      <c r="A16" s="17" t="s">
        <v>110</v>
      </c>
      <c r="B16" s="20" t="n">
        <f aca="false">'1. Assumptions'!$B$12/B15</f>
        <v>0.0668842294483528</v>
      </c>
    </row>
    <row r="18" customFormat="false" ht="15" hidden="false" customHeight="false" outlineLevel="0" collapsed="false">
      <c r="A18" s="3" t="s">
        <v>112</v>
      </c>
    </row>
    <row r="19" customFormat="false" ht="15" hidden="false" customHeight="false" outlineLevel="0" collapsed="false">
      <c r="A19" s="17" t="s">
        <v>113</v>
      </c>
      <c r="B19" s="17" t="s">
        <v>114</v>
      </c>
      <c r="C19" s="17" t="s">
        <v>115</v>
      </c>
      <c r="D19" s="17" t="s">
        <v>116</v>
      </c>
      <c r="E19" s="17" t="s">
        <v>117</v>
      </c>
    </row>
    <row r="20" customFormat="false" ht="15" hidden="false" customHeight="false" outlineLevel="0" collapsed="false">
      <c r="A20" s="23" t="n">
        <v>0.055</v>
      </c>
      <c r="B20" s="25" t="n">
        <f aca="false">'2. Cash flow'!$D$5/A20</f>
        <v>108.181818181818</v>
      </c>
      <c r="C20" s="22" t="n">
        <f aca="false">MIN('2. Cash flow'!$B$18,B20*(1-'1. Assumptions'!$B$16))</f>
        <v>86.73569312</v>
      </c>
      <c r="D20" s="22" t="n">
        <f aca="false">'2. Cash flow'!$B$22+SUM('2. Cash flow'!$B$13:$D$13)+C20*'2. Cash flow'!$D$12</f>
        <v>80.3311408817872</v>
      </c>
      <c r="E20" s="26" t="n">
        <f aca="false">D20/'1. Assumptions'!$B$4</f>
        <v>0.973710798567118</v>
      </c>
    </row>
    <row r="21" customFormat="false" ht="15" hidden="false" customHeight="false" outlineLevel="0" collapsed="false">
      <c r="A21" s="23" t="n">
        <v>0.06</v>
      </c>
      <c r="B21" s="25" t="n">
        <f aca="false">'2. Cash flow'!$D$5/A21</f>
        <v>99.1666666666667</v>
      </c>
      <c r="C21" s="22" t="n">
        <f aca="false">MIN('2. Cash flow'!$B$18,B21*(1-'1. Assumptions'!$B$16))</f>
        <v>86.73569312</v>
      </c>
      <c r="D21" s="22" t="n">
        <f aca="false">'2. Cash flow'!$B$22+SUM('2. Cash flow'!$B$13:$D$13)+C21*'2. Cash flow'!$D$12</f>
        <v>80.3311408817872</v>
      </c>
      <c r="E21" s="26" t="n">
        <f aca="false">D21/'1. Assumptions'!$B$4</f>
        <v>0.973710798567118</v>
      </c>
    </row>
    <row r="22" customFormat="false" ht="15" hidden="false" customHeight="false" outlineLevel="0" collapsed="false">
      <c r="A22" s="23" t="n">
        <v>0.0625</v>
      </c>
      <c r="B22" s="25" t="n">
        <f aca="false">'2. Cash flow'!$D$5/A22</f>
        <v>95.2</v>
      </c>
      <c r="C22" s="22" t="n">
        <f aca="false">MIN('2. Cash flow'!$B$18,B22*(1-'1. Assumptions'!$B$16))</f>
        <v>86.73569312</v>
      </c>
      <c r="D22" s="22" t="n">
        <f aca="false">'2. Cash flow'!$B$22+SUM('2. Cash flow'!$B$13:$D$13)+C22*'2. Cash flow'!$D$12</f>
        <v>80.3311408817872</v>
      </c>
      <c r="E22" s="26" t="n">
        <f aca="false">D22/'1. Assumptions'!$B$4</f>
        <v>0.973710798567118</v>
      </c>
    </row>
    <row r="23" customFormat="false" ht="15" hidden="false" customHeight="false" outlineLevel="0" collapsed="false">
      <c r="A23" s="23" t="n">
        <v>0.0665</v>
      </c>
      <c r="B23" s="25" t="n">
        <f aca="false">'2. Cash flow'!$D$5/A23</f>
        <v>89.4736842105263</v>
      </c>
      <c r="C23" s="22" t="n">
        <f aca="false">MIN('2. Cash flow'!$B$18,B23*(1-'1. Assumptions'!$B$16))</f>
        <v>86.73569312</v>
      </c>
      <c r="D23" s="22" t="n">
        <f aca="false">'2. Cash flow'!$B$22+SUM('2. Cash flow'!$B$13:$D$13)+C23*'2. Cash flow'!$D$12</f>
        <v>80.3311408817872</v>
      </c>
      <c r="E23" s="26" t="n">
        <f aca="false">D23/'1. Assumptions'!$B$4</f>
        <v>0.973710798567118</v>
      </c>
    </row>
    <row r="24" customFormat="false" ht="15" hidden="false" customHeight="false" outlineLevel="0" collapsed="false">
      <c r="A24" s="23" t="n">
        <v>0.07</v>
      </c>
      <c r="B24" s="25" t="n">
        <f aca="false">'2. Cash flow'!$D$5/A24</f>
        <v>85</v>
      </c>
      <c r="C24" s="22" t="n">
        <f aca="false">MIN('2. Cash flow'!$B$18,B24*(1-'1. Assumptions'!$B$16))</f>
        <v>82.875</v>
      </c>
      <c r="D24" s="22" t="n">
        <f aca="false">'2. Cash flow'!$B$22+SUM('2. Cash flow'!$B$13:$D$13)+C24*'2. Cash flow'!$D$12</f>
        <v>77.3499774329378</v>
      </c>
      <c r="E24" s="26" t="n">
        <f aca="false">D24/'1. Assumptions'!$B$4</f>
        <v>0.93757548403561</v>
      </c>
    </row>
    <row r="25" customFormat="false" ht="15" hidden="false" customHeight="false" outlineLevel="0" collapsed="false">
      <c r="A25" s="23" t="n">
        <v>0.075</v>
      </c>
      <c r="B25" s="25" t="n">
        <f aca="false">'2. Cash flow'!$D$5/A25</f>
        <v>79.3333333333333</v>
      </c>
      <c r="C25" s="22" t="n">
        <f aca="false">MIN('2. Cash flow'!$B$18,B25*(1-'1. Assumptions'!$B$16))</f>
        <v>77.35</v>
      </c>
      <c r="D25" s="22" t="n">
        <f aca="false">'2. Cash flow'!$B$22+SUM('2. Cash flow'!$B$13:$D$13)+C25*'2. Cash flow'!$D$12</f>
        <v>73.0836637056004</v>
      </c>
      <c r="E25" s="26" t="n">
        <f aca="false">D25/'1. Assumptions'!$B$4</f>
        <v>0.885862590370914</v>
      </c>
    </row>
    <row r="27" customFormat="false" ht="15" hidden="false" customHeight="false" outlineLevel="0" collapsed="false">
      <c r="A27" s="3" t="s">
        <v>118</v>
      </c>
    </row>
    <row r="28" customFormat="false" ht="15" hidden="false" customHeight="false" outlineLevel="0" collapsed="false">
      <c r="A28" s="17"/>
      <c r="B28" s="17" t="s">
        <v>57</v>
      </c>
      <c r="C28" s="17" t="s">
        <v>58</v>
      </c>
      <c r="D28" s="17" t="s">
        <v>59</v>
      </c>
    </row>
    <row r="29" customFormat="false" ht="15" hidden="false" customHeight="false" outlineLevel="0" collapsed="false">
      <c r="A29" s="21" t="s">
        <v>60</v>
      </c>
      <c r="B29" s="22" t="n">
        <f aca="false">'1. Assumptions'!$B$4</f>
        <v>82.5</v>
      </c>
      <c r="C29" s="22" t="n">
        <f aca="false">B35</f>
        <v>85.12</v>
      </c>
      <c r="D29" s="22" t="n">
        <f aca="false">C35</f>
        <v>86.43912</v>
      </c>
    </row>
    <row r="30" customFormat="false" ht="15" hidden="false" customHeight="false" outlineLevel="0" collapsed="false">
      <c r="A30" s="21" t="s">
        <v>61</v>
      </c>
      <c r="B30" s="22" t="n">
        <f aca="false">'1. Assumptions'!$B$10</f>
        <v>5.15</v>
      </c>
      <c r="C30" s="22" t="n">
        <f aca="false">'1. Assumptions'!$B$10</f>
        <v>5.15</v>
      </c>
      <c r="D30" s="22" t="n">
        <f aca="false">'1. Assumptions'!$B$10</f>
        <v>5.15</v>
      </c>
    </row>
    <row r="31" customFormat="false" ht="15" hidden="false" customHeight="false" outlineLevel="0" collapsed="false">
      <c r="A31" s="21" t="s">
        <v>119</v>
      </c>
      <c r="B31" s="22" t="n">
        <f aca="false">B29*('1. Assumptions'!$B$5+'1. Assumptions'!$B$6+'1. Assumptions'!$B$19)</f>
        <v>6.27</v>
      </c>
      <c r="C31" s="22" t="n">
        <f aca="false">C29*('1. Assumptions'!$B$5+'1. Assumptions'!$B$6+'1. Assumptions'!$B$19)</f>
        <v>6.46912</v>
      </c>
      <c r="D31" s="22" t="n">
        <f aca="false">D29*('1. Assumptions'!$B$5+'1. Assumptions'!$B$6+'1. Assumptions'!$B$19)</f>
        <v>6.56937312</v>
      </c>
    </row>
    <row r="32" customFormat="false" ht="15" hidden="false" customHeight="false" outlineLevel="0" collapsed="false">
      <c r="A32" s="21" t="s">
        <v>63</v>
      </c>
      <c r="B32" s="22" t="n">
        <f aca="false">MAX(0,B31-B30)</f>
        <v>1.12</v>
      </c>
      <c r="C32" s="22" t="n">
        <f aca="false">MAX(0,C31-C30)</f>
        <v>1.31912</v>
      </c>
      <c r="D32" s="22" t="n">
        <f aca="false">MAX(0,D31-D30)</f>
        <v>1.41937312</v>
      </c>
    </row>
    <row r="33" customFormat="false" ht="15" hidden="false" customHeight="false" outlineLevel="0" collapsed="false">
      <c r="A33" s="21" t="s">
        <v>120</v>
      </c>
      <c r="B33" s="22" t="n">
        <f aca="false">MIN('1. Assumptions'!$B$4*'1. Assumptions'!$B$21,MAX(0,B30-B31))</f>
        <v>0</v>
      </c>
      <c r="C33" s="22" t="n">
        <f aca="false">MIN('1. Assumptions'!$B$4*'1. Assumptions'!$B$21,MAX(0,C30-C31))</f>
        <v>0</v>
      </c>
      <c r="D33" s="22" t="n">
        <f aca="false">MIN('1. Assumptions'!$B$4*'1. Assumptions'!$B$21,MAX(0,D30-D31))</f>
        <v>0</v>
      </c>
    </row>
    <row r="34" customFormat="false" ht="15" hidden="false" customHeight="false" outlineLevel="0" collapsed="false">
      <c r="A34" s="21" t="s">
        <v>121</v>
      </c>
      <c r="B34" s="22" t="n">
        <f aca="false">'2. Cash flow'!B9</f>
        <v>1.5</v>
      </c>
      <c r="C34" s="22" t="n">
        <f aca="false">'2. Cash flow'!C9</f>
        <v>0</v>
      </c>
      <c r="D34" s="22" t="n">
        <f aca="false">'2. Cash flow'!D9</f>
        <v>0</v>
      </c>
    </row>
    <row r="35" customFormat="false" ht="15" hidden="false" customHeight="false" outlineLevel="0" collapsed="false">
      <c r="A35" s="21" t="s">
        <v>69</v>
      </c>
      <c r="B35" s="22" t="n">
        <f aca="false">B29+B32-B33+B34</f>
        <v>85.12</v>
      </c>
      <c r="C35" s="22" t="n">
        <f aca="false">C29+C32-C33+C34</f>
        <v>86.43912</v>
      </c>
      <c r="D35" s="22" t="n">
        <f aca="false">D29+D32-D33+D34</f>
        <v>87.85849312</v>
      </c>
    </row>
    <row r="36" customFormat="false" ht="15" hidden="false" customHeight="false" outlineLevel="0" collapsed="false">
      <c r="A36" s="21" t="s">
        <v>122</v>
      </c>
      <c r="B36" s="22" t="n">
        <f aca="false">MIN(B30,B31)+B33-B34</f>
        <v>3.65</v>
      </c>
      <c r="C36" s="22" t="n">
        <f aca="false">MIN(C30,C31)+C33-C34</f>
        <v>5.15</v>
      </c>
      <c r="D36" s="22" t="n">
        <f aca="false">MIN(D30,D31)+D33-D34</f>
        <v>5.15</v>
      </c>
    </row>
    <row r="37" customFormat="false" ht="15" hidden="false" customHeight="false" outlineLevel="0" collapsed="false">
      <c r="A37" s="21" t="s">
        <v>123</v>
      </c>
      <c r="B37" s="22" t="n">
        <f aca="false">D30/'1. Assumptions'!$B$15</f>
        <v>82.4</v>
      </c>
    </row>
    <row r="38" customFormat="false" ht="15" hidden="false" customHeight="false" outlineLevel="0" collapsed="false">
      <c r="A38" s="21" t="s">
        <v>124</v>
      </c>
      <c r="B38" s="22" t="n">
        <f aca="false">MIN(D35,B37*(1-'1. Assumptions'!$B$16))</f>
        <v>80.34</v>
      </c>
    </row>
    <row r="39" customFormat="false" ht="147.75" hidden="false" customHeight="false" outlineLevel="0" collapsed="false">
      <c r="A39" s="21" t="s">
        <v>125</v>
      </c>
      <c r="B39" s="18" t="n">
        <f aca="false">'2. Cash flow'!$B$22+B36*'2. Cash flow'!$B$12+C36*'2. Cash flow'!$C$12+(D36+B38)*'2. Cash flow'!$D$12</f>
        <v>74.5222415289542</v>
      </c>
      <c r="C39" s="16" t="s">
        <v>126</v>
      </c>
    </row>
    <row r="40" customFormat="false" ht="15" hidden="false" customHeight="false" outlineLevel="0" collapsed="false">
      <c r="A40" s="21" t="s">
        <v>117</v>
      </c>
      <c r="B40" s="26" t="n">
        <f aca="false">B39/'1. Assumptions'!$B$4</f>
        <v>0.903299897320657</v>
      </c>
    </row>
    <row r="41" customFormat="false" ht="15" hidden="false" customHeight="false" outlineLevel="0" collapsed="false">
      <c r="A41" s="21" t="s">
        <v>127</v>
      </c>
      <c r="B41" s="22" t="n">
        <f aca="false">B39-'2. Cash flow'!$B$28</f>
        <v>17.6273601868178</v>
      </c>
    </row>
    <row r="43" customFormat="false" ht="15" hidden="false" customHeight="false" outlineLevel="0" collapsed="false">
      <c r="A43" s="21" t="s">
        <v>128</v>
      </c>
      <c r="B43" s="20" t="n">
        <f aca="false">'2. Cash flow'!$D$5*(1-'1. Assumptions'!$B$16)/(('2. Cash flow'!$B$28-'2. Cash flow'!$B$22-SUM('2. Cash flow'!$B$13:$D$13))/'2. Cash flow'!$D$12)</f>
        <v>0.102886301285197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5"/>
    <col collapsed="false" customWidth="true" hidden="false" outlineLevel="0" max="3" min="3" style="0" width="58"/>
  </cols>
  <sheetData>
    <row r="1" customFormat="false" ht="16.15" hidden="false" customHeight="false" outlineLevel="0" collapsed="false">
      <c r="A1" s="5" t="s">
        <v>129</v>
      </c>
    </row>
    <row r="2" customFormat="false" ht="15" hidden="false" customHeight="false" outlineLevel="0" collapsed="false">
      <c r="A2" s="2" t="s">
        <v>130</v>
      </c>
    </row>
    <row r="4" customFormat="false" ht="15" hidden="false" customHeight="false" outlineLevel="0" collapsed="false">
      <c r="A4" s="3" t="s">
        <v>131</v>
      </c>
    </row>
    <row r="5" customFormat="false" ht="15" hidden="false" customHeight="false" outlineLevel="0" collapsed="false">
      <c r="A5" s="0" t="s">
        <v>46</v>
      </c>
      <c r="B5" s="15" t="n">
        <f aca="false">'1. Assumptions'!$B$28</f>
        <v>70</v>
      </c>
    </row>
    <row r="6" customFormat="false" ht="15" hidden="false" customHeight="false" outlineLevel="0" collapsed="false">
      <c r="A6" s="0" t="s">
        <v>47</v>
      </c>
      <c r="B6" s="23" t="n">
        <f aca="false">'1. Assumptions'!$B$29</f>
        <v>0.0295</v>
      </c>
    </row>
    <row r="7" customFormat="false" ht="15" hidden="false" customHeight="false" outlineLevel="0" collapsed="false">
      <c r="A7" s="0" t="s">
        <v>132</v>
      </c>
      <c r="B7" s="23" t="n">
        <f aca="false">'1. Assumptions'!$B$30</f>
        <v>0.033</v>
      </c>
    </row>
    <row r="8" customFormat="false" ht="15" hidden="false" customHeight="false" outlineLevel="0" collapsed="false">
      <c r="A8" s="0" t="s">
        <v>133</v>
      </c>
      <c r="B8" s="23" t="n">
        <f aca="false">B7-B6</f>
        <v>0.0035</v>
      </c>
      <c r="C8" s="9" t="s">
        <v>134</v>
      </c>
    </row>
    <row r="9" customFormat="false" ht="15" hidden="false" customHeight="false" outlineLevel="0" collapsed="false">
      <c r="A9" s="0" t="s">
        <v>49</v>
      </c>
      <c r="B9" s="27" t="n">
        <f aca="false">'1. Assumptions'!$B$31</f>
        <v>1.75</v>
      </c>
    </row>
    <row r="10" customFormat="false" ht="22.35" hidden="false" customHeight="false" outlineLevel="0" collapsed="false">
      <c r="A10" s="0" t="s">
        <v>135</v>
      </c>
      <c r="B10" s="15" t="n">
        <f aca="false">'1. Assumptions'!$B$28*B8*0.5/(1+'1. Assumptions'!$B$8)^0.5+'1. Assumptions'!$B$28*B8*0.5/(1+'1. Assumptions'!$B$8)^1+'1. Assumptions'!$B$28*B8*0.5/(1+'1. Assumptions'!$B$8)^1.5+'1. Assumptions'!$B$28*B8*0.25/(1+'1. Assumptions'!$B$8)^1.75</f>
        <v>0.390040283622879</v>
      </c>
      <c r="C10" s="9" t="s">
        <v>136</v>
      </c>
    </row>
    <row r="11" customFormat="false" ht="15" hidden="false" customHeight="false" outlineLevel="0" collapsed="false">
      <c r="A11" s="0" t="s">
        <v>137</v>
      </c>
      <c r="B11" s="23" t="n">
        <f aca="false">B10/'1. Assumptions'!$B$4</f>
        <v>0.00472776101361065</v>
      </c>
    </row>
    <row r="13" customFormat="false" ht="15" hidden="false" customHeight="false" outlineLevel="0" collapsed="false">
      <c r="A13" s="3" t="s">
        <v>50</v>
      </c>
    </row>
    <row r="14" customFormat="false" ht="15" hidden="false" customHeight="false" outlineLevel="0" collapsed="false">
      <c r="A14" s="0" t="s">
        <v>138</v>
      </c>
      <c r="B14" s="15" t="n">
        <f aca="false">'1. Assumptions'!$B$4*('1. Assumptions'!$B$5+'1. Assumptions'!$B$6)</f>
        <v>5.0325</v>
      </c>
    </row>
    <row r="15" customFormat="false" ht="15" hidden="false" customHeight="false" outlineLevel="0" collapsed="false">
      <c r="A15" s="0" t="s">
        <v>139</v>
      </c>
      <c r="B15" s="23" t="n">
        <f aca="false">'1. Assumptions'!$B$33</f>
        <v>0.5</v>
      </c>
    </row>
    <row r="16" customFormat="false" ht="15" hidden="false" customHeight="false" outlineLevel="0" collapsed="false">
      <c r="A16" s="0" t="s">
        <v>140</v>
      </c>
      <c r="B16" s="15" t="n">
        <f aca="false">B14*B15*3</f>
        <v>7.54875</v>
      </c>
    </row>
    <row r="17" customFormat="false" ht="15" hidden="false" customHeight="false" outlineLevel="0" collapsed="false">
      <c r="A17" s="0" t="s">
        <v>52</v>
      </c>
      <c r="B17" s="15" t="n">
        <f aca="false">'1. Assumptions'!$B$34</f>
        <v>8</v>
      </c>
    </row>
    <row r="18" customFormat="false" ht="15" hidden="false" customHeight="false" outlineLevel="0" collapsed="false">
      <c r="A18" s="0" t="s">
        <v>141</v>
      </c>
      <c r="B18" s="15" t="n">
        <f aca="false">MIN(B16,B17)</f>
        <v>7.54875</v>
      </c>
      <c r="C18" s="9" t="s">
        <v>142</v>
      </c>
    </row>
    <row r="19" customFormat="false" ht="22.35" hidden="false" customHeight="false" outlineLevel="0" collapsed="false">
      <c r="A19" s="0" t="s">
        <v>143</v>
      </c>
      <c r="B19" s="23" t="n">
        <f aca="false">'1. Assumptions'!$B$35</f>
        <v>0.6</v>
      </c>
      <c r="C19" s="9" t="s">
        <v>144</v>
      </c>
    </row>
    <row r="20" customFormat="false" ht="15" hidden="false" customHeight="false" outlineLevel="0" collapsed="false">
      <c r="A20" s="0" t="s">
        <v>145</v>
      </c>
      <c r="B20" s="15" t="n">
        <f aca="false">B18*B19</f>
        <v>4.52925</v>
      </c>
    </row>
    <row r="21" customFormat="false" ht="15" hidden="false" customHeight="false" outlineLevel="0" collapsed="false">
      <c r="A21" s="0" t="s">
        <v>55</v>
      </c>
      <c r="B21" s="27" t="n">
        <f aca="false">'1. Assumptions'!$B$36</f>
        <v>1.5</v>
      </c>
    </row>
    <row r="22" customFormat="false" ht="15" hidden="false" customHeight="false" outlineLevel="0" collapsed="false">
      <c r="A22" s="0" t="s">
        <v>146</v>
      </c>
      <c r="B22" s="15" t="n">
        <f aca="false">B20/(1+'1. Assumptions'!$B$8)^B21</f>
        <v>3.98003183700725</v>
      </c>
    </row>
    <row r="23" customFormat="false" ht="15" hidden="false" customHeight="false" outlineLevel="0" collapsed="false">
      <c r="A23" s="0" t="s">
        <v>137</v>
      </c>
      <c r="B23" s="23" t="n">
        <f aca="false">B22/'1. Assumptions'!$B$4</f>
        <v>0.0482428101455424</v>
      </c>
      <c r="C23" s="9" t="s">
        <v>147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2" min="2" style="0" width="70"/>
    <col collapsed="false" customWidth="true" hidden="false" outlineLevel="0" max="4" min="3" style="0" width="13"/>
    <col collapsed="false" customWidth="true" hidden="false" outlineLevel="0" max="5" min="5" style="0" width="11"/>
    <col collapsed="false" customWidth="true" hidden="false" outlineLevel="0" max="6" min="6" style="0" width="60"/>
  </cols>
  <sheetData>
    <row r="1" customFormat="false" ht="16.15" hidden="false" customHeight="false" outlineLevel="0" collapsed="false">
      <c r="A1" s="5" t="s">
        <v>148</v>
      </c>
    </row>
    <row r="2" customFormat="false" ht="15" hidden="false" customHeight="false" outlineLevel="0" collapsed="false">
      <c r="A2" s="2" t="s">
        <v>149</v>
      </c>
    </row>
    <row r="4" customFormat="false" ht="15" hidden="false" customHeight="false" outlineLevel="0" collapsed="false">
      <c r="A4" s="28" t="s">
        <v>150</v>
      </c>
      <c r="B4" s="28" t="s">
        <v>151</v>
      </c>
      <c r="C4" s="28" t="s">
        <v>152</v>
      </c>
      <c r="D4" s="28" t="s">
        <v>153</v>
      </c>
      <c r="E4" s="28" t="s">
        <v>154</v>
      </c>
      <c r="F4" s="28" t="s">
        <v>94</v>
      </c>
    </row>
    <row r="5" customFormat="false" ht="15" hidden="false" customHeight="false" outlineLevel="0" collapsed="false">
      <c r="A5" s="0" t="s">
        <v>155</v>
      </c>
      <c r="B5" s="4" t="s">
        <v>156</v>
      </c>
      <c r="C5" s="15" t="n">
        <v>6.27</v>
      </c>
      <c r="D5" s="15" t="n">
        <f aca="false">'2. Cash flow'!$B$6</f>
        <v>6.27</v>
      </c>
      <c r="E5" s="17" t="str">
        <f aca="false">IF(ISNUMBER(D5)=FALSE(),"CHECK",IF(ABS(D5-C5)&lt;=0.005,"OK","CHECK"))</f>
        <v>OK</v>
      </c>
      <c r="F5" s="9"/>
    </row>
    <row r="6" customFormat="false" ht="15" hidden="false" customHeight="false" outlineLevel="0" collapsed="false">
      <c r="A6" s="0" t="s">
        <v>155</v>
      </c>
      <c r="B6" s="4" t="s">
        <v>157</v>
      </c>
      <c r="C6" s="15" t="n">
        <v>1.12</v>
      </c>
      <c r="D6" s="15" t="n">
        <f aca="false">'2. Cash flow'!$B$7</f>
        <v>1.12</v>
      </c>
      <c r="E6" s="17" t="str">
        <f aca="false">IF(ISNUMBER(D6)=FALSE(),"CHECK",IF(ABS(D6-C6)&lt;=0.005,"OK","CHECK"))</f>
        <v>OK</v>
      </c>
      <c r="F6" s="9"/>
    </row>
    <row r="7" customFormat="false" ht="15" hidden="false" customHeight="false" outlineLevel="0" collapsed="false">
      <c r="A7" s="0" t="s">
        <v>155</v>
      </c>
      <c r="B7" s="4" t="s">
        <v>158</v>
      </c>
      <c r="C7" s="15" t="n">
        <v>6.47</v>
      </c>
      <c r="D7" s="15" t="n">
        <f aca="false">'2. Cash flow'!$C$6</f>
        <v>6.46912</v>
      </c>
      <c r="E7" s="17" t="str">
        <f aca="false">IF(ISNUMBER(D7)=FALSE(),"CHECK",IF(ABS(D7-C7)&lt;=0.005,"OK","CHECK"))</f>
        <v>OK</v>
      </c>
      <c r="F7" s="9" t="s">
        <v>159</v>
      </c>
    </row>
    <row r="8" customFormat="false" ht="15" hidden="false" customHeight="false" outlineLevel="0" collapsed="false">
      <c r="A8" s="0" t="s">
        <v>155</v>
      </c>
      <c r="B8" s="4" t="s">
        <v>160</v>
      </c>
      <c r="C8" s="15" t="n">
        <v>6.55</v>
      </c>
      <c r="D8" s="15" t="n">
        <f aca="false">'2. Cash flow'!$D$6</f>
        <v>6.54657312</v>
      </c>
      <c r="E8" s="17" t="str">
        <f aca="false">IF(ISNUMBER(D8)=FALSE(),"CHECK",IF(ABS(D8-C8)&lt;=0.005,"OK","CHECK"))</f>
        <v>OK</v>
      </c>
      <c r="F8" s="9" t="s">
        <v>161</v>
      </c>
    </row>
    <row r="9" customFormat="false" ht="15" hidden="false" customHeight="false" outlineLevel="0" collapsed="false">
      <c r="A9" s="0" t="s">
        <v>155</v>
      </c>
      <c r="B9" s="4" t="s">
        <v>162</v>
      </c>
      <c r="C9" s="15" t="n">
        <v>1.02</v>
      </c>
      <c r="D9" s="15" t="n">
        <f aca="false">'2. Cash flow'!$C$7</f>
        <v>1.01912</v>
      </c>
      <c r="E9" s="17" t="str">
        <f aca="false">IF(ISNUMBER(D9)=FALSE(),"CHECK",IF(ABS(D9-C9)&lt;=0.005,"OK","CHECK"))</f>
        <v>OK</v>
      </c>
      <c r="F9" s="9" t="s">
        <v>163</v>
      </c>
    </row>
    <row r="10" customFormat="false" ht="15" hidden="false" customHeight="false" outlineLevel="0" collapsed="false">
      <c r="A10" s="0" t="s">
        <v>155</v>
      </c>
      <c r="B10" s="4" t="s">
        <v>164</v>
      </c>
      <c r="C10" s="15" t="n">
        <v>0.6</v>
      </c>
      <c r="D10" s="15" t="n">
        <f aca="false">'2. Cash flow'!$D$7</f>
        <v>0.59657312</v>
      </c>
      <c r="E10" s="17" t="str">
        <f aca="false">IF(ISNUMBER(D10)=FALSE(),"CHECK",IF(ABS(D10-C10)&lt;=0.005,"OK","CHECK"))</f>
        <v>OK</v>
      </c>
      <c r="F10" s="9" t="s">
        <v>165</v>
      </c>
    </row>
    <row r="11" customFormat="false" ht="15" hidden="false" customHeight="false" outlineLevel="0" collapsed="false">
      <c r="A11" s="0" t="s">
        <v>155</v>
      </c>
      <c r="B11" s="4" t="s">
        <v>166</v>
      </c>
      <c r="C11" s="15" t="n">
        <v>1.24</v>
      </c>
      <c r="D11" s="15" t="n">
        <f aca="false">'1. Assumptions'!$B$4*'1. Assumptions'!$B$21</f>
        <v>1.2375</v>
      </c>
      <c r="E11" s="17" t="str">
        <f aca="false">IF(ISNUMBER(D11)=FALSE(),"CHECK",IF(ABS(D11-C11)&lt;=0.005,"OK","CHECK"))</f>
        <v>OK</v>
      </c>
      <c r="F11" s="9"/>
    </row>
    <row r="12" customFormat="false" ht="15" hidden="false" customHeight="false" outlineLevel="0" collapsed="false">
      <c r="A12" s="0" t="s">
        <v>155</v>
      </c>
      <c r="B12" s="4" t="s">
        <v>167</v>
      </c>
      <c r="C12" s="15" t="n">
        <v>0</v>
      </c>
      <c r="D12" s="15" t="n">
        <f aca="false">SUM('2. Cash flow'!$B$8:$D$8)</f>
        <v>0</v>
      </c>
      <c r="E12" s="17" t="str">
        <f aca="false">IF(ISNUMBER(D12)=FALSE(),"CHECK",IF(ABS(D12-C12)&lt;=0.005,"OK","CHECK"))</f>
        <v>OK</v>
      </c>
      <c r="F12" s="9" t="s">
        <v>168</v>
      </c>
    </row>
    <row r="13" customFormat="false" ht="15" hidden="false" customHeight="false" outlineLevel="0" collapsed="false">
      <c r="A13" s="0" t="s">
        <v>155</v>
      </c>
      <c r="B13" s="4" t="s">
        <v>169</v>
      </c>
      <c r="C13" s="15" t="n">
        <v>3.65</v>
      </c>
      <c r="D13" s="15" t="n">
        <f aca="false">'2. Cash flow'!$B$11</f>
        <v>3.65</v>
      </c>
      <c r="E13" s="17" t="str">
        <f aca="false">IF(ISNUMBER(D13)=FALSE(),"CHECK",IF(ABS(D13-C13)&lt;=0.005,"OK","CHECK"))</f>
        <v>OK</v>
      </c>
      <c r="F13" s="9" t="s">
        <v>170</v>
      </c>
    </row>
    <row r="14" customFormat="false" ht="15" hidden="false" customHeight="false" outlineLevel="0" collapsed="false">
      <c r="A14" s="0" t="s">
        <v>155</v>
      </c>
      <c r="B14" s="4" t="s">
        <v>171</v>
      </c>
      <c r="C14" s="15" t="n">
        <v>85.12</v>
      </c>
      <c r="D14" s="15" t="n">
        <f aca="false">'2. Cash flow'!$B$10</f>
        <v>85.12</v>
      </c>
      <c r="E14" s="17" t="str">
        <f aca="false">IF(ISNUMBER(D14)=FALSE(),"CHECK",IF(ABS(D14-C14)&lt;=0.005,"OK","CHECK"))</f>
        <v>OK</v>
      </c>
      <c r="F14" s="9" t="s">
        <v>172</v>
      </c>
    </row>
    <row r="15" customFormat="false" ht="15" hidden="false" customHeight="false" outlineLevel="0" collapsed="false">
      <c r="A15" s="0" t="s">
        <v>155</v>
      </c>
      <c r="B15" s="4" t="s">
        <v>173</v>
      </c>
      <c r="C15" s="15" t="n">
        <v>86.14</v>
      </c>
      <c r="D15" s="15" t="n">
        <f aca="false">'2. Cash flow'!$C$10</f>
        <v>86.13912</v>
      </c>
      <c r="E15" s="17" t="str">
        <f aca="false">IF(ISNUMBER(D15)=FALSE(),"CHECK",IF(ABS(D15-C15)&lt;=0.005,"OK","CHECK"))</f>
        <v>OK</v>
      </c>
      <c r="F15" s="9" t="s">
        <v>174</v>
      </c>
    </row>
    <row r="16" customFormat="false" ht="15" hidden="false" customHeight="false" outlineLevel="0" collapsed="false">
      <c r="A16" s="0" t="s">
        <v>155</v>
      </c>
      <c r="B16" s="4" t="s">
        <v>175</v>
      </c>
      <c r="C16" s="15" t="n">
        <v>86.74</v>
      </c>
      <c r="D16" s="15" t="n">
        <f aca="false">'2. Cash flow'!$D$10</f>
        <v>86.73569312</v>
      </c>
      <c r="E16" s="17" t="str">
        <f aca="false">IF(ISNUMBER(D16)=FALSE(),"CHECK",IF(ABS(D16-C16)&lt;=0.005,"OK","CHECK"))</f>
        <v>OK</v>
      </c>
      <c r="F16" s="9" t="s">
        <v>176</v>
      </c>
    </row>
    <row r="17" customFormat="false" ht="15" hidden="false" customHeight="false" outlineLevel="0" collapsed="false">
      <c r="A17" s="0" t="s">
        <v>155</v>
      </c>
      <c r="B17" s="4" t="s">
        <v>177</v>
      </c>
      <c r="C17" s="29" t="n">
        <v>95.2</v>
      </c>
      <c r="D17" s="29" t="n">
        <f aca="false">'2. Cash flow'!$B$16</f>
        <v>95.2</v>
      </c>
      <c r="E17" s="17" t="str">
        <f aca="false">IF(ISNUMBER(D17)=FALSE(),"CHECK",IF(ABS(D17-C17)&lt;=0.05,"OK","CHECK"))</f>
        <v>OK</v>
      </c>
      <c r="F17" s="9"/>
    </row>
    <row r="18" customFormat="false" ht="15" hidden="false" customHeight="false" outlineLevel="0" collapsed="false">
      <c r="A18" s="0" t="s">
        <v>155</v>
      </c>
      <c r="B18" s="4" t="s">
        <v>178</v>
      </c>
      <c r="C18" s="15" t="n">
        <v>92.82</v>
      </c>
      <c r="D18" s="15" t="n">
        <f aca="false">'2. Cash flow'!$B$17</f>
        <v>92.82</v>
      </c>
      <c r="E18" s="17" t="str">
        <f aca="false">IF(ISNUMBER(D18)=FALSE(),"CHECK",IF(ABS(D18-C18)&lt;=0.005,"OK","CHECK"))</f>
        <v>OK</v>
      </c>
      <c r="F18" s="9"/>
    </row>
    <row r="19" customFormat="false" ht="15" hidden="false" customHeight="false" outlineLevel="0" collapsed="false">
      <c r="A19" s="0" t="s">
        <v>155</v>
      </c>
      <c r="B19" s="4" t="s">
        <v>179</v>
      </c>
      <c r="C19" s="30" t="n">
        <v>0.825</v>
      </c>
      <c r="D19" s="30" t="n">
        <f aca="false">'2. Cash flow'!$B$22</f>
        <v>0.825</v>
      </c>
      <c r="E19" s="17" t="str">
        <f aca="false">IF(ISNUMBER(D19)=FALSE(),"CHECK",IF(ABS(D19-C19)&lt;=0.0005,"OK","CHECK"))</f>
        <v>OK</v>
      </c>
      <c r="F19" s="9"/>
    </row>
    <row r="20" customFormat="false" ht="15" hidden="false" customHeight="false" outlineLevel="0" collapsed="false">
      <c r="A20" s="0" t="s">
        <v>155</v>
      </c>
      <c r="B20" s="4" t="s">
        <v>180</v>
      </c>
      <c r="C20" s="15" t="n">
        <v>80.33</v>
      </c>
      <c r="D20" s="15" t="n">
        <f aca="false">'2. Cash flow'!$B$24</f>
        <v>80.3311408817872</v>
      </c>
      <c r="E20" s="17" t="str">
        <f aca="false">IF(ISNUMBER(D20)=FALSE(),"CHECK",IF(ABS(D20-C20)&lt;=0.005,"OK","CHECK"))</f>
        <v>OK</v>
      </c>
      <c r="F20" s="9" t="s">
        <v>181</v>
      </c>
    </row>
    <row r="21" customFormat="false" ht="15" hidden="false" customHeight="false" outlineLevel="0" collapsed="false">
      <c r="A21" s="0" t="s">
        <v>155</v>
      </c>
      <c r="B21" s="4" t="s">
        <v>182</v>
      </c>
      <c r="C21" s="31" t="n">
        <v>0.974</v>
      </c>
      <c r="D21" s="31" t="n">
        <f aca="false">'2. Cash flow'!$B$25</f>
        <v>0.973710798567118</v>
      </c>
      <c r="E21" s="17" t="str">
        <f aca="false">IF(ISNUMBER(D21)=FALSE(),"CHECK",IF(ABS(D21-C21)&lt;=0.0005,"OK","CHECK"))</f>
        <v>OK</v>
      </c>
      <c r="F21" s="9" t="s">
        <v>183</v>
      </c>
    </row>
    <row r="22" customFormat="false" ht="15" hidden="false" customHeight="false" outlineLevel="0" collapsed="false">
      <c r="A22" s="0" t="s">
        <v>155</v>
      </c>
      <c r="B22" s="4" t="s">
        <v>184</v>
      </c>
      <c r="C22" s="15" t="n">
        <v>77.35</v>
      </c>
      <c r="D22" s="15" t="n">
        <f aca="false">'4. Scenarios'!$D$24</f>
        <v>77.3499774329378</v>
      </c>
      <c r="E22" s="17" t="str">
        <f aca="false">IF(ISNUMBER(D22)=FALSE(),"CHECK",IF(ABS(D22-C22)&lt;=0.005,"OK","CHECK"))</f>
        <v>OK</v>
      </c>
      <c r="F22" s="9" t="s">
        <v>185</v>
      </c>
    </row>
    <row r="23" customFormat="false" ht="15" hidden="false" customHeight="false" outlineLevel="0" collapsed="false">
      <c r="A23" s="0" t="s">
        <v>155</v>
      </c>
      <c r="B23" s="4" t="s">
        <v>186</v>
      </c>
      <c r="C23" s="15" t="n">
        <v>77.35</v>
      </c>
      <c r="D23" s="15" t="n">
        <f aca="false">'4. Scenarios'!$C$25</f>
        <v>77.35</v>
      </c>
      <c r="E23" s="17" t="str">
        <f aca="false">IF(ISNUMBER(D23)=FALSE(),"CHECK",IF(ABS(D23-C23)&lt;=0.005,"OK","CHECK"))</f>
        <v>OK</v>
      </c>
      <c r="F23" s="9"/>
    </row>
    <row r="24" customFormat="false" ht="15" hidden="false" customHeight="false" outlineLevel="0" collapsed="false">
      <c r="A24" s="0" t="s">
        <v>155</v>
      </c>
      <c r="B24" s="4" t="s">
        <v>187</v>
      </c>
      <c r="C24" s="15" t="n">
        <v>73.08</v>
      </c>
      <c r="D24" s="15" t="n">
        <f aca="false">'4. Scenarios'!$D$25</f>
        <v>73.0836637056004</v>
      </c>
      <c r="E24" s="17" t="str">
        <f aca="false">IF(ISNUMBER(D24)=FALSE(),"CHECK",IF(ABS(D24-C24)&lt;=0.005,"OK","CHECK"))</f>
        <v>OK</v>
      </c>
      <c r="F24" s="9" t="s">
        <v>188</v>
      </c>
    </row>
    <row r="25" customFormat="false" ht="15" hidden="false" customHeight="false" outlineLevel="0" collapsed="false">
      <c r="A25" s="0" t="s">
        <v>155</v>
      </c>
      <c r="B25" s="4" t="s">
        <v>189</v>
      </c>
      <c r="C25" s="29" t="n">
        <v>82.4</v>
      </c>
      <c r="D25" s="29" t="n">
        <f aca="false">'4. Scenarios'!$B$37</f>
        <v>82.4</v>
      </c>
      <c r="E25" s="17" t="str">
        <f aca="false">IF(ISNUMBER(D25)=FALSE(),"CHECK",IF(ABS(D25-C25)&lt;=0.05,"OK","CHECK"))</f>
        <v>OK</v>
      </c>
      <c r="F25" s="9"/>
    </row>
    <row r="26" customFormat="false" ht="15" hidden="false" customHeight="false" outlineLevel="0" collapsed="false">
      <c r="A26" s="0" t="s">
        <v>155</v>
      </c>
      <c r="B26" s="4" t="s">
        <v>190</v>
      </c>
      <c r="C26" s="15" t="n">
        <v>74.52</v>
      </c>
      <c r="D26" s="15" t="n">
        <f aca="false">'4. Scenarios'!$B$39</f>
        <v>74.5222415289542</v>
      </c>
      <c r="E26" s="17" t="str">
        <f aca="false">IF(ISNUMBER(D26)=FALSE(),"CHECK",IF(ABS(D26-C26)&lt;=0.005,"OK","CHECK"))</f>
        <v>OK</v>
      </c>
      <c r="F26" s="9" t="s">
        <v>191</v>
      </c>
    </row>
    <row r="27" customFormat="false" ht="15" hidden="false" customHeight="false" outlineLevel="0" collapsed="false">
      <c r="A27" s="0" t="s">
        <v>192</v>
      </c>
      <c r="B27" s="4" t="s">
        <v>193</v>
      </c>
      <c r="C27" s="15" t="n">
        <v>56.89</v>
      </c>
      <c r="D27" s="15" t="n">
        <f aca="false">'2. Cash flow'!$B$28</f>
        <v>56.8948813421364</v>
      </c>
      <c r="E27" s="17" t="str">
        <f aca="false">IF(ISNUMBER(D27)=FALSE(),"CHECK",IF(ABS(D27-C27)&lt;=0.005,"OK","CHECK"))</f>
        <v>OK</v>
      </c>
      <c r="F27" s="9"/>
    </row>
    <row r="28" customFormat="false" ht="15" hidden="false" customHeight="false" outlineLevel="0" collapsed="false">
      <c r="A28" s="0" t="s">
        <v>192</v>
      </c>
      <c r="B28" s="4" t="s">
        <v>194</v>
      </c>
      <c r="C28" s="15" t="n">
        <v>23.44</v>
      </c>
      <c r="D28" s="15" t="n">
        <f aca="false">'2. Cash flow'!$B$29</f>
        <v>23.4362595396508</v>
      </c>
      <c r="E28" s="17" t="str">
        <f aca="false">IF(ISNUMBER(D28)=FALSE(),"CHECK",IF(ABS(D28-C28)&lt;=0.005,"OK","CHECK"))</f>
        <v>OK</v>
      </c>
      <c r="F28" s="9" t="s">
        <v>195</v>
      </c>
    </row>
    <row r="29" customFormat="false" ht="15" hidden="false" customHeight="false" outlineLevel="0" collapsed="false">
      <c r="A29" s="0" t="s">
        <v>196</v>
      </c>
      <c r="B29" s="4" t="s">
        <v>197</v>
      </c>
      <c r="C29" s="15" t="n">
        <v>6.08</v>
      </c>
      <c r="D29" s="15" t="n">
        <f aca="false">'2. Cash flow'!$B$30</f>
        <v>6.08430688</v>
      </c>
      <c r="E29" s="17" t="str">
        <f aca="false">IF(ISNUMBER(D29)=FALSE(),"CHECK",IF(ABS(D29-C29)&lt;=0.005,"OK","CHECK"))</f>
        <v>OK</v>
      </c>
      <c r="F29" s="9" t="s">
        <v>198</v>
      </c>
    </row>
    <row r="30" customFormat="false" ht="15" hidden="false" customHeight="false" outlineLevel="0" collapsed="false">
      <c r="A30" s="0" t="s">
        <v>199</v>
      </c>
      <c r="B30" s="4" t="s">
        <v>200</v>
      </c>
      <c r="C30" s="15" t="n">
        <v>0.39</v>
      </c>
      <c r="D30" s="15" t="n">
        <f aca="false">'5. Hedge and recourse'!$B$10</f>
        <v>0.390040283622879</v>
      </c>
      <c r="E30" s="17" t="str">
        <f aca="false">IF(ISNUMBER(D30)=FALSE(),"CHECK",IF(ABS(D30-C30)&lt;=0.005,"OK","CHECK"))</f>
        <v>OK</v>
      </c>
      <c r="F30" s="9"/>
    </row>
    <row r="31" customFormat="false" ht="15" hidden="false" customHeight="false" outlineLevel="0" collapsed="false">
      <c r="A31" s="0" t="s">
        <v>201</v>
      </c>
      <c r="B31" s="4" t="s">
        <v>202</v>
      </c>
      <c r="C31" s="15" t="n">
        <v>7.55</v>
      </c>
      <c r="D31" s="15" t="n">
        <f aca="false">'5. Hedge and recourse'!$B$18</f>
        <v>7.54875</v>
      </c>
      <c r="E31" s="17" t="str">
        <f aca="false">IF(ISNUMBER(D31)=FALSE(),"CHECK",IF(ABS(D31-C31)&lt;=0.005,"OK","CHECK"))</f>
        <v>OK</v>
      </c>
      <c r="F31" s="9"/>
    </row>
    <row r="32" customFormat="false" ht="15" hidden="false" customHeight="false" outlineLevel="0" collapsed="false">
      <c r="A32" s="0" t="s">
        <v>201</v>
      </c>
      <c r="B32" s="4" t="s">
        <v>203</v>
      </c>
      <c r="C32" s="15" t="n">
        <v>4.53</v>
      </c>
      <c r="D32" s="15" t="n">
        <f aca="false">'5. Hedge and recourse'!$B$20</f>
        <v>4.52925</v>
      </c>
      <c r="E32" s="17" t="str">
        <f aca="false">IF(ISNUMBER(D32)=FALSE(),"CHECK",IF(ABS(D32-C32)&lt;=0.005,"OK","CHECK"))</f>
        <v>OK</v>
      </c>
      <c r="F32" s="9"/>
    </row>
    <row r="33" customFormat="false" ht="15" hidden="false" customHeight="false" outlineLevel="0" collapsed="false">
      <c r="A33" s="0" t="s">
        <v>201</v>
      </c>
      <c r="B33" s="4" t="s">
        <v>204</v>
      </c>
      <c r="C33" s="15" t="n">
        <v>3.98</v>
      </c>
      <c r="D33" s="15" t="n">
        <f aca="false">'5. Hedge and recourse'!$B$22</f>
        <v>3.98003183700725</v>
      </c>
      <c r="E33" s="17" t="str">
        <f aca="false">IF(ISNUMBER(D33)=FALSE(),"CHECK",IF(ABS(D33-C33)&lt;=0.005,"OK","CHECK"))</f>
        <v>OK</v>
      </c>
      <c r="F33" s="9"/>
    </row>
    <row r="34" customFormat="false" ht="15" hidden="false" customHeight="false" outlineLevel="0" collapsed="false">
      <c r="A34" s="0" t="s">
        <v>201</v>
      </c>
      <c r="B34" s="4" t="s">
        <v>205</v>
      </c>
      <c r="C34" s="31" t="n">
        <v>0.048</v>
      </c>
      <c r="D34" s="31" t="n">
        <f aca="false">'5. Hedge and recourse'!$B$23</f>
        <v>0.0482428101455424</v>
      </c>
      <c r="E34" s="17" t="str">
        <f aca="false">IF(ISNUMBER(D34)=FALSE(),"CHECK",IF(ABS(D34-C34)&lt;=0.0005,"OK","CHECK"))</f>
        <v>OK</v>
      </c>
      <c r="F34" s="9"/>
    </row>
    <row r="35" customFormat="false" ht="15" hidden="false" customHeight="false" outlineLevel="0" collapsed="false">
      <c r="A35" s="0" t="s">
        <v>206</v>
      </c>
      <c r="B35" s="4" t="s">
        <v>207</v>
      </c>
      <c r="C35" s="15" t="n">
        <v>3.57</v>
      </c>
      <c r="D35" s="15" t="n">
        <f aca="false">'5. Hedge and recourse'!$B$18-'5. Hedge and recourse'!$B$22</f>
        <v>3.56871816299275</v>
      </c>
      <c r="E35" s="17" t="str">
        <f aca="false">IF(ISNUMBER(D35)=FALSE(),"CHECK",IF(ABS(D35-C35)&lt;=0.005,"OK","CHECK"))</f>
        <v>OK</v>
      </c>
      <c r="F35" s="9"/>
    </row>
    <row r="36" customFormat="false" ht="15" hidden="false" customHeight="false" outlineLevel="0" collapsed="false">
      <c r="A36" s="0" t="s">
        <v>208</v>
      </c>
      <c r="B36" s="4" t="s">
        <v>209</v>
      </c>
      <c r="C36" s="23" t="n">
        <v>0.0669</v>
      </c>
      <c r="D36" s="23" t="n">
        <f aca="false">'4. Scenarios'!$B$16</f>
        <v>0.0668842294483528</v>
      </c>
      <c r="E36" s="17" t="str">
        <f aca="false">IF(ISNUMBER(D36)=FALSE(),"CHECK",IF(ABS(D36-C36)&lt;=0.00005,"OK","CHECK"))</f>
        <v>OK</v>
      </c>
      <c r="F36" s="9" t="s">
        <v>210</v>
      </c>
    </row>
    <row r="37" customFormat="false" ht="15" hidden="false" customHeight="false" outlineLevel="0" collapsed="false">
      <c r="A37" s="0" t="s">
        <v>208</v>
      </c>
      <c r="B37" s="4" t="s">
        <v>211</v>
      </c>
      <c r="C37" s="23" t="n">
        <v>0.1029</v>
      </c>
      <c r="D37" s="23" t="n">
        <f aca="false">'4. Scenarios'!$B$43</f>
        <v>0.102886301285197</v>
      </c>
      <c r="E37" s="17" t="str">
        <f aca="false">IF(ISNUMBER(D37)=FALSE(),"CHECK",IF(ABS(D37-C37)&lt;=0.00005,"OK","CHECK"))</f>
        <v>OK</v>
      </c>
      <c r="F37" s="9" t="s">
        <v>212</v>
      </c>
    </row>
    <row r="38" customFormat="false" ht="15" hidden="false" customHeight="false" outlineLevel="0" collapsed="false">
      <c r="A38" s="0" t="s">
        <v>213</v>
      </c>
      <c r="B38" s="4" t="s">
        <v>214</v>
      </c>
      <c r="D38" s="0" t="str">
        <f aca="false">IF(AND('2. Cash flow'!B11&lt;='2. Cash flow'!B5+0.000000001,'2. Cash flow'!C11&lt;='2. Cash flow'!C5+0.000000001,'2. Cash flow'!D11&lt;='2. Cash flow'!D5+0.000000001),"OK","CHECK")</f>
        <v>OK</v>
      </c>
      <c r="E38" s="17" t="str">
        <f aca="false">IF(D38="OK","OK","CHECK")</f>
        <v>OK</v>
      </c>
      <c r="F38" s="9" t="s">
        <v>215</v>
      </c>
    </row>
    <row r="39" customFormat="false" ht="15" hidden="false" customHeight="false" outlineLevel="0" collapsed="false">
      <c r="A39" s="0" t="s">
        <v>213</v>
      </c>
      <c r="B39" s="4" t="s">
        <v>216</v>
      </c>
      <c r="D39" s="0" t="str">
        <f aca="false">IF(ABS('2. Cash flow'!D10-('2. Cash flow'!B4+SUM('2. Cash flow'!B6:D6)-SUM('2. Cash flow'!B11:D11)))&lt;0.000000001,"OK","CHECK")</f>
        <v>OK</v>
      </c>
      <c r="E39" s="17" t="str">
        <f aca="false">IF(D39="OK","OK","CHECK")</f>
        <v>OK</v>
      </c>
      <c r="F39" s="9"/>
    </row>
    <row r="40" customFormat="false" ht="15" hidden="false" customHeight="false" outlineLevel="0" collapsed="false">
      <c r="A40" s="0" t="s">
        <v>213</v>
      </c>
      <c r="B40" s="4" t="s">
        <v>217</v>
      </c>
      <c r="D40" s="0" t="str">
        <f aca="false">IF(AND('2. Cash flow'!B19&lt;='2. Cash flow'!B18+0.000000001,'2. Cash flow'!B19&lt;='2. Cash flow'!B17+0.000000001),"OK","CHECK")</f>
        <v>OK</v>
      </c>
      <c r="E40" s="17" t="str">
        <f aca="false">IF(D40="OK","OK","CHECK")</f>
        <v>OK</v>
      </c>
      <c r="F40" s="9"/>
    </row>
    <row r="41" customFormat="false" ht="15" hidden="false" customHeight="false" outlineLevel="0" collapsed="false">
      <c r="A41" s="0" t="s">
        <v>213</v>
      </c>
      <c r="B41" s="4" t="s">
        <v>218</v>
      </c>
      <c r="D41" s="0" t="str">
        <f aca="false">IF(ABS('2. Cash flow'!D5/'4. Scenarios'!B16*(1-'1. Assumptions'!B16)-'2. Cash flow'!B18)&lt;0.000000001,"OK","CHECK")</f>
        <v>OK</v>
      </c>
      <c r="E41" s="17" t="str">
        <f aca="false">IF(D41="OK","OK","CHECK")</f>
        <v>OK</v>
      </c>
      <c r="F41" s="9"/>
    </row>
    <row r="42" customFormat="false" ht="15" hidden="false" customHeight="false" outlineLevel="0" collapsed="false">
      <c r="A42" s="0" t="s">
        <v>213</v>
      </c>
      <c r="B42" s="4" t="s">
        <v>219</v>
      </c>
      <c r="D42" s="0" t="str">
        <f aca="false">IF(ABS('2. Cash flow'!B22+SUM('2. Cash flow'!B13:D13)+MIN('2. Cash flow'!B18,'2. Cash flow'!D5/'4. Scenarios'!B43*(1-'1. Assumptions'!B16))*'2. Cash flow'!D12-'2. Cash flow'!B28)&lt;0.000000001,"OK","CHECK")</f>
        <v>OK</v>
      </c>
      <c r="E42" s="17" t="str">
        <f aca="false">IF(D42="OK","OK","CHECK")</f>
        <v>OK</v>
      </c>
      <c r="F42" s="9"/>
    </row>
    <row r="43" customFormat="false" ht="15" hidden="false" customHeight="false" outlineLevel="0" collapsed="false">
      <c r="A43" s="0" t="s">
        <v>213</v>
      </c>
      <c r="B43" s="4" t="s">
        <v>220</v>
      </c>
      <c r="D43" s="0" t="str">
        <f aca="false">IF(IF(AND('1. Assumptions'!B12='4. Scenarios'!A7,'1. Assumptions'!B15='4. Scenarios'!D4),ABS('4. Scenarios'!D7-'2. Cash flow'!B25)&lt;0.000000001,TRUE()),"OK","CHECK")</f>
        <v>OK</v>
      </c>
      <c r="E43" s="17" t="str">
        <f aca="false">IF(D43="OK","OK","CHECK")</f>
        <v>OK</v>
      </c>
      <c r="F43" s="9" t="s">
        <v>221</v>
      </c>
    </row>
    <row r="45" customFormat="false" ht="15" hidden="false" customHeight="false" outlineLevel="0" collapsed="false">
      <c r="B45" s="17" t="s">
        <v>222</v>
      </c>
      <c r="D45" s="17" t="str">
        <f aca="false">COUNTIF(E5:E43,"OK")&amp;" / 39"</f>
        <v>39 / 39</v>
      </c>
      <c r="E45" s="17" t="str">
        <f aca="false">IF(COUNTIF(E5:E43,"OK")=39,"ALL OK","SOME FAIL")</f>
        <v>ALL OK</v>
      </c>
    </row>
    <row r="47" customFormat="false" ht="22.35" hidden="false" customHeight="false" outlineLevel="0" collapsed="false">
      <c r="B47" s="9" t="s">
        <v>223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2026-08-23T21:42:57Z</dcterms:created>
  <dc:creator>openpyxl</dc:creator>
  <dc:description/>
  <dc:language>en-US</dc:language>
  <cp:lastModifiedBy/>
  <dcterms:modified xsi:type="dcterms:W3CDTF">2026-09-24T00:13:11Z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