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Assumptions" sheetId="2" state="visible" r:id="rId4"/>
    <sheet name="2. The bridge" sheetId="3" state="visible" r:id="rId5"/>
    <sheet name="3. Sensitivity" sheetId="4" state="visible" r:id="rId6"/>
    <sheet name="4. Sectors and routes" sheetId="5" state="visible" r:id="rId7"/>
    <sheet name="5. 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<sst xmlns="http://schemas.openxmlformats.org/spreadsheetml/2006/main" count="195" uniqueCount="153">
  <si>
    <t xml:space="preserve">The enforcement model</t>
  </si>
  <si>
    <t xml:space="preserve">Companion workbook to The Real Estate Workout — Julian R. Sterling</t>
  </si>
  <si>
    <t xml:space="preserve">What this workbook is</t>
  </si>
  <si>
    <t xml:space="preserve">Enforcement is the option every other option is measured against, and it is the one most often estimated rather than computed. Four inputs destroy the value — the forced-sale discount, the delay, the transaction costs and the cost of carrying the asset — and this workbook separates them so you can see which does the most damage.</t>
  </si>
  <si>
    <t xml:space="preserve">On the base case it is not the one people assume.</t>
  </si>
  <si>
    <t xml:space="preserve">The five sheets</t>
  </si>
  <si>
    <t xml:space="preserve">1. Assumptions — the four value-destroying inputs, plus the asset and the loan.</t>
  </si>
  <si>
    <t xml:space="preserve">2. The bridge — market value down to present value, one line per deduction, with each expressed in cents on the euro so they can be compared.</t>
  </si>
  <si>
    <t xml:space="preserve">3. Sensitivity — a two-way table over the discount and the delay, showing recovery and the payoff indifference point at every combination.</t>
  </si>
  <si>
    <t xml:space="preserve">4. Sectors and routes — the same loan in six asset classes, and the receiver against the share pledge.</t>
  </si>
  <si>
    <t xml:space="preserve">5. Checks — every figure the book prints, recomputed and compared.</t>
  </si>
  <si>
    <t xml:space="preserve">Where to start</t>
  </si>
  <si>
    <t xml:space="preserve">Sheet 2, the cents column. Then sheet 3: find your own view of the discount and the delay in the grid and read the indifference point. That is the number to take into the meeting.</t>
  </si>
  <si>
    <t xml:space="preserve">Revised 24 September 2026</t>
  </si>
  <si>
    <t xml:space="preserve">Revised 24 September 2026. Sheet 4: a lender cannot recover more than it is owed. The residential line recovered 102.5 per cent and put the payoff point at 107 cents; recovery is now capped at the loan, the surplus of the sale is shown as the borrower's, and the spread across sectors is 68.7 points, not 71.2. The share pledge is worth seventeen points of recovery, not the nineteen the book printed in three places (73.5 against 56.3 per cent; Chapter 30 already said seventeen). The 73-basis-point break-even of Chapter 28 is now computed (row 24). Every line of the checks sheet states its verdict, and the sheet ends ALL OK.</t>
  </si>
  <si>
    <t xml:space="preserve">Assumptions</t>
  </si>
  <si>
    <t xml:space="preserve">The asset and the loan</t>
  </si>
  <si>
    <t xml:space="preserve">Net operating income (EUR m)</t>
  </si>
  <si>
    <t xml:space="preserve">Market yield</t>
  </si>
  <si>
    <t xml:space="preserve">Loan outstanding (EUR m)</t>
  </si>
  <si>
    <t xml:space="preserve">The four things that destroy the value</t>
  </si>
  <si>
    <t xml:space="preserve">Forced-sale discount to market value</t>
  </si>
  <si>
    <t xml:space="preserve">The market knows the seller has to sell</t>
  </si>
  <si>
    <t xml:space="preserve">Years to complete the sale</t>
  </si>
  <si>
    <t xml:space="preserve">Transaction costs, as a share of gross proceeds</t>
  </si>
  <si>
    <t xml:space="preserve">Legal, agency, receiver's fees, court</t>
  </si>
  <si>
    <t xml:space="preserve">Holding costs per year, as a share of value</t>
  </si>
  <si>
    <t xml:space="preserve">Voids, rates, insurance, service charge shortfall</t>
  </si>
  <si>
    <t xml:space="preserve">Discount rate</t>
  </si>
  <si>
    <t xml:space="preserve">The payoff being compared</t>
  </si>
  <si>
    <t xml:space="preserve">Years to completion of a payoff</t>
  </si>
  <si>
    <t xml:space="preserve">From market value to cash in hand</t>
  </si>
  <si>
    <t xml:space="preserve">Each deduction is shown in euros and in cents on the euro of loan, so the four can be ranked against each other.</t>
  </si>
  <si>
    <t xml:space="preserve">EUR m</t>
  </si>
  <si>
    <t xml:space="preserve">Cents on the euro</t>
  </si>
  <si>
    <t xml:space="preserve">Note</t>
  </si>
  <si>
    <t xml:space="preserve">Market value</t>
  </si>
  <si>
    <t xml:space="preserve">Income capitalised at the market yield</t>
  </si>
  <si>
    <t xml:space="preserve">Less: forced-sale discount</t>
  </si>
  <si>
    <t xml:space="preserve">The largest single deduction, and the one most often left out</t>
  </si>
  <si>
    <t xml:space="preserve">Gross proceeds</t>
  </si>
  <si>
    <t xml:space="preserve">Less: transaction costs</t>
  </si>
  <si>
    <t xml:space="preserve">Less: holding costs to completion</t>
  </si>
  <si>
    <t xml:space="preserve">Paid every year the asset is held, on the full value</t>
  </si>
  <si>
    <t xml:space="preserve">Net proceeds</t>
  </si>
  <si>
    <t xml:space="preserve">Less: the cost of waiting  years</t>
  </si>
  <si>
    <t xml:space="preserve">Discounting, which is a real cost and not an accounting one</t>
  </si>
  <si>
    <t xml:space="preserve">Present value</t>
  </si>
  <si>
    <t xml:space="preserve">Recovery on the loan</t>
  </si>
  <si>
    <t xml:space="preserve">Rolled forward to a payoff date (EUR m)</t>
  </si>
  <si>
    <t xml:space="preserve">Indifference point (cents on the euro)</t>
  </si>
  <si>
    <t xml:space="preserve">Which deduction does the most damage</t>
  </si>
  <si>
    <t xml:space="preserve">Forced-sale discount</t>
  </si>
  <si>
    <t xml:space="preserve">Transaction costs</t>
  </si>
  <si>
    <t xml:space="preserve">Holding costs</t>
  </si>
  <si>
    <t xml:space="preserve">Discounting</t>
  </si>
  <si>
    <t xml:space="preserve">Recovery, by forced-sale discount and delay</t>
  </si>
  <si>
    <t xml:space="preserve">The two inputs the lender and the borrower will disagree about. Everything else held at the assumptions.</t>
  </si>
  <si>
    <t xml:space="preserve">Discount \ delay (years)</t>
  </si>
  <si>
    <t xml:space="preserve">Payoff indifference point, same grid</t>
  </si>
  <si>
    <t xml:space="preserve">Read the grid, not the base case: the spread across it is the negotiating range.</t>
  </si>
  <si>
    <t xml:space="preserve">The same loan in six asset classes</t>
  </si>
  <si>
    <t xml:space="preserve">Only the sector inputs change. Same loan, same income, same discount rate.</t>
  </si>
  <si>
    <t xml:space="preserve">Sector</t>
  </si>
  <si>
    <t xml:space="preserve">Yield</t>
  </si>
  <si>
    <t xml:space="preserve">Discount</t>
  </si>
  <si>
    <t xml:space="preserve">Delay</t>
  </si>
  <si>
    <t xml:space="preserve">Holding cost</t>
  </si>
  <si>
    <t xml:space="preserve">Recovery</t>
  </si>
  <si>
    <t xml:space="preserve">Payoff point</t>
  </si>
  <si>
    <t xml:space="preserve">Before the cap</t>
  </si>
  <si>
    <t xml:space="preserve">Surplus to the borrower (EUR m)</t>
  </si>
  <si>
    <t xml:space="preserve">Residential</t>
  </si>
  <si>
    <t xml:space="preserve">Logistics</t>
  </si>
  <si>
    <t xml:space="preserve">Office</t>
  </si>
  <si>
    <t xml:space="preserve">Retail park</t>
  </si>
  <si>
    <t xml:space="preserve">Hotel</t>
  </si>
  <si>
    <t xml:space="preserve">Shopping centre</t>
  </si>
  <si>
    <t xml:space="preserve">Revised: a lender cannot recover more than it is owed. Where the net proceeds exceed the loan (residential), recovery is capped at 100% and the surplus goes to the borrower; the first file printed 102.5% and a payoff point of 107 cents.</t>
  </si>
  <si>
    <t xml:space="preserve">Spread, best to worst</t>
  </si>
  <si>
    <t xml:space="preserve">The receiver against the share pledge</t>
  </si>
  <si>
    <t xml:space="preserve">Route</t>
  </si>
  <si>
    <t xml:space="preserve">Receiver over the property</t>
  </si>
  <si>
    <t xml:space="preserve">Enforcement of the share pledge</t>
  </si>
  <si>
    <t xml:space="preserve">Advantage of the share pledge</t>
  </si>
  <si>
    <t xml:space="preserve">Advantage of the share pledge, in points of recovery</t>
  </si>
  <si>
    <t xml:space="preserve">Chapter 15: seventeen points (the first edition said nineteen)</t>
  </si>
  <si>
    <t xml:space="preserve">Waiting one year before enforcing</t>
  </si>
  <si>
    <t xml:space="preserve">Yield compression assumed over the year</t>
  </si>
  <si>
    <t xml:space="preserve">Recovery if the lender waits, then enforces</t>
  </si>
  <si>
    <t xml:space="preserve">Against enforcing now</t>
  </si>
  <si>
    <t xml:space="preserve">Negative: waiting costs money even when the market improves</t>
  </si>
  <si>
    <t xml:space="preserve">Yield compression at which waiting one year is neutral</t>
  </si>
  <si>
    <t xml:space="preserve">Chapter 28: 73 basis points a year. Below it, the lender has paid for optimism</t>
  </si>
  <si>
    <t xml:space="preserve">Checks — every figure the book prints, against what this workbook computes</t>
  </si>
  <si>
    <t xml:space="preserve">The Real Estate Workout — Julian R. Sterling. Column D is a live formula; the rows without a book figure hold for any inputs.</t>
  </si>
  <si>
    <t xml:space="preserve">Source</t>
  </si>
  <si>
    <t xml:space="preserve">Check</t>
  </si>
  <si>
    <t xml:space="preserve">The book</t>
  </si>
  <si>
    <t xml:space="preserve">This file</t>
  </si>
  <si>
    <t xml:space="preserve">Status</t>
  </si>
  <si>
    <t xml:space="preserve">Ch. 3</t>
  </si>
  <si>
    <t xml:space="preserve">Gross proceeds in a forced sale, EUR m</t>
  </si>
  <si>
    <t xml:space="preserve">Net proceeds, EUR m</t>
  </si>
  <si>
    <t xml:space="preserve">Enforcement present value, EUR m</t>
  </si>
  <si>
    <t xml:space="preserve">Enforcement recovery</t>
  </si>
  <si>
    <t xml:space="preserve">Forced-sale discount, EUR m</t>
  </si>
  <si>
    <t xml:space="preserve">  in points of recovery</t>
  </si>
  <si>
    <t xml:space="preserve">Delay, through discounting, EUR m</t>
  </si>
  <si>
    <t xml:space="preserve">  in points</t>
  </si>
  <si>
    <t xml:space="preserve">Holding costs, EUR m</t>
  </si>
  <si>
    <t xml:space="preserve">Transaction and enforcement costs, EUR m</t>
  </si>
  <si>
    <t xml:space="preserve">The discount and the delay together, EUR m</t>
  </si>
  <si>
    <t xml:space="preserve">The forced-sale discount ranks first</t>
  </si>
  <si>
    <t xml:space="preserve">Points of recovery destroyed between market value and present value</t>
  </si>
  <si>
    <t xml:space="preserve">Ch. 5</t>
  </si>
  <si>
    <t xml:space="preserve">Indifference point, cents on the euro</t>
  </si>
  <si>
    <t xml:space="preserve">Ch. 15</t>
  </si>
  <si>
    <t xml:space="preserve">Share pledge: gross proceeds, EUR m</t>
  </si>
  <si>
    <t xml:space="preserve">Share pledge: present value, EUR m</t>
  </si>
  <si>
    <t xml:space="preserve">Recovery via the share pledge route</t>
  </si>
  <si>
    <t xml:space="preserve">Advantage of the share pledge, points</t>
  </si>
  <si>
    <t xml:space="preserve">revised: "nineteen points" in the first edition</t>
  </si>
  <si>
    <t xml:space="preserve">Ch. 24</t>
  </si>
  <si>
    <t xml:space="preserve">Residential recovery, capped at the loan</t>
  </si>
  <si>
    <t xml:space="preserve">revised: 102.5 per cent in the first edition</t>
  </si>
  <si>
    <t xml:space="preserve">Residential payoff point, capped at par</t>
  </si>
  <si>
    <t xml:space="preserve">revised: 107 cents</t>
  </si>
  <si>
    <t xml:space="preserve">Logistics recovery</t>
  </si>
  <si>
    <t xml:space="preserve">Logistics payoff point</t>
  </si>
  <si>
    <t xml:space="preserve">Office recovery</t>
  </si>
  <si>
    <t xml:space="preserve">Office payoff point</t>
  </si>
  <si>
    <t xml:space="preserve">Retail park recovery</t>
  </si>
  <si>
    <t xml:space="preserve">Retail park payoff point</t>
  </si>
  <si>
    <t xml:space="preserve">Hotel recovery</t>
  </si>
  <si>
    <t xml:space="preserve">Hotel payoff point</t>
  </si>
  <si>
    <t xml:space="preserve">Shopping centre recovery</t>
  </si>
  <si>
    <t xml:space="preserve">Shopping centre payoff point</t>
  </si>
  <si>
    <t xml:space="preserve">Spread, best sector to worst, points</t>
  </si>
  <si>
    <t xml:space="preserve">revised: 71.2 in the first edition, on the uncapped residential line</t>
  </si>
  <si>
    <t xml:space="preserve">Ch. 28</t>
  </si>
  <si>
    <t xml:space="preserve">Recovery after waiting one year</t>
  </si>
  <si>
    <t xml:space="preserve">Value of waiting one year, EUR m</t>
  </si>
  <si>
    <t xml:space="preserve">Break-even yield compression for waiting</t>
  </si>
  <si>
    <t xml:space="preserve">Any inputs</t>
  </si>
  <si>
    <t xml:space="preserve">The bridge adds up: value less the four deductions is the present value</t>
  </si>
  <si>
    <t xml:space="preserve">The indifference point rolls the present value forward to the payoff date</t>
  </si>
  <si>
    <t xml:space="preserve">No recovery or payoff point in the sector table exceeds the loan</t>
  </si>
  <si>
    <t xml:space="preserve">Recovery falls as the delay lengthens and as the discount widens (sheet 3)</t>
  </si>
  <si>
    <t xml:space="preserve">monotonic in both inputs, as Chapter 33 says</t>
  </si>
  <si>
    <t xml:space="preserve">At the break-even compression, waiting one year returns exactly the enforcement value</t>
  </si>
  <si>
    <t xml:space="preserve">All checks</t>
  </si>
  <si>
    <t xml:space="preserve">Tolerances are the precision the book prints at: 0.05 for one decimal, 0.005 for two, 0.0005 for a percentage to one decimal. A check that widens its tolerance until it passes is not a check.</t>
  </si>
</sst>
</file>

<file path=xl/styles.xml><?xml version="1.0" encoding="utf-8"?>
<styleSheet xmlns="http://schemas.openxmlformats.org/spreadsheetml/2006/main">
  <numFmts count="7">
    <numFmt numFmtId="164" formatCode="General"/>
    <numFmt numFmtId="165" formatCode="#,##0.00"/>
    <numFmt numFmtId="166" formatCode="0.00%"/>
    <numFmt numFmtId="167" formatCode="0.00"/>
    <numFmt numFmtId="168" formatCode="0"/>
    <numFmt numFmtId="169" formatCode="0.0"/>
    <numFmt numFmtId="170" formatCode="0.0%"/>
  </numFmts>
  <fonts count="14">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
      <sz val="11"/>
      <name val="Calibri"/>
      <family val="0"/>
      <charset val="1"/>
    </font>
    <font>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DCE9F7"/>
        <bgColor rgb="FFCCFFFF"/>
      </patternFill>
    </fill>
    <fill>
      <patternFill patternType="solid">
        <fgColor rgb="FFFFF2CC"/>
        <bgColor rgb="FFFFFFFF"/>
      </patternFill>
    </fill>
    <fill>
      <patternFill patternType="solid">
        <fgColor rgb="FF1F3864"/>
        <bgColor rgb="FF1F4E79"/>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13" fillId="4" borderId="0" xfId="0" applyFont="true" applyBorder="false" applyAlignment="true" applyProtection="false">
      <alignment horizontal="general" vertical="center" textRotation="0" wrapText="tru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51.75" hidden="false" customHeight="true" outlineLevel="0" collapsed="false">
      <c r="A5" s="4" t="s">
        <v>3</v>
      </c>
    </row>
    <row r="6" customFormat="false" ht="15" hidden="false" customHeight="true" outlineLevel="0" collapsed="false">
      <c r="A6" s="4" t="s">
        <v>4</v>
      </c>
    </row>
    <row r="8" customFormat="false" ht="15" hidden="false" customHeight="false" outlineLevel="0" collapsed="false">
      <c r="A8" s="3" t="s">
        <v>5</v>
      </c>
    </row>
    <row r="9" customFormat="false" ht="15" hidden="false" customHeight="true" outlineLevel="0" collapsed="false">
      <c r="A9" s="4" t="s">
        <v>6</v>
      </c>
    </row>
    <row r="10" customFormat="false" ht="25.5" hidden="false" customHeight="true" outlineLevel="0" collapsed="false">
      <c r="A10" s="4" t="s">
        <v>7</v>
      </c>
    </row>
    <row r="11" customFormat="false" ht="25.5" hidden="false" customHeight="true" outlineLevel="0" collapsed="false">
      <c r="A11" s="4" t="s">
        <v>8</v>
      </c>
    </row>
    <row r="12" customFormat="false" ht="25.5" hidden="false" customHeight="true" outlineLevel="0" collapsed="false">
      <c r="A12" s="4" t="s">
        <v>9</v>
      </c>
    </row>
    <row r="13" customFormat="false" ht="15" hidden="false" customHeight="true" outlineLevel="0" collapsed="false">
      <c r="A13" s="4" t="s">
        <v>10</v>
      </c>
    </row>
    <row r="15" customFormat="false" ht="15" hidden="false" customHeight="false" outlineLevel="0" collapsed="false">
      <c r="A15" s="3" t="s">
        <v>11</v>
      </c>
    </row>
    <row r="16" customFormat="false" ht="25.5" hidden="false" customHeight="true" outlineLevel="0" collapsed="false">
      <c r="A16" s="4" t="s">
        <v>12</v>
      </c>
    </row>
    <row r="18" customFormat="false" ht="15" hidden="false" customHeight="false" outlineLevel="0" collapsed="false">
      <c r="A18" s="3" t="s">
        <v>13</v>
      </c>
    </row>
    <row r="19" customFormat="false" ht="105" hidden="false" customHeight="true" outlineLevel="0" collapsed="false">
      <c r="A19"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58"/>
  </cols>
  <sheetData>
    <row r="1" customFormat="false" ht="16.15" hidden="false" customHeight="false" outlineLevel="0" collapsed="false">
      <c r="A1" s="5" t="s">
        <v>15</v>
      </c>
    </row>
    <row r="3" customFormat="false" ht="15" hidden="false" customHeight="false" outlineLevel="0" collapsed="false">
      <c r="A3" s="3" t="s">
        <v>16</v>
      </c>
    </row>
    <row r="4" customFormat="false" ht="15" hidden="false" customHeight="false" outlineLevel="0" collapsed="false">
      <c r="A4" s="0" t="s">
        <v>17</v>
      </c>
      <c r="B4" s="6" t="n">
        <v>5.15</v>
      </c>
    </row>
    <row r="5" customFormat="false" ht="15" hidden="false" customHeight="false" outlineLevel="0" collapsed="false">
      <c r="A5" s="0" t="s">
        <v>18</v>
      </c>
      <c r="B5" s="7" t="n">
        <v>0.0665</v>
      </c>
    </row>
    <row r="6" customFormat="false" ht="15" hidden="false" customHeight="false" outlineLevel="0" collapsed="false">
      <c r="A6" s="0" t="s">
        <v>19</v>
      </c>
      <c r="B6" s="6" t="n">
        <v>82.5</v>
      </c>
    </row>
    <row r="7" customFormat="false" ht="15" hidden="false" customHeight="false" outlineLevel="0" collapsed="false">
      <c r="A7" s="3" t="s">
        <v>20</v>
      </c>
    </row>
    <row r="8" customFormat="false" ht="15" hidden="false" customHeight="false" outlineLevel="0" collapsed="false">
      <c r="A8" s="0" t="s">
        <v>21</v>
      </c>
      <c r="B8" s="7" t="n">
        <v>0.18</v>
      </c>
      <c r="C8" s="8" t="s">
        <v>22</v>
      </c>
    </row>
    <row r="9" customFormat="false" ht="15" hidden="false" customHeight="false" outlineLevel="0" collapsed="false">
      <c r="A9" s="0" t="s">
        <v>23</v>
      </c>
      <c r="B9" s="9" t="n">
        <v>2.25</v>
      </c>
    </row>
    <row r="10" customFormat="false" ht="15" hidden="false" customHeight="false" outlineLevel="0" collapsed="false">
      <c r="A10" s="0" t="s">
        <v>24</v>
      </c>
      <c r="B10" s="10" t="n">
        <v>0.055</v>
      </c>
      <c r="C10" s="8" t="s">
        <v>25</v>
      </c>
    </row>
    <row r="11" customFormat="false" ht="15" hidden="false" customHeight="false" outlineLevel="0" collapsed="false">
      <c r="A11" s="0" t="s">
        <v>26</v>
      </c>
      <c r="B11" s="10" t="n">
        <v>0.021</v>
      </c>
      <c r="C11" s="8" t="s">
        <v>27</v>
      </c>
    </row>
    <row r="12" customFormat="false" ht="15" hidden="false" customHeight="false" outlineLevel="0" collapsed="false">
      <c r="A12" s="0" t="s">
        <v>28</v>
      </c>
      <c r="B12" s="10" t="n">
        <v>0.09</v>
      </c>
    </row>
    <row r="13" customFormat="false" ht="15" hidden="false" customHeight="false" outlineLevel="0" collapsed="false">
      <c r="A13" s="3" t="s">
        <v>29</v>
      </c>
    </row>
    <row r="14" customFormat="false" ht="15" hidden="false" customHeight="false" outlineLevel="0" collapsed="false">
      <c r="A14" s="0" t="s">
        <v>30</v>
      </c>
      <c r="B14" s="9" t="n">
        <v>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3" min="2" style="0" width="15"/>
    <col collapsed="false" customWidth="true" hidden="false" outlineLevel="0" max="4" min="4" style="0" width="56"/>
  </cols>
  <sheetData>
    <row r="1" customFormat="false" ht="16.15" hidden="false" customHeight="false" outlineLevel="0" collapsed="false">
      <c r="A1" s="5" t="s">
        <v>31</v>
      </c>
    </row>
    <row r="2" customFormat="false" ht="15" hidden="false" customHeight="false" outlineLevel="0" collapsed="false">
      <c r="A2" s="2" t="s">
        <v>32</v>
      </c>
    </row>
    <row r="4" customFormat="false" ht="28.35" hidden="false" customHeight="false" outlineLevel="0" collapsed="false">
      <c r="A4" s="11"/>
      <c r="B4" s="11" t="s">
        <v>33</v>
      </c>
      <c r="C4" s="11" t="s">
        <v>34</v>
      </c>
      <c r="D4" s="11" t="s">
        <v>35</v>
      </c>
    </row>
    <row r="5" customFormat="false" ht="15" hidden="false" customHeight="false" outlineLevel="0" collapsed="false">
      <c r="A5" s="0" t="s">
        <v>36</v>
      </c>
      <c r="B5" s="12" t="n">
        <f aca="false">'1. Assumptions'!$B$4/'1. Assumptions'!$B$5</f>
        <v>77.4436090225564</v>
      </c>
      <c r="C5" s="13" t="n">
        <f aca="false">B5/'1. Assumptions'!$B$6</f>
        <v>0.938710412394623</v>
      </c>
      <c r="D5" s="8" t="s">
        <v>37</v>
      </c>
    </row>
    <row r="6" customFormat="false" ht="15" hidden="false" customHeight="false" outlineLevel="0" collapsed="false">
      <c r="A6" s="0" t="s">
        <v>38</v>
      </c>
      <c r="B6" s="12" t="n">
        <f aca="false">-B5*'1. Assumptions'!$B$8</f>
        <v>-13.9398496240602</v>
      </c>
      <c r="C6" s="13" t="n">
        <f aca="false">B6/'1. Assumptions'!$B$6</f>
        <v>-0.168967874231032</v>
      </c>
      <c r="D6" s="8" t="s">
        <v>39</v>
      </c>
    </row>
    <row r="7" customFormat="false" ht="15" hidden="false" customHeight="false" outlineLevel="0" collapsed="false">
      <c r="A7" s="14" t="s">
        <v>40</v>
      </c>
      <c r="B7" s="15" t="n">
        <f aca="false">B5+B6</f>
        <v>63.5037593984962</v>
      </c>
      <c r="C7" s="16" t="n">
        <f aca="false">B7/'1. Assumptions'!$B$6</f>
        <v>0.769742538163591</v>
      </c>
      <c r="D7" s="8"/>
    </row>
    <row r="8" customFormat="false" ht="15" hidden="false" customHeight="false" outlineLevel="0" collapsed="false">
      <c r="A8" s="0" t="s">
        <v>41</v>
      </c>
      <c r="B8" s="12" t="n">
        <f aca="false">-B7*'1. Assumptions'!$B$10</f>
        <v>-3.49270676691729</v>
      </c>
      <c r="C8" s="13" t="n">
        <f aca="false">B8/'1. Assumptions'!$B$6</f>
        <v>-0.0423358395989975</v>
      </c>
      <c r="D8" s="8"/>
    </row>
    <row r="9" customFormat="false" ht="15" hidden="false" customHeight="false" outlineLevel="0" collapsed="false">
      <c r="A9" s="0" t="s">
        <v>42</v>
      </c>
      <c r="B9" s="12" t="n">
        <f aca="false">-B5*'1. Assumptions'!$B$11*'1. Assumptions'!$B$9</f>
        <v>-3.65921052631579</v>
      </c>
      <c r="C9" s="13" t="n">
        <f aca="false">B9/'1. Assumptions'!$B$6</f>
        <v>-0.0443540669856459</v>
      </c>
      <c r="D9" s="8" t="s">
        <v>43</v>
      </c>
    </row>
    <row r="10" customFormat="false" ht="15" hidden="false" customHeight="false" outlineLevel="0" collapsed="false">
      <c r="A10" s="14" t="s">
        <v>44</v>
      </c>
      <c r="B10" s="15" t="n">
        <f aca="false">B7+B8+B9</f>
        <v>56.3518421052632</v>
      </c>
      <c r="C10" s="16" t="n">
        <f aca="false">B10/'1. Assumptions'!$B$6</f>
        <v>0.683052631578947</v>
      </c>
      <c r="D10" s="8"/>
    </row>
    <row r="11" customFormat="false" ht="15" hidden="false" customHeight="false" outlineLevel="0" collapsed="false">
      <c r="A11" s="0" t="s">
        <v>45</v>
      </c>
      <c r="B11" s="12" t="n">
        <f aca="false">B10/(1+'1. Assumptions'!$B$12)^'1. Assumptions'!$B$9-B10</f>
        <v>-9.9325517230981</v>
      </c>
      <c r="C11" s="13" t="n">
        <f aca="false">B11/'1. Assumptions'!$B$6</f>
        <v>-0.120394566340583</v>
      </c>
      <c r="D11" s="8" t="s">
        <v>46</v>
      </c>
    </row>
    <row r="12" customFormat="false" ht="15" hidden="false" customHeight="false" outlineLevel="0" collapsed="false">
      <c r="A12" s="14" t="s">
        <v>47</v>
      </c>
      <c r="B12" s="15" t="n">
        <f aca="false">B10+B11</f>
        <v>46.4192903821651</v>
      </c>
      <c r="C12" s="16" t="n">
        <f aca="false">B12/'1. Assumptions'!$B$6</f>
        <v>0.562658065238364</v>
      </c>
      <c r="D12" s="8"/>
    </row>
    <row r="14" customFormat="false" ht="15" hidden="false" customHeight="false" outlineLevel="0" collapsed="false">
      <c r="A14" s="14" t="s">
        <v>48</v>
      </c>
      <c r="B14" s="16" t="n">
        <f aca="false">'2. The bridge'!$B$12/'1. Assumptions'!$B$6</f>
        <v>0.562658065238364</v>
      </c>
    </row>
    <row r="15" customFormat="false" ht="15" hidden="false" customHeight="false" outlineLevel="0" collapsed="false">
      <c r="A15" s="0" t="s">
        <v>49</v>
      </c>
      <c r="B15" s="12" t="n">
        <f aca="false">'2. The bridge'!$B$12*(1+'1. Assumptions'!$B$12)^'1. Assumptions'!$B$14</f>
        <v>48.4631619515927</v>
      </c>
    </row>
    <row r="16" customFormat="false" ht="15" hidden="false" customHeight="false" outlineLevel="0" collapsed="false">
      <c r="A16" s="14" t="s">
        <v>50</v>
      </c>
      <c r="B16" s="16" t="n">
        <f aca="false">B15/'1. Assumptions'!$B$6</f>
        <v>0.587432266079911</v>
      </c>
    </row>
    <row r="18" customFormat="false" ht="15" hidden="false" customHeight="false" outlineLevel="0" collapsed="false">
      <c r="A18" s="3" t="s">
        <v>51</v>
      </c>
    </row>
    <row r="19" customFormat="false" ht="15" hidden="false" customHeight="false" outlineLevel="0" collapsed="false">
      <c r="A19" s="0" t="s">
        <v>52</v>
      </c>
      <c r="B19" s="12" t="n">
        <f aca="false">-B6</f>
        <v>13.9398496240602</v>
      </c>
      <c r="C19" s="17" t="n">
        <f aca="false">RANK(B19,$B$19:$B$22)</f>
        <v>1</v>
      </c>
    </row>
    <row r="20" customFormat="false" ht="15" hidden="false" customHeight="false" outlineLevel="0" collapsed="false">
      <c r="A20" s="0" t="s">
        <v>53</v>
      </c>
      <c r="B20" s="12" t="n">
        <f aca="false">-B8</f>
        <v>3.49270676691729</v>
      </c>
      <c r="C20" s="17" t="n">
        <f aca="false">RANK(B20,$B$19:$B$22)</f>
        <v>4</v>
      </c>
    </row>
    <row r="21" customFormat="false" ht="15" hidden="false" customHeight="false" outlineLevel="0" collapsed="false">
      <c r="A21" s="0" t="s">
        <v>54</v>
      </c>
      <c r="B21" s="12" t="n">
        <f aca="false">-B9</f>
        <v>3.65921052631579</v>
      </c>
      <c r="C21" s="17" t="n">
        <f aca="false">RANK(B21,$B$19:$B$22)</f>
        <v>3</v>
      </c>
    </row>
    <row r="22" customFormat="false" ht="15" hidden="false" customHeight="false" outlineLevel="0" collapsed="false">
      <c r="A22" s="0" t="s">
        <v>55</v>
      </c>
      <c r="B22" s="12" t="n">
        <f aca="false">-B11</f>
        <v>9.9325517230981</v>
      </c>
      <c r="C22" s="17" t="n">
        <f aca="false">RANK(B22,$B$19:$B$22)</f>
        <v>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7" min="2" style="0" width="11"/>
  </cols>
  <sheetData>
    <row r="1" customFormat="false" ht="16.15" hidden="false" customHeight="false" outlineLevel="0" collapsed="false">
      <c r="A1" s="5" t="s">
        <v>56</v>
      </c>
    </row>
    <row r="2" customFormat="false" ht="15" hidden="false" customHeight="false" outlineLevel="0" collapsed="false">
      <c r="A2" s="2" t="s">
        <v>57</v>
      </c>
    </row>
    <row r="4" customFormat="false" ht="15" hidden="false" customHeight="false" outlineLevel="0" collapsed="false">
      <c r="A4" s="14" t="s">
        <v>58</v>
      </c>
      <c r="B4" s="18" t="n">
        <v>0.75</v>
      </c>
      <c r="C4" s="18" t="n">
        <v>1.25</v>
      </c>
      <c r="D4" s="18" t="n">
        <v>1.75</v>
      </c>
      <c r="E4" s="18" t="n">
        <v>2.25</v>
      </c>
      <c r="F4" s="18" t="n">
        <v>2.75</v>
      </c>
      <c r="G4" s="18" t="n">
        <v>3.25</v>
      </c>
    </row>
    <row r="5" customFormat="false" ht="15" hidden="false" customHeight="false" outlineLevel="0" collapsed="false">
      <c r="A5" s="16" t="n">
        <v>0.05</v>
      </c>
      <c r="B5" s="13" t="n">
        <f aca="false">(('1. Assumptions'!$B$4/'1. Assumptions'!$B$5)*(1-$A5)*(1-'1. Assumptions'!$B$10)-('1. Assumptions'!$B$4/'1. Assumptions'!$B$5)*'1. Assumptions'!$B$11*B$4)/(1+'1. Assumptions'!$B$12)^B$4/'1. Assumptions'!$B$6</f>
        <v>0.776122630335883</v>
      </c>
      <c r="C5" s="13" t="n">
        <f aca="false">(('1. Assumptions'!$B$4/'1. Assumptions'!$B$5)*(1-$A5)*(1-'1. Assumptions'!$B$10)-('1. Assumptions'!$B$4/'1. Assumptions'!$B$5)*'1. Assumptions'!$B$11*C$4)/(1+'1. Assumptions'!$B$12)^C$4/'1. Assumptions'!$B$6</f>
        <v>0.734540767130084</v>
      </c>
      <c r="D5" s="13" t="n">
        <f aca="false">(('1. Assumptions'!$B$4/'1. Assumptions'!$B$5)*(1-$A5)*(1-'1. Assumptions'!$B$10)-('1. Assumptions'!$B$4/'1. Assumptions'!$B$5)*'1. Assumptions'!$B$11*D$4)/(1+'1. Assumptions'!$B$12)^D$4/'1. Assumptions'!$B$6</f>
        <v>0.695085798247514</v>
      </c>
      <c r="E5" s="13" t="n">
        <f aca="false">(('1. Assumptions'!$B$4/'1. Assumptions'!$B$5)*(1-$A5)*(1-'1. Assumptions'!$B$10)-('1. Assumptions'!$B$4/'1. Assumptions'!$B$5)*'1. Assumptions'!$B$11*E$4)/(1+'1. Assumptions'!$B$12)^E$4/'1. Assumptions'!$B$6</f>
        <v>0.657652284044841</v>
      </c>
      <c r="F5" s="13" t="n">
        <f aca="false">(('1. Assumptions'!$B$4/'1. Assumptions'!$B$5)*(1-$A5)*(1-'1. Assumptions'!$B$10)-('1. Assumptions'!$B$4/'1. Assumptions'!$B$5)*'1. Assumptions'!$B$11*F$4)/(1+'1. Assumptions'!$B$12)^F$4/'1. Assumptions'!$B$6</f>
        <v>0.622139895500124</v>
      </c>
      <c r="G5" s="13" t="n">
        <f aca="false">(('1. Assumptions'!$B$4/'1. Assumptions'!$B$5)*(1-$A5)*(1-'1. Assumptions'!$B$10)-('1. Assumptions'!$B$4/'1. Assumptions'!$B$5)*'1. Assumptions'!$B$11*G$4)/(1+'1. Assumptions'!$B$12)^G$4/'1. Assumptions'!$B$6</f>
        <v>0.588453170682325</v>
      </c>
    </row>
    <row r="6" customFormat="false" ht="15" hidden="false" customHeight="false" outlineLevel="0" collapsed="false">
      <c r="A6" s="16" t="n">
        <v>0.1</v>
      </c>
      <c r="B6" s="13" t="n">
        <f aca="false">(('1. Assumptions'!$B$4/'1. Assumptions'!$B$5)*(1-$A6)*(1-'1. Assumptions'!$B$10)-('1. Assumptions'!$B$4/'1. Assumptions'!$B$5)*'1. Assumptions'!$B$11*B$4)/(1+'1. Assumptions'!$B$12)^B$4/'1. Assumptions'!$B$6</f>
        <v>0.734544632282175</v>
      </c>
      <c r="C6" s="13" t="n">
        <f aca="false">(('1. Assumptions'!$B$4/'1. Assumptions'!$B$5)*(1-$A6)*(1-'1. Assumptions'!$B$10)-('1. Assumptions'!$B$4/'1. Assumptions'!$B$5)*'1. Assumptions'!$B$11*C$4)/(1+'1. Assumptions'!$B$12)^C$4/'1. Assumptions'!$B$6</f>
        <v>0.694716267707369</v>
      </c>
      <c r="D6" s="13" t="n">
        <f aca="false">(('1. Assumptions'!$B$4/'1. Assumptions'!$B$5)*(1-$A6)*(1-'1. Assumptions'!$B$10)-('1. Assumptions'!$B$4/'1. Assumptions'!$B$5)*'1. Assumptions'!$B$11*D$4)/(1+'1. Assumptions'!$B$12)^D$4/'1. Assumptions'!$B$6</f>
        <v>0.656940845904663</v>
      </c>
      <c r="E6" s="13" t="n">
        <f aca="false">(('1. Assumptions'!$B$4/'1. Assumptions'!$B$5)*(1-$A6)*(1-'1. Assumptions'!$B$10)-('1. Assumptions'!$B$4/'1. Assumptions'!$B$5)*'1. Assumptions'!$B$11*E$4)/(1+'1. Assumptions'!$B$12)^E$4/'1. Assumptions'!$B$6</f>
        <v>0.62111604604235</v>
      </c>
      <c r="F6" s="13" t="n">
        <f aca="false">(('1. Assumptions'!$B$4/'1. Assumptions'!$B$5)*(1-$A6)*(1-'1. Assumptions'!$B$10)-('1. Assumptions'!$B$4/'1. Assumptions'!$B$5)*'1. Assumptions'!$B$11*F$4)/(1+'1. Assumptions'!$B$12)^F$4/'1. Assumptions'!$B$6</f>
        <v>0.587144526378242</v>
      </c>
      <c r="G6" s="13" t="n">
        <f aca="false">(('1. Assumptions'!$B$4/'1. Assumptions'!$B$5)*(1-$A6)*(1-'1. Assumptions'!$B$10)-('1. Assumptions'!$B$4/'1. Assumptions'!$B$5)*'1. Assumptions'!$B$11*G$4)/(1+'1. Assumptions'!$B$12)^G$4/'1. Assumptions'!$B$6</f>
        <v>0.55493368627637</v>
      </c>
    </row>
    <row r="7" customFormat="false" ht="15" hidden="false" customHeight="false" outlineLevel="0" collapsed="false">
      <c r="A7" s="16" t="n">
        <v>0.15</v>
      </c>
      <c r="B7" s="13" t="n">
        <f aca="false">(('1. Assumptions'!$B$4/'1. Assumptions'!$B$5)*(1-$A7)*(1-'1. Assumptions'!$B$10)-('1. Assumptions'!$B$4/'1. Assumptions'!$B$5)*'1. Assumptions'!$B$11*B$4)/(1+'1. Assumptions'!$B$12)^B$4/'1. Assumptions'!$B$6</f>
        <v>0.692966634228467</v>
      </c>
      <c r="C7" s="13" t="n">
        <f aca="false">(('1. Assumptions'!$B$4/'1. Assumptions'!$B$5)*(1-$A7)*(1-'1. Assumptions'!$B$10)-('1. Assumptions'!$B$4/'1. Assumptions'!$B$5)*'1. Assumptions'!$B$11*C$4)/(1+'1. Assumptions'!$B$12)^C$4/'1. Assumptions'!$B$6</f>
        <v>0.654891768284653</v>
      </c>
      <c r="D7" s="13" t="n">
        <f aca="false">(('1. Assumptions'!$B$4/'1. Assumptions'!$B$5)*(1-$A7)*(1-'1. Assumptions'!$B$10)-('1. Assumptions'!$B$4/'1. Assumptions'!$B$5)*'1. Assumptions'!$B$11*D$4)/(1+'1. Assumptions'!$B$12)^D$4/'1. Assumptions'!$B$6</f>
        <v>0.618795893561811</v>
      </c>
      <c r="E7" s="13" t="n">
        <f aca="false">(('1. Assumptions'!$B$4/'1. Assumptions'!$B$5)*(1-$A7)*(1-'1. Assumptions'!$B$10)-('1. Assumptions'!$B$4/'1. Assumptions'!$B$5)*'1. Assumptions'!$B$11*E$4)/(1+'1. Assumptions'!$B$12)^E$4/'1. Assumptions'!$B$6</f>
        <v>0.584579808039859</v>
      </c>
      <c r="F7" s="13" t="n">
        <f aca="false">(('1. Assumptions'!$B$4/'1. Assumptions'!$B$5)*(1-$A7)*(1-'1. Assumptions'!$B$10)-('1. Assumptions'!$B$4/'1. Assumptions'!$B$5)*'1. Assumptions'!$B$11*F$4)/(1+'1. Assumptions'!$B$12)^F$4/'1. Assumptions'!$B$6</f>
        <v>0.552149157256361</v>
      </c>
      <c r="G7" s="13" t="n">
        <f aca="false">(('1. Assumptions'!$B$4/'1. Assumptions'!$B$5)*(1-$A7)*(1-'1. Assumptions'!$B$10)-('1. Assumptions'!$B$4/'1. Assumptions'!$B$5)*'1. Assumptions'!$B$11*G$4)/(1+'1. Assumptions'!$B$12)^G$4/'1. Assumptions'!$B$6</f>
        <v>0.521414201870415</v>
      </c>
    </row>
    <row r="8" customFormat="false" ht="15" hidden="false" customHeight="false" outlineLevel="0" collapsed="false">
      <c r="A8" s="16" t="n">
        <v>0.18</v>
      </c>
      <c r="B8" s="13" t="n">
        <f aca="false">(('1. Assumptions'!$B$4/'1. Assumptions'!$B$5)*(1-$A8)*(1-'1. Assumptions'!$B$10)-('1. Assumptions'!$B$4/'1. Assumptions'!$B$5)*'1. Assumptions'!$B$11*B$4)/(1+'1. Assumptions'!$B$12)^B$4/'1. Assumptions'!$B$6</f>
        <v>0.668019835396242</v>
      </c>
      <c r="C8" s="13" t="n">
        <f aca="false">(('1. Assumptions'!$B$4/'1. Assumptions'!$B$5)*(1-$A8)*(1-'1. Assumptions'!$B$10)-('1. Assumptions'!$B$4/'1. Assumptions'!$B$5)*'1. Assumptions'!$B$11*C$4)/(1+'1. Assumptions'!$B$12)^C$4/'1. Assumptions'!$B$6</f>
        <v>0.630997068631024</v>
      </c>
      <c r="D8" s="13" t="n">
        <f aca="false">(('1. Assumptions'!$B$4/'1. Assumptions'!$B$5)*(1-$A8)*(1-'1. Assumptions'!$B$10)-('1. Assumptions'!$B$4/'1. Assumptions'!$B$5)*'1. Assumptions'!$B$11*D$4)/(1+'1. Assumptions'!$B$12)^D$4/'1. Assumptions'!$B$6</f>
        <v>0.595908922156101</v>
      </c>
      <c r="E8" s="13" t="n">
        <f aca="false">(('1. Assumptions'!$B$4/'1. Assumptions'!$B$5)*(1-$A8)*(1-'1. Assumptions'!$B$10)-('1. Assumptions'!$B$4/'1. Assumptions'!$B$5)*'1. Assumptions'!$B$11*E$4)/(1+'1. Assumptions'!$B$12)^E$4/'1. Assumptions'!$B$6</f>
        <v>0.562658065238364</v>
      </c>
      <c r="F8" s="13" t="n">
        <f aca="false">(('1. Assumptions'!$B$4/'1. Assumptions'!$B$5)*(1-$A8)*(1-'1. Assumptions'!$B$10)-('1. Assumptions'!$B$4/'1. Assumptions'!$B$5)*'1. Assumptions'!$B$11*F$4)/(1+'1. Assumptions'!$B$12)^F$4/'1. Assumptions'!$B$6</f>
        <v>0.531151935783231</v>
      </c>
      <c r="G8" s="13" t="n">
        <f aca="false">(('1. Assumptions'!$B$4/'1. Assumptions'!$B$5)*(1-$A8)*(1-'1. Assumptions'!$B$10)-('1. Assumptions'!$B$4/'1. Assumptions'!$B$5)*'1. Assumptions'!$B$11*G$4)/(1+'1. Assumptions'!$B$12)^G$4/'1. Assumptions'!$B$6</f>
        <v>0.501302511226841</v>
      </c>
    </row>
    <row r="9" customFormat="false" ht="15" hidden="false" customHeight="false" outlineLevel="0" collapsed="false">
      <c r="A9" s="16" t="n">
        <v>0.22</v>
      </c>
      <c r="B9" s="13" t="n">
        <f aca="false">(('1. Assumptions'!$B$4/'1. Assumptions'!$B$5)*(1-$A9)*(1-'1. Assumptions'!$B$10)-('1. Assumptions'!$B$4/'1. Assumptions'!$B$5)*'1. Assumptions'!$B$11*B$4)/(1+'1. Assumptions'!$B$12)^B$4/'1. Assumptions'!$B$6</f>
        <v>0.634757436953276</v>
      </c>
      <c r="C9" s="13" t="n">
        <f aca="false">(('1. Assumptions'!$B$4/'1. Assumptions'!$B$5)*(1-$A9)*(1-'1. Assumptions'!$B$10)-('1. Assumptions'!$B$4/'1. Assumptions'!$B$5)*'1. Assumptions'!$B$11*C$4)/(1+'1. Assumptions'!$B$12)^C$4/'1. Assumptions'!$B$6</f>
        <v>0.599137469092852</v>
      </c>
      <c r="D9" s="13" t="n">
        <f aca="false">(('1. Assumptions'!$B$4/'1. Assumptions'!$B$5)*(1-$A9)*(1-'1. Assumptions'!$B$10)-('1. Assumptions'!$B$4/'1. Assumptions'!$B$5)*'1. Assumptions'!$B$11*D$4)/(1+'1. Assumptions'!$B$12)^D$4/'1. Assumptions'!$B$6</f>
        <v>0.565392960281819</v>
      </c>
      <c r="E9" s="13" t="n">
        <f aca="false">(('1. Assumptions'!$B$4/'1. Assumptions'!$B$5)*(1-$A9)*(1-'1. Assumptions'!$B$10)-('1. Assumptions'!$B$4/'1. Assumptions'!$B$5)*'1. Assumptions'!$B$11*E$4)/(1+'1. Assumptions'!$B$12)^E$4/'1. Assumptions'!$B$6</f>
        <v>0.533429074836371</v>
      </c>
      <c r="F9" s="13" t="n">
        <f aca="false">(('1. Assumptions'!$B$4/'1. Assumptions'!$B$5)*(1-$A9)*(1-'1. Assumptions'!$B$10)-('1. Assumptions'!$B$4/'1. Assumptions'!$B$5)*'1. Assumptions'!$B$11*F$4)/(1+'1. Assumptions'!$B$12)^F$4/'1. Assumptions'!$B$6</f>
        <v>0.503155640485726</v>
      </c>
      <c r="G9" s="13" t="n">
        <f aca="false">(('1. Assumptions'!$B$4/'1. Assumptions'!$B$5)*(1-$A9)*(1-'1. Assumptions'!$B$10)-('1. Assumptions'!$B$4/'1. Assumptions'!$B$5)*'1. Assumptions'!$B$11*G$4)/(1+'1. Assumptions'!$B$12)^G$4/'1. Assumptions'!$B$6</f>
        <v>0.474486923702077</v>
      </c>
    </row>
    <row r="10" customFormat="false" ht="15" hidden="false" customHeight="false" outlineLevel="0" collapsed="false">
      <c r="A10" s="16" t="n">
        <v>0.28</v>
      </c>
      <c r="B10" s="13" t="n">
        <f aca="false">(('1. Assumptions'!$B$4/'1. Assumptions'!$B$5)*(1-$A10)*(1-'1. Assumptions'!$B$10)-('1. Assumptions'!$B$4/'1. Assumptions'!$B$5)*'1. Assumptions'!$B$11*B$4)/(1+'1. Assumptions'!$B$12)^B$4/'1. Assumptions'!$B$6</f>
        <v>0.584863839288826</v>
      </c>
      <c r="C10" s="13" t="n">
        <f aca="false">(('1. Assumptions'!$B$4/'1. Assumptions'!$B$5)*(1-$A10)*(1-'1. Assumptions'!$B$10)-('1. Assumptions'!$B$4/'1. Assumptions'!$B$5)*'1. Assumptions'!$B$11*C$4)/(1+'1. Assumptions'!$B$12)^C$4/'1. Assumptions'!$B$6</f>
        <v>0.551348069785593</v>
      </c>
      <c r="D10" s="13" t="n">
        <f aca="false">(('1. Assumptions'!$B$4/'1. Assumptions'!$B$5)*(1-$A10)*(1-'1. Assumptions'!$B$10)-('1. Assumptions'!$B$4/'1. Assumptions'!$B$5)*'1. Assumptions'!$B$11*D$4)/(1+'1. Assumptions'!$B$12)^D$4/'1. Assumptions'!$B$6</f>
        <v>0.519619017470398</v>
      </c>
      <c r="E10" s="13" t="n">
        <f aca="false">(('1. Assumptions'!$B$4/'1. Assumptions'!$B$5)*(1-$A10)*(1-'1. Assumptions'!$B$10)-('1. Assumptions'!$B$4/'1. Assumptions'!$B$5)*'1. Assumptions'!$B$11*E$4)/(1+'1. Assumptions'!$B$12)^E$4/'1. Assumptions'!$B$6</f>
        <v>0.489585589233382</v>
      </c>
      <c r="F10" s="13" t="n">
        <f aca="false">(('1. Assumptions'!$B$4/'1. Assumptions'!$B$5)*(1-$A10)*(1-'1. Assumptions'!$B$10)-('1. Assumptions'!$B$4/'1. Assumptions'!$B$5)*'1. Assumptions'!$B$11*F$4)/(1+'1. Assumptions'!$B$12)^F$4/'1. Assumptions'!$B$6</f>
        <v>0.461161197539467</v>
      </c>
      <c r="G10" s="13" t="n">
        <f aca="false">(('1. Assumptions'!$B$4/'1. Assumptions'!$B$5)*(1-$A10)*(1-'1. Assumptions'!$B$10)-('1. Assumptions'!$B$4/'1. Assumptions'!$B$5)*'1. Assumptions'!$B$11*G$4)/(1+'1. Assumptions'!$B$12)^G$4/'1. Assumptions'!$B$6</f>
        <v>0.434263542414931</v>
      </c>
    </row>
    <row r="11" customFormat="false" ht="15" hidden="false" customHeight="false" outlineLevel="0" collapsed="false">
      <c r="A11" s="16" t="n">
        <v>0.35</v>
      </c>
      <c r="B11" s="13" t="n">
        <f aca="false">(('1. Assumptions'!$B$4/'1. Assumptions'!$B$5)*(1-$A11)*(1-'1. Assumptions'!$B$10)-('1. Assumptions'!$B$4/'1. Assumptions'!$B$5)*'1. Assumptions'!$B$11*B$4)/(1+'1. Assumptions'!$B$12)^B$4/'1. Assumptions'!$B$6</f>
        <v>0.526654642013635</v>
      </c>
      <c r="C11" s="13" t="n">
        <f aca="false">(('1. Assumptions'!$B$4/'1. Assumptions'!$B$5)*(1-$A11)*(1-'1. Assumptions'!$B$10)-('1. Assumptions'!$B$4/'1. Assumptions'!$B$5)*'1. Assumptions'!$B$11*C$4)/(1+'1. Assumptions'!$B$12)^C$4/'1. Assumptions'!$B$6</f>
        <v>0.495593770593792</v>
      </c>
      <c r="D11" s="13" t="n">
        <f aca="false">(('1. Assumptions'!$B$4/'1. Assumptions'!$B$5)*(1-$A11)*(1-'1. Assumptions'!$B$10)-('1. Assumptions'!$B$4/'1. Assumptions'!$B$5)*'1. Assumptions'!$B$11*D$4)/(1+'1. Assumptions'!$B$12)^D$4/'1. Assumptions'!$B$6</f>
        <v>0.466216084190406</v>
      </c>
      <c r="E11" s="13" t="n">
        <f aca="false">(('1. Assumptions'!$B$4/'1. Assumptions'!$B$5)*(1-$A11)*(1-'1. Assumptions'!$B$10)-('1. Assumptions'!$B$4/'1. Assumptions'!$B$5)*'1. Assumptions'!$B$11*E$4)/(1+'1. Assumptions'!$B$12)^E$4/'1. Assumptions'!$B$6</f>
        <v>0.438434856029894</v>
      </c>
      <c r="F11" s="13" t="n">
        <f aca="false">(('1. Assumptions'!$B$4/'1. Assumptions'!$B$5)*(1-$A11)*(1-'1. Assumptions'!$B$10)-('1. Assumptions'!$B$4/'1. Assumptions'!$B$5)*'1. Assumptions'!$B$11*F$4)/(1+'1. Assumptions'!$B$12)^F$4/'1. Assumptions'!$B$6</f>
        <v>0.412167680768833</v>
      </c>
      <c r="G11" s="13" t="n">
        <f aca="false">(('1. Assumptions'!$B$4/'1. Assumptions'!$B$5)*(1-$A11)*(1-'1. Assumptions'!$B$10)-('1. Assumptions'!$B$4/'1. Assumptions'!$B$5)*'1. Assumptions'!$B$11*G$4)/(1+'1. Assumptions'!$B$12)^G$4/'1. Assumptions'!$B$6</f>
        <v>0.387336264246594</v>
      </c>
    </row>
    <row r="14" customFormat="false" ht="15" hidden="false" customHeight="false" outlineLevel="0" collapsed="false">
      <c r="A14" s="3" t="s">
        <v>59</v>
      </c>
    </row>
    <row r="15" customFormat="false" ht="15" hidden="false" customHeight="false" outlineLevel="0" collapsed="false">
      <c r="A15" s="14" t="s">
        <v>58</v>
      </c>
      <c r="B15" s="18" t="n">
        <v>0.75</v>
      </c>
      <c r="C15" s="18" t="n">
        <v>1.25</v>
      </c>
      <c r="D15" s="18" t="n">
        <v>1.75</v>
      </c>
      <c r="E15" s="18" t="n">
        <v>2.25</v>
      </c>
      <c r="F15" s="18" t="n">
        <v>2.75</v>
      </c>
      <c r="G15" s="18" t="n">
        <v>3.25</v>
      </c>
    </row>
    <row r="16" customFormat="false" ht="15" hidden="false" customHeight="false" outlineLevel="0" collapsed="false">
      <c r="A16" s="16" t="n">
        <v>0.05</v>
      </c>
      <c r="B16" s="13" t="n">
        <f aca="false">(('1. Assumptions'!$B$4/'1. Assumptions'!$B$5)*(1-$A16)*(1-'1. Assumptions'!$B$10)-('1. Assumptions'!$B$4/'1. Assumptions'!$B$5)*'1. Assumptions'!$B$11*B$15)/(1+'1. Assumptions'!$B$12)^B$15*(1+'1. Assumptions'!$B$12)^'1. Assumptions'!$B$14/'1. Assumptions'!$B$6</f>
        <v>0.81029581492085</v>
      </c>
      <c r="C16" s="13" t="n">
        <f aca="false">(('1. Assumptions'!$B$4/'1. Assumptions'!$B$5)*(1-$A16)*(1-'1. Assumptions'!$B$10)-('1. Assumptions'!$B$4/'1. Assumptions'!$B$5)*'1. Assumptions'!$B$11*C$15)/(1+'1. Assumptions'!$B$12)^C$15*(1+'1. Assumptions'!$B$12)^'1. Assumptions'!$B$14/'1. Assumptions'!$B$6</f>
        <v>0.766883075212837</v>
      </c>
      <c r="D16" s="13" t="n">
        <f aca="false">(('1. Assumptions'!$B$4/'1. Assumptions'!$B$5)*(1-$A16)*(1-'1. Assumptions'!$B$10)-('1. Assumptions'!$B$4/'1. Assumptions'!$B$5)*'1. Assumptions'!$B$11*D$15)/(1+'1. Assumptions'!$B$12)^D$15*(1+'1. Assumptions'!$B$12)^'1. Assumptions'!$B$14/'1. Assumptions'!$B$6</f>
        <v>0.725690878369481</v>
      </c>
      <c r="E16" s="13" t="n">
        <f aca="false">(('1. Assumptions'!$B$4/'1. Assumptions'!$B$5)*(1-$A16)*(1-'1. Assumptions'!$B$10)-('1. Assumptions'!$B$4/'1. Assumptions'!$B$5)*'1. Assumptions'!$B$11*E$15)/(1+'1. Assumptions'!$B$12)^E$15*(1+'1. Assumptions'!$B$12)^'1. Assumptions'!$B$14/'1. Assumptions'!$B$6</f>
        <v>0.686609142171325</v>
      </c>
      <c r="F16" s="13" t="n">
        <f aca="false">(('1. Assumptions'!$B$4/'1. Assumptions'!$B$5)*(1-$A16)*(1-'1. Assumptions'!$B$10)-('1. Assumptions'!$B$4/'1. Assumptions'!$B$5)*'1. Assumptions'!$B$11*F$15)/(1+'1. Assumptions'!$B$12)^F$15*(1+'1. Assumptions'!$B$12)^'1. Assumptions'!$B$14/'1. Assumptions'!$B$6</f>
        <v>0.649533120044288</v>
      </c>
      <c r="G16" s="13" t="n">
        <f aca="false">(('1. Assumptions'!$B$4/'1. Assumptions'!$B$5)*(1-$A16)*(1-'1. Assumptions'!$B$10)-('1. Assumptions'!$B$4/'1. Assumptions'!$B$5)*'1. Assumptions'!$B$11*G$15)/(1+'1. Assumptions'!$B$12)^G$15*(1+'1. Assumptions'!$B$12)^'1. Assumptions'!$B$14/'1. Assumptions'!$B$6</f>
        <v>0.614363146806373</v>
      </c>
    </row>
    <row r="17" customFormat="false" ht="15" hidden="false" customHeight="false" outlineLevel="0" collapsed="false">
      <c r="A17" s="16" t="n">
        <v>0.1</v>
      </c>
      <c r="B17" s="13" t="n">
        <f aca="false">(('1. Assumptions'!$B$4/'1. Assumptions'!$B$5)*(1-$A17)*(1-'1. Assumptions'!$B$10)-('1. Assumptions'!$B$4/'1. Assumptions'!$B$5)*'1. Assumptions'!$B$11*B$15)/(1+'1. Assumptions'!$B$12)^B$15*(1+'1. Assumptions'!$B$12)^'1. Assumptions'!$B$14/'1. Assumptions'!$B$6</f>
        <v>0.76688711055009</v>
      </c>
      <c r="C17" s="13" t="n">
        <f aca="false">(('1. Assumptions'!$B$4/'1. Assumptions'!$B$5)*(1-$A17)*(1-'1. Assumptions'!$B$10)-('1. Assumptions'!$B$4/'1. Assumptions'!$B$5)*'1. Assumptions'!$B$11*C$15)/(1+'1. Assumptions'!$B$12)^C$15*(1+'1. Assumptions'!$B$12)^'1. Assumptions'!$B$14/'1. Assumptions'!$B$6</f>
        <v>0.725305077159129</v>
      </c>
      <c r="D17" s="13" t="n">
        <f aca="false">(('1. Assumptions'!$B$4/'1. Assumptions'!$B$5)*(1-$A17)*(1-'1. Assumptions'!$B$10)-('1. Assumptions'!$B$4/'1. Assumptions'!$B$5)*'1. Assumptions'!$B$11*D$15)/(1+'1. Assumptions'!$B$12)^D$15*(1+'1. Assumptions'!$B$12)^'1. Assumptions'!$B$14/'1. Assumptions'!$B$6</f>
        <v>0.685866378946765</v>
      </c>
      <c r="E17" s="13" t="n">
        <f aca="false">(('1. Assumptions'!$B$4/'1. Assumptions'!$B$5)*(1-$A17)*(1-'1. Assumptions'!$B$10)-('1. Assumptions'!$B$4/'1. Assumptions'!$B$5)*'1. Assumptions'!$B$11*E$15)/(1+'1. Assumptions'!$B$12)^E$15*(1+'1. Assumptions'!$B$12)^'1. Assumptions'!$B$14/'1. Assumptions'!$B$6</f>
        <v>0.648464189828473</v>
      </c>
      <c r="F17" s="13" t="n">
        <f aca="false">(('1. Assumptions'!$B$4/'1. Assumptions'!$B$5)*(1-$A17)*(1-'1. Assumptions'!$B$10)-('1. Assumptions'!$B$4/'1. Assumptions'!$B$5)*'1. Assumptions'!$B$11*F$15)/(1+'1. Assumptions'!$B$12)^F$15*(1+'1. Assumptions'!$B$12)^'1. Assumptions'!$B$14/'1. Assumptions'!$B$6</f>
        <v>0.612996882041797</v>
      </c>
      <c r="G17" s="13" t="n">
        <f aca="false">(('1. Assumptions'!$B$4/'1. Assumptions'!$B$5)*(1-$A17)*(1-'1. Assumptions'!$B$10)-('1. Assumptions'!$B$4/'1. Assumptions'!$B$5)*'1. Assumptions'!$B$11*G$15)/(1+'1. Assumptions'!$B$12)^G$15*(1+'1. Assumptions'!$B$12)^'1. Assumptions'!$B$14/'1. Assumptions'!$B$6</f>
        <v>0.579367777684491</v>
      </c>
    </row>
    <row r="18" customFormat="false" ht="15" hidden="false" customHeight="false" outlineLevel="0" collapsed="false">
      <c r="A18" s="16" t="n">
        <v>0.15</v>
      </c>
      <c r="B18" s="13" t="n">
        <f aca="false">(('1. Assumptions'!$B$4/'1. Assumptions'!$B$5)*(1-$A18)*(1-'1. Assumptions'!$B$10)-('1. Assumptions'!$B$4/'1. Assumptions'!$B$5)*'1. Assumptions'!$B$11*B$15)/(1+'1. Assumptions'!$B$12)^B$15*(1+'1. Assumptions'!$B$12)^'1. Assumptions'!$B$14/'1. Assumptions'!$B$6</f>
        <v>0.72347840617933</v>
      </c>
      <c r="C18" s="13" t="n">
        <f aca="false">(('1. Assumptions'!$B$4/'1. Assumptions'!$B$5)*(1-$A18)*(1-'1. Assumptions'!$B$10)-('1. Assumptions'!$B$4/'1. Assumptions'!$B$5)*'1. Assumptions'!$B$11*C$15)/(1+'1. Assumptions'!$B$12)^C$15*(1+'1. Assumptions'!$B$12)^'1. Assumptions'!$B$14/'1. Assumptions'!$B$6</f>
        <v>0.683727079105421</v>
      </c>
      <c r="D18" s="13" t="n">
        <f aca="false">(('1. Assumptions'!$B$4/'1. Assumptions'!$B$5)*(1-$A18)*(1-'1. Assumptions'!$B$10)-('1. Assumptions'!$B$4/'1. Assumptions'!$B$5)*'1. Assumptions'!$B$11*D$15)/(1+'1. Assumptions'!$B$12)^D$15*(1+'1. Assumptions'!$B$12)^'1. Assumptions'!$B$14/'1. Assumptions'!$B$6</f>
        <v>0.64604187952405</v>
      </c>
      <c r="E18" s="13" t="n">
        <f aca="false">(('1. Assumptions'!$B$4/'1. Assumptions'!$B$5)*(1-$A18)*(1-'1. Assumptions'!$B$10)-('1. Assumptions'!$B$4/'1. Assumptions'!$B$5)*'1. Assumptions'!$B$11*E$15)/(1+'1. Assumptions'!$B$12)^E$15*(1+'1. Assumptions'!$B$12)^'1. Assumptions'!$B$14/'1. Assumptions'!$B$6</f>
        <v>0.610319237485622</v>
      </c>
      <c r="F18" s="13" t="n">
        <f aca="false">(('1. Assumptions'!$B$4/'1. Assumptions'!$B$5)*(1-$A18)*(1-'1. Assumptions'!$B$10)-('1. Assumptions'!$B$4/'1. Assumptions'!$B$5)*'1. Assumptions'!$B$11*F$15)/(1+'1. Assumptions'!$B$12)^F$15*(1+'1. Assumptions'!$B$12)^'1. Assumptions'!$B$14/'1. Assumptions'!$B$6</f>
        <v>0.576460644039306</v>
      </c>
      <c r="G18" s="13" t="n">
        <f aca="false">(('1. Assumptions'!$B$4/'1. Assumptions'!$B$5)*(1-$A18)*(1-'1. Assumptions'!$B$10)-('1. Assumptions'!$B$4/'1. Assumptions'!$B$5)*'1. Assumptions'!$B$11*G$15)/(1+'1. Assumptions'!$B$12)^G$15*(1+'1. Assumptions'!$B$12)^'1. Assumptions'!$B$14/'1. Assumptions'!$B$6</f>
        <v>0.544372408562609</v>
      </c>
    </row>
    <row r="19" customFormat="false" ht="15" hidden="false" customHeight="false" outlineLevel="0" collapsed="false">
      <c r="A19" s="16" t="n">
        <v>0.18</v>
      </c>
      <c r="B19" s="13" t="n">
        <f aca="false">(('1. Assumptions'!$B$4/'1. Assumptions'!$B$5)*(1-$A19)*(1-'1. Assumptions'!$B$10)-('1. Assumptions'!$B$4/'1. Assumptions'!$B$5)*'1. Assumptions'!$B$11*B$15)/(1+'1. Assumptions'!$B$12)^B$15*(1+'1. Assumptions'!$B$12)^'1. Assumptions'!$B$14/'1. Assumptions'!$B$6</f>
        <v>0.697433183556874</v>
      </c>
      <c r="C19" s="13" t="n">
        <f aca="false">(('1. Assumptions'!$B$4/'1. Assumptions'!$B$5)*(1-$A19)*(1-'1. Assumptions'!$B$10)-('1. Assumptions'!$B$4/'1. Assumptions'!$B$5)*'1. Assumptions'!$B$11*C$15)/(1+'1. Assumptions'!$B$12)^C$15*(1+'1. Assumptions'!$B$12)^'1. Assumptions'!$B$14/'1. Assumptions'!$B$6</f>
        <v>0.658780280273196</v>
      </c>
      <c r="D19" s="13" t="n">
        <f aca="false">(('1. Assumptions'!$B$4/'1. Assumptions'!$B$5)*(1-$A19)*(1-'1. Assumptions'!$B$10)-('1. Assumptions'!$B$4/'1. Assumptions'!$B$5)*'1. Assumptions'!$B$11*D$15)/(1+'1. Assumptions'!$B$12)^D$15*(1+'1. Assumptions'!$B$12)^'1. Assumptions'!$B$14/'1. Assumptions'!$B$6</f>
        <v>0.622147179870421</v>
      </c>
      <c r="E19" s="13" t="n">
        <f aca="false">(('1. Assumptions'!$B$4/'1. Assumptions'!$B$5)*(1-$A19)*(1-'1. Assumptions'!$B$10)-('1. Assumptions'!$B$4/'1. Assumptions'!$B$5)*'1. Assumptions'!$B$11*E$15)/(1+'1. Assumptions'!$B$12)^E$15*(1+'1. Assumptions'!$B$12)^'1. Assumptions'!$B$14/'1. Assumptions'!$B$6</f>
        <v>0.587432266079911</v>
      </c>
      <c r="F19" s="13" t="n">
        <f aca="false">(('1. Assumptions'!$B$4/'1. Assumptions'!$B$5)*(1-$A19)*(1-'1. Assumptions'!$B$10)-('1. Assumptions'!$B$4/'1. Assumptions'!$B$5)*'1. Assumptions'!$B$11*F$15)/(1+'1. Assumptions'!$B$12)^F$15*(1+'1. Assumptions'!$B$12)^'1. Assumptions'!$B$14/'1. Assumptions'!$B$6</f>
        <v>0.554538901237811</v>
      </c>
      <c r="G19" s="13" t="n">
        <f aca="false">(('1. Assumptions'!$B$4/'1. Assumptions'!$B$5)*(1-$A19)*(1-'1. Assumptions'!$B$10)-('1. Assumptions'!$B$4/'1. Assumptions'!$B$5)*'1. Assumptions'!$B$11*G$15)/(1+'1. Assumptions'!$B$12)^G$15*(1+'1. Assumptions'!$B$12)^'1. Assumptions'!$B$14/'1. Assumptions'!$B$6</f>
        <v>0.52337518708948</v>
      </c>
    </row>
    <row r="20" customFormat="false" ht="15" hidden="false" customHeight="false" outlineLevel="0" collapsed="false">
      <c r="A20" s="16" t="n">
        <v>0.22</v>
      </c>
      <c r="B20" s="13" t="n">
        <f aca="false">(('1. Assumptions'!$B$4/'1. Assumptions'!$B$5)*(1-$A20)*(1-'1. Assumptions'!$B$10)-('1. Assumptions'!$B$4/'1. Assumptions'!$B$5)*'1. Assumptions'!$B$11*B$15)/(1+'1. Assumptions'!$B$12)^B$15*(1+'1. Assumptions'!$B$12)^'1. Assumptions'!$B$14/'1. Assumptions'!$B$6</f>
        <v>0.662706220060266</v>
      </c>
      <c r="C20" s="13" t="n">
        <f aca="false">(('1. Assumptions'!$B$4/'1. Assumptions'!$B$5)*(1-$A20)*(1-'1. Assumptions'!$B$10)-('1. Assumptions'!$B$4/'1. Assumptions'!$B$5)*'1. Assumptions'!$B$11*C$15)/(1+'1. Assumptions'!$B$12)^C$15*(1+'1. Assumptions'!$B$12)^'1. Assumptions'!$B$14/'1. Assumptions'!$B$6</f>
        <v>0.625517881830229</v>
      </c>
      <c r="D20" s="13" t="n">
        <f aca="false">(('1. Assumptions'!$B$4/'1. Assumptions'!$B$5)*(1-$A20)*(1-'1. Assumptions'!$B$10)-('1. Assumptions'!$B$4/'1. Assumptions'!$B$5)*'1. Assumptions'!$B$11*D$15)/(1+'1. Assumptions'!$B$12)^D$15*(1+'1. Assumptions'!$B$12)^'1. Assumptions'!$B$14/'1. Assumptions'!$B$6</f>
        <v>0.590287580332248</v>
      </c>
      <c r="E20" s="13" t="n">
        <f aca="false">(('1. Assumptions'!$B$4/'1. Assumptions'!$B$5)*(1-$A20)*(1-'1. Assumptions'!$B$10)-('1. Assumptions'!$B$4/'1. Assumptions'!$B$5)*'1. Assumptions'!$B$11*E$15)/(1+'1. Assumptions'!$B$12)^E$15*(1+'1. Assumptions'!$B$12)^'1. Assumptions'!$B$14/'1. Assumptions'!$B$6</f>
        <v>0.55691630420563</v>
      </c>
      <c r="F20" s="13" t="n">
        <f aca="false">(('1. Assumptions'!$B$4/'1. Assumptions'!$B$5)*(1-$A20)*(1-'1. Assumptions'!$B$10)-('1. Assumptions'!$B$4/'1. Assumptions'!$B$5)*'1. Assumptions'!$B$11*F$15)/(1+'1. Assumptions'!$B$12)^F$15*(1+'1. Assumptions'!$B$12)^'1. Assumptions'!$B$14/'1. Assumptions'!$B$6</f>
        <v>0.525309910835818</v>
      </c>
      <c r="G20" s="13" t="n">
        <f aca="false">(('1. Assumptions'!$B$4/'1. Assumptions'!$B$5)*(1-$A20)*(1-'1. Assumptions'!$B$10)-('1. Assumptions'!$B$4/'1. Assumptions'!$B$5)*'1. Assumptions'!$B$11*G$15)/(1+'1. Assumptions'!$B$12)^G$15*(1+'1. Assumptions'!$B$12)^'1. Assumptions'!$B$14/'1. Assumptions'!$B$6</f>
        <v>0.495378891791974</v>
      </c>
    </row>
    <row r="21" customFormat="false" ht="15" hidden="false" customHeight="false" outlineLevel="0" collapsed="false">
      <c r="A21" s="16" t="n">
        <v>0.28</v>
      </c>
      <c r="B21" s="13" t="n">
        <f aca="false">(('1. Assumptions'!$B$4/'1. Assumptions'!$B$5)*(1-$A21)*(1-'1. Assumptions'!$B$10)-('1. Assumptions'!$B$4/'1. Assumptions'!$B$5)*'1. Assumptions'!$B$11*B$15)/(1+'1. Assumptions'!$B$12)^B$15*(1+'1. Assumptions'!$B$12)^'1. Assumptions'!$B$14/'1. Assumptions'!$B$6</f>
        <v>0.610615774815355</v>
      </c>
      <c r="C21" s="13" t="n">
        <f aca="false">(('1. Assumptions'!$B$4/'1. Assumptions'!$B$5)*(1-$A21)*(1-'1. Assumptions'!$B$10)-('1. Assumptions'!$B$4/'1. Assumptions'!$B$5)*'1. Assumptions'!$B$11*C$15)/(1+'1. Assumptions'!$B$12)^C$15*(1+'1. Assumptions'!$B$12)^'1. Assumptions'!$B$14/'1. Assumptions'!$B$6</f>
        <v>0.57562428416578</v>
      </c>
      <c r="D21" s="13" t="n">
        <f aca="false">(('1. Assumptions'!$B$4/'1. Assumptions'!$B$5)*(1-$A21)*(1-'1. Assumptions'!$B$10)-('1. Assumptions'!$B$4/'1. Assumptions'!$B$5)*'1. Assumptions'!$B$11*D$15)/(1+'1. Assumptions'!$B$12)^D$15*(1+'1. Assumptions'!$B$12)^'1. Assumptions'!$B$14/'1. Assumptions'!$B$6</f>
        <v>0.54249818102499</v>
      </c>
      <c r="E21" s="13" t="n">
        <f aca="false">(('1. Assumptions'!$B$4/'1. Assumptions'!$B$5)*(1-$A21)*(1-'1. Assumptions'!$B$10)-('1. Assumptions'!$B$4/'1. Assumptions'!$B$5)*'1. Assumptions'!$B$11*E$15)/(1+'1. Assumptions'!$B$12)^E$15*(1+'1. Assumptions'!$B$12)^'1. Assumptions'!$B$14/'1. Assumptions'!$B$6</f>
        <v>0.511142361394208</v>
      </c>
      <c r="F21" s="13" t="n">
        <f aca="false">(('1. Assumptions'!$B$4/'1. Assumptions'!$B$5)*(1-$A21)*(1-'1. Assumptions'!$B$10)-('1. Assumptions'!$B$4/'1. Assumptions'!$B$5)*'1. Assumptions'!$B$11*F$15)/(1+'1. Assumptions'!$B$12)^F$15*(1+'1. Assumptions'!$B$12)^'1. Assumptions'!$B$14/'1. Assumptions'!$B$6</f>
        <v>0.481466425232828</v>
      </c>
      <c r="G21" s="13" t="n">
        <f aca="false">(('1. Assumptions'!$B$4/'1. Assumptions'!$B$5)*(1-$A21)*(1-'1. Assumptions'!$B$10)-('1. Assumptions'!$B$4/'1. Assumptions'!$B$5)*'1. Assumptions'!$B$11*G$15)/(1+'1. Assumptions'!$B$12)^G$15*(1+'1. Assumptions'!$B$12)^'1. Assumptions'!$B$14/'1. Assumptions'!$B$6</f>
        <v>0.453384448845716</v>
      </c>
    </row>
    <row r="22" customFormat="false" ht="15" hidden="false" customHeight="false" outlineLevel="0" collapsed="false">
      <c r="A22" s="16" t="n">
        <v>0.35</v>
      </c>
      <c r="B22" s="13" t="n">
        <f aca="false">(('1. Assumptions'!$B$4/'1. Assumptions'!$B$5)*(1-$A22)*(1-'1. Assumptions'!$B$10)-('1. Assumptions'!$B$4/'1. Assumptions'!$B$5)*'1. Assumptions'!$B$11*B$15)/(1+'1. Assumptions'!$B$12)^B$15*(1+'1. Assumptions'!$B$12)^'1. Assumptions'!$B$14/'1. Assumptions'!$B$6</f>
        <v>0.549843588696291</v>
      </c>
      <c r="C22" s="13" t="n">
        <f aca="false">(('1. Assumptions'!$B$4/'1. Assumptions'!$B$5)*(1-$A22)*(1-'1. Assumptions'!$B$10)-('1. Assumptions'!$B$4/'1. Assumptions'!$B$5)*'1. Assumptions'!$B$11*C$15)/(1+'1. Assumptions'!$B$12)^C$15*(1+'1. Assumptions'!$B$12)^'1. Assumptions'!$B$14/'1. Assumptions'!$B$6</f>
        <v>0.517415086890589</v>
      </c>
      <c r="D22" s="13" t="n">
        <f aca="false">(('1. Assumptions'!$B$4/'1. Assumptions'!$B$5)*(1-$A22)*(1-'1. Assumptions'!$B$10)-('1. Assumptions'!$B$4/'1. Assumptions'!$B$5)*'1. Assumptions'!$B$11*D$15)/(1+'1. Assumptions'!$B$12)^D$15*(1+'1. Assumptions'!$B$12)^'1. Assumptions'!$B$14/'1. Assumptions'!$B$6</f>
        <v>0.486743881833188</v>
      </c>
      <c r="E22" s="13" t="n">
        <f aca="false">(('1. Assumptions'!$B$4/'1. Assumptions'!$B$5)*(1-$A22)*(1-'1. Assumptions'!$B$10)-('1. Assumptions'!$B$4/'1. Assumptions'!$B$5)*'1. Assumptions'!$B$11*E$15)/(1+'1. Assumptions'!$B$12)^E$15*(1+'1. Assumptions'!$B$12)^'1. Assumptions'!$B$14/'1. Assumptions'!$B$6</f>
        <v>0.457739428114217</v>
      </c>
      <c r="F22" s="13" t="n">
        <f aca="false">(('1. Assumptions'!$B$4/'1. Assumptions'!$B$5)*(1-$A22)*(1-'1. Assumptions'!$B$10)-('1. Assumptions'!$B$4/'1. Assumptions'!$B$5)*'1. Assumptions'!$B$11*F$15)/(1+'1. Assumptions'!$B$12)^F$15*(1+'1. Assumptions'!$B$12)^'1. Assumptions'!$B$14/'1. Assumptions'!$B$6</f>
        <v>0.430315692029341</v>
      </c>
      <c r="G22" s="13" t="n">
        <f aca="false">(('1. Assumptions'!$B$4/'1. Assumptions'!$B$5)*(1-$A22)*(1-'1. Assumptions'!$B$10)-('1. Assumptions'!$B$4/'1. Assumptions'!$B$5)*'1. Assumptions'!$B$11*G$15)/(1+'1. Assumptions'!$B$12)^G$15*(1+'1. Assumptions'!$B$12)^'1. Assumptions'!$B$14/'1. Assumptions'!$B$6</f>
        <v>0.404390932075081</v>
      </c>
    </row>
    <row r="24" customFormat="false" ht="15" hidden="false" customHeight="false" outlineLevel="0" collapsed="false">
      <c r="A24" s="2" t="s">
        <v>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4" min="2" style="0" width="12"/>
    <col collapsed="false" customWidth="true" hidden="false" outlineLevel="0" max="7" min="5" style="0" width="13"/>
    <col collapsed="false" customWidth="true" hidden="false" outlineLevel="0" max="8" min="8" style="0" width="15"/>
    <col collapsed="false" customWidth="true" hidden="false" outlineLevel="0" max="9" min="9" style="0" width="18"/>
  </cols>
  <sheetData>
    <row r="1" customFormat="false" ht="16.15" hidden="false" customHeight="false" outlineLevel="0" collapsed="false">
      <c r="A1" s="5" t="s">
        <v>61</v>
      </c>
    </row>
    <row r="2" customFormat="false" ht="15" hidden="false" customHeight="false" outlineLevel="0" collapsed="false">
      <c r="A2" s="2" t="s">
        <v>62</v>
      </c>
    </row>
    <row r="4" customFormat="false" ht="28.35" hidden="false" customHeight="false" outlineLevel="0" collapsed="false">
      <c r="A4" s="11" t="s">
        <v>63</v>
      </c>
      <c r="B4" s="11" t="s">
        <v>64</v>
      </c>
      <c r="C4" s="11" t="s">
        <v>65</v>
      </c>
      <c r="D4" s="11" t="s">
        <v>66</v>
      </c>
      <c r="E4" s="11" t="s">
        <v>67</v>
      </c>
      <c r="F4" s="11" t="s">
        <v>68</v>
      </c>
      <c r="G4" s="11" t="s">
        <v>69</v>
      </c>
      <c r="H4" s="19" t="s">
        <v>70</v>
      </c>
      <c r="I4" s="19" t="s">
        <v>71</v>
      </c>
    </row>
    <row r="5" customFormat="false" ht="15" hidden="false" customHeight="false" outlineLevel="0" collapsed="false">
      <c r="A5" s="0" t="s">
        <v>72</v>
      </c>
      <c r="B5" s="10" t="n">
        <v>0.0475</v>
      </c>
      <c r="C5" s="10" t="n">
        <v>0.09</v>
      </c>
      <c r="D5" s="9" t="n">
        <v>1</v>
      </c>
      <c r="E5" s="10" t="n">
        <v>0.01</v>
      </c>
      <c r="F5" s="13" t="n">
        <f aca="false">MIN(1,H5)</f>
        <v>1</v>
      </c>
      <c r="G5" s="13" t="n">
        <f aca="false">MIN(1,H5*(1+'1. Assumptions'!$B$12)^'1. Assumptions'!$B$14)</f>
        <v>1</v>
      </c>
      <c r="H5" s="13" t="n">
        <f aca="false">(('1. Assumptions'!$B$4/B5)*(1-C5)*(1-'1. Assumptions'!$B$10)-('1. Assumptions'!$B$4/B5)*E5*D5)/(1+'1. Assumptions'!$B$12)^D5/'1. Assumptions'!$B$6</f>
        <v>1.02477034956031</v>
      </c>
      <c r="I5" s="12" t="n">
        <f aca="false">MAX(0,('1. Assumptions'!$B$4/B5)*(1-C5)*(1-'1. Assumptions'!$B$10)-('1. Assumptions'!$B$4/B5)*E5*D5-'1. Assumptions'!$B$6)</f>
        <v>9.65247368421053</v>
      </c>
    </row>
    <row r="6" customFormat="false" ht="15" hidden="false" customHeight="false" outlineLevel="0" collapsed="false">
      <c r="A6" s="0" t="s">
        <v>73</v>
      </c>
      <c r="B6" s="10" t="n">
        <v>0.0545</v>
      </c>
      <c r="C6" s="10" t="n">
        <v>0.1</v>
      </c>
      <c r="D6" s="9" t="n">
        <v>1.25</v>
      </c>
      <c r="E6" s="10" t="n">
        <v>0.008</v>
      </c>
      <c r="F6" s="13" t="n">
        <f aca="false">MIN(1,H6)</f>
        <v>0.864393263378938</v>
      </c>
      <c r="G6" s="13" t="n">
        <f aca="false">MIN(1,H6*(1+'1. Assumptions'!$B$12)^'1. Assumptions'!$B$14)</f>
        <v>0.902453061391356</v>
      </c>
      <c r="H6" s="13" t="n">
        <f aca="false">(('1. Assumptions'!$B$4/B6)*(1-C6)*(1-'1. Assumptions'!$B$10)-('1. Assumptions'!$B$4/B6)*E6*D6)/(1+'1. Assumptions'!$B$12)^D6/'1. Assumptions'!$B$6</f>
        <v>0.864393263378938</v>
      </c>
      <c r="I6" s="12" t="n">
        <f aca="false">MAX(0,('1. Assumptions'!$B$4/B6)*(1-C6)*(1-'1. Assumptions'!$B$10)-('1. Assumptions'!$B$4/B6)*E6*D6-'1. Assumptions'!$B$6)</f>
        <v>0</v>
      </c>
    </row>
    <row r="7" customFormat="false" ht="15" hidden="false" customHeight="false" outlineLevel="0" collapsed="false">
      <c r="A7" s="0" t="s">
        <v>74</v>
      </c>
      <c r="B7" s="10" t="n">
        <v>0.0665</v>
      </c>
      <c r="C7" s="10" t="n">
        <v>0.18</v>
      </c>
      <c r="D7" s="9" t="n">
        <v>2.25</v>
      </c>
      <c r="E7" s="10" t="n">
        <v>0.021</v>
      </c>
      <c r="F7" s="13" t="n">
        <f aca="false">MIN(1,H7)</f>
        <v>0.562658065238364</v>
      </c>
      <c r="G7" s="13" t="n">
        <f aca="false">MIN(1,H7*(1+'1. Assumptions'!$B$12)^'1. Assumptions'!$B$14)</f>
        <v>0.587432266079911</v>
      </c>
      <c r="H7" s="13" t="n">
        <f aca="false">(('1. Assumptions'!$B$4/B7)*(1-C7)*(1-'1. Assumptions'!$B$10)-('1. Assumptions'!$B$4/B7)*E7*D7)/(1+'1. Assumptions'!$B$12)^D7/'1. Assumptions'!$B$6</f>
        <v>0.562658065238364</v>
      </c>
      <c r="I7" s="12" t="n">
        <f aca="false">MAX(0,('1. Assumptions'!$B$4/B7)*(1-C7)*(1-'1. Assumptions'!$B$10)-('1. Assumptions'!$B$4/B7)*E7*D7-'1. Assumptions'!$B$6)</f>
        <v>0</v>
      </c>
    </row>
    <row r="8" customFormat="false" ht="15" hidden="false" customHeight="false" outlineLevel="0" collapsed="false">
      <c r="A8" s="0" t="s">
        <v>75</v>
      </c>
      <c r="B8" s="10" t="n">
        <v>0.0725</v>
      </c>
      <c r="C8" s="10" t="n">
        <v>0.15</v>
      </c>
      <c r="D8" s="9" t="n">
        <v>1.75</v>
      </c>
      <c r="E8" s="10" t="n">
        <v>0.014</v>
      </c>
      <c r="F8" s="13" t="n">
        <f aca="false">MIN(1,H8)</f>
        <v>0.57665619525202</v>
      </c>
      <c r="G8" s="13" t="n">
        <f aca="false">MIN(1,H8*(1+'1. Assumptions'!$B$12)^'1. Assumptions'!$B$14)</f>
        <v>0.602046742869326</v>
      </c>
      <c r="H8" s="13" t="n">
        <f aca="false">(('1. Assumptions'!$B$4/B8)*(1-C8)*(1-'1. Assumptions'!$B$10)-('1. Assumptions'!$B$4/B8)*E8*D8)/(1+'1. Assumptions'!$B$12)^D8/'1. Assumptions'!$B$6</f>
        <v>0.57665619525202</v>
      </c>
      <c r="I8" s="12" t="n">
        <f aca="false">MAX(0,('1. Assumptions'!$B$4/B8)*(1-C8)*(1-'1. Assumptions'!$B$10)-('1. Assumptions'!$B$4/B8)*E8*D8-'1. Assumptions'!$B$6)</f>
        <v>0</v>
      </c>
    </row>
    <row r="9" customFormat="false" ht="15" hidden="false" customHeight="false" outlineLevel="0" collapsed="false">
      <c r="A9" s="0" t="s">
        <v>76</v>
      </c>
      <c r="B9" s="10" t="n">
        <v>0.08</v>
      </c>
      <c r="C9" s="10" t="n">
        <v>0.24</v>
      </c>
      <c r="D9" s="9" t="n">
        <v>2.5</v>
      </c>
      <c r="E9" s="10" t="n">
        <v>0.04</v>
      </c>
      <c r="F9" s="13" t="n">
        <f aca="false">MIN(1,H9)</f>
        <v>0.388889349565914</v>
      </c>
      <c r="G9" s="13" t="n">
        <f aca="false">MIN(1,H9*(1+'1. Assumptions'!$B$12)^'1. Assumptions'!$B$14)</f>
        <v>0.406012400751901</v>
      </c>
      <c r="H9" s="13" t="n">
        <f aca="false">(('1. Assumptions'!$B$4/B9)*(1-C9)*(1-'1. Assumptions'!$B$10)-('1. Assumptions'!$B$4/B9)*E9*D9)/(1+'1. Assumptions'!$B$12)^D9/'1. Assumptions'!$B$6</f>
        <v>0.388889349565914</v>
      </c>
      <c r="I9" s="12" t="n">
        <f aca="false">MAX(0,('1. Assumptions'!$B$4/B9)*(1-C9)*(1-'1. Assumptions'!$B$10)-('1. Assumptions'!$B$4/B9)*E9*D9-'1. Assumptions'!$B$6)</f>
        <v>0</v>
      </c>
    </row>
    <row r="10" customFormat="false" ht="15" hidden="false" customHeight="false" outlineLevel="0" collapsed="false">
      <c r="A10" s="0" t="s">
        <v>77</v>
      </c>
      <c r="B10" s="10" t="n">
        <v>0.09</v>
      </c>
      <c r="C10" s="10" t="n">
        <v>0.28</v>
      </c>
      <c r="D10" s="9" t="n">
        <v>3</v>
      </c>
      <c r="E10" s="10" t="n">
        <v>0.032</v>
      </c>
      <c r="F10" s="13" t="n">
        <f aca="false">MIN(1,H10)</f>
        <v>0.31299794378459</v>
      </c>
      <c r="G10" s="13" t="n">
        <f aca="false">MIN(1,H10*(1+'1. Assumptions'!$B$12)^'1. Assumptions'!$B$14)</f>
        <v>0.326779446976988</v>
      </c>
      <c r="H10" s="13" t="n">
        <f aca="false">(('1. Assumptions'!$B$4/B10)*(1-C10)*(1-'1. Assumptions'!$B$10)-('1. Assumptions'!$B$4/B10)*E10*D10)/(1+'1. Assumptions'!$B$12)^D10/'1. Assumptions'!$B$6</f>
        <v>0.31299794378459</v>
      </c>
      <c r="I10" s="12" t="n">
        <f aca="false">MAX(0,('1. Assumptions'!$B$4/B10)*(1-C10)*(1-'1. Assumptions'!$B$10)-('1. Assumptions'!$B$4/B10)*E10*D10-'1. Assumptions'!$B$6)</f>
        <v>0</v>
      </c>
    </row>
    <row r="11" customFormat="false" ht="30" hidden="false" customHeight="true" outlineLevel="0" collapsed="false">
      <c r="A11" s="20" t="s">
        <v>78</v>
      </c>
      <c r="B11" s="20"/>
      <c r="C11" s="20"/>
      <c r="D11" s="20"/>
      <c r="E11" s="20"/>
      <c r="F11" s="20"/>
      <c r="G11" s="20"/>
      <c r="H11" s="20"/>
      <c r="I11" s="20"/>
    </row>
    <row r="12" customFormat="false" ht="15" hidden="false" customHeight="false" outlineLevel="0" collapsed="false">
      <c r="A12" s="14" t="s">
        <v>79</v>
      </c>
      <c r="F12" s="13" t="n">
        <f aca="false">MAX(F5:F10)-MIN(F5:F10)</f>
        <v>0.68700205621541</v>
      </c>
    </row>
    <row r="14" customFormat="false" ht="15" hidden="false" customHeight="false" outlineLevel="0" collapsed="false">
      <c r="A14" s="3" t="s">
        <v>80</v>
      </c>
    </row>
    <row r="15" customFormat="false" ht="15" hidden="false" customHeight="false" outlineLevel="0" collapsed="false">
      <c r="A15" s="11" t="s">
        <v>81</v>
      </c>
      <c r="B15" s="11" t="s">
        <v>65</v>
      </c>
      <c r="C15" s="11" t="s">
        <v>66</v>
      </c>
      <c r="D15" s="11"/>
      <c r="E15" s="11"/>
      <c r="F15" s="11" t="s">
        <v>68</v>
      </c>
      <c r="G15" s="11"/>
    </row>
    <row r="16" customFormat="false" ht="15" hidden="false" customHeight="false" outlineLevel="0" collapsed="false">
      <c r="A16" s="0" t="s">
        <v>82</v>
      </c>
      <c r="B16" s="10" t="n">
        <v>0.18</v>
      </c>
      <c r="C16" s="9" t="n">
        <v>2.25</v>
      </c>
      <c r="F16" s="13" t="n">
        <f aca="false">(('1. Assumptions'!$B$4/'1. Assumptions'!$B$5)*(1-B16)*(1-'1. Assumptions'!$B$10)-('1. Assumptions'!$B$4/'1. Assumptions'!$B$5)*'1. Assumptions'!$B$11*C16)/(1+'1. Assumptions'!$B$12)^C16/'1. Assumptions'!$B$6</f>
        <v>0.562658065238364</v>
      </c>
    </row>
    <row r="17" customFormat="false" ht="15" hidden="false" customHeight="false" outlineLevel="0" collapsed="false">
      <c r="A17" s="0" t="s">
        <v>83</v>
      </c>
      <c r="B17" s="10" t="n">
        <v>0.1</v>
      </c>
      <c r="C17" s="9" t="n">
        <v>0.75</v>
      </c>
      <c r="F17" s="13" t="n">
        <f aca="false">(('1. Assumptions'!$B$4/'1. Assumptions'!$B$5)*(1-B17)*(1-'1. Assumptions'!$B$10)-('1. Assumptions'!$B$4/'1. Assumptions'!$B$5)*'1. Assumptions'!$B$11*C17)/(1+'1. Assumptions'!$B$12)^C17/'1. Assumptions'!$B$6</f>
        <v>0.734544632282175</v>
      </c>
    </row>
    <row r="18" customFormat="false" ht="15" hidden="false" customHeight="false" outlineLevel="0" collapsed="false">
      <c r="A18" s="14" t="s">
        <v>84</v>
      </c>
      <c r="F18" s="16" t="n">
        <f aca="false">F17-F16</f>
        <v>0.17188656704381</v>
      </c>
    </row>
    <row r="19" customFormat="false" ht="43.25" hidden="false" customHeight="false" outlineLevel="0" collapsed="false">
      <c r="A19" s="21" t="s">
        <v>85</v>
      </c>
      <c r="F19" s="22" t="n">
        <f aca="false">F18*100</f>
        <v>17.188656704381</v>
      </c>
      <c r="G19" s="23" t="s">
        <v>86</v>
      </c>
    </row>
    <row r="20" customFormat="false" ht="15" hidden="false" customHeight="false" outlineLevel="0" collapsed="false">
      <c r="A20" s="3" t="s">
        <v>87</v>
      </c>
    </row>
    <row r="21" customFormat="false" ht="15" hidden="false" customHeight="false" outlineLevel="0" collapsed="false">
      <c r="A21" s="0" t="s">
        <v>88</v>
      </c>
      <c r="B21" s="10" t="n">
        <v>0.0025</v>
      </c>
    </row>
    <row r="22" customFormat="false" ht="15" hidden="false" customHeight="false" outlineLevel="0" collapsed="false">
      <c r="A22" s="0" t="s">
        <v>89</v>
      </c>
      <c r="B22" s="13" t="n">
        <f aca="false">(('1. Assumptions'!$B$4/('1. Assumptions'!$B$5-B21))*(1-'1. Assumptions'!$B$8)*(1-'1. Assumptions'!$B$10)-('1. Assumptions'!$B$4/('1. Assumptions'!$B$5-B21))*'1. Assumptions'!$B$11*('1. Assumptions'!$B$9+1))/(1+'1. Assumptions'!$B$12)^('1. Assumptions'!$B$9+1)/'1. Assumptions'!$B$6</f>
        <v>0.52088464057164</v>
      </c>
    </row>
    <row r="23" customFormat="false" ht="15" hidden="false" customHeight="false" outlineLevel="0" collapsed="false">
      <c r="A23" s="14" t="s">
        <v>90</v>
      </c>
      <c r="B23" s="16" t="n">
        <f aca="false">B22-'2. The bridge'!$B$14</f>
        <v>-0.0417734246667244</v>
      </c>
      <c r="D23" s="2" t="s">
        <v>91</v>
      </c>
    </row>
    <row r="24" customFormat="false" ht="64.15" hidden="false" customHeight="false" outlineLevel="0" collapsed="false">
      <c r="A24" s="21" t="s">
        <v>92</v>
      </c>
      <c r="B24" s="16" t="n">
        <f aca="false">'1. Assumptions'!$B$5-'1. Assumptions'!$B$4/('2. The bridge'!$B$12*(1+'1. Assumptions'!$B$12)^('1. Assumptions'!$B$9+1)/((1-'1. Assumptions'!$B$8)*(1-'1. Assumptions'!$B$10)-'1. Assumptions'!$B$11*('1. Assumptions'!$B$9+1)))</f>
        <v>0.00725155221944213</v>
      </c>
      <c r="D24" s="23" t="s">
        <v>93</v>
      </c>
    </row>
  </sheetData>
  <mergeCells count="1">
    <mergeCell ref="A11:I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70"/>
    <col collapsed="false" customWidth="true" hidden="false" outlineLevel="0" max="4" min="3" style="0" width="13"/>
    <col collapsed="false" customWidth="true" hidden="false" outlineLevel="0" max="5" min="5" style="0" width="11"/>
    <col collapsed="false" customWidth="true" hidden="false" outlineLevel="0" max="6" min="6" style="0" width="60"/>
  </cols>
  <sheetData>
    <row r="1" customFormat="false" ht="16.15" hidden="false" customHeight="false" outlineLevel="0" collapsed="false">
      <c r="A1" s="5" t="s">
        <v>94</v>
      </c>
    </row>
    <row r="2" customFormat="false" ht="15" hidden="false" customHeight="false" outlineLevel="0" collapsed="false">
      <c r="A2" s="2" t="s">
        <v>95</v>
      </c>
    </row>
    <row r="4" customFormat="false" ht="15" hidden="false" customHeight="false" outlineLevel="0" collapsed="false">
      <c r="A4" s="24" t="s">
        <v>96</v>
      </c>
      <c r="B4" s="24" t="s">
        <v>97</v>
      </c>
      <c r="C4" s="24" t="s">
        <v>98</v>
      </c>
      <c r="D4" s="24" t="s">
        <v>99</v>
      </c>
      <c r="E4" s="24" t="s">
        <v>100</v>
      </c>
      <c r="F4" s="24" t="s">
        <v>35</v>
      </c>
    </row>
    <row r="5" customFormat="false" ht="15" hidden="false" customHeight="false" outlineLevel="0" collapsed="false">
      <c r="A5" s="0" t="s">
        <v>101</v>
      </c>
      <c r="B5" s="4" t="s">
        <v>102</v>
      </c>
      <c r="C5" s="12" t="n">
        <v>63.5</v>
      </c>
      <c r="D5" s="12" t="n">
        <f aca="false">'2. The bridge'!$B$7</f>
        <v>63.5037593984962</v>
      </c>
      <c r="E5" s="14" t="str">
        <f aca="false">IF(ISNUMBER(D5)=FALSE(),"CHECK",IF(ABS(D5-C5)&lt;=0.005,"OK","CHECK"))</f>
        <v>OK</v>
      </c>
      <c r="F5" s="8"/>
    </row>
    <row r="6" customFormat="false" ht="15" hidden="false" customHeight="false" outlineLevel="0" collapsed="false">
      <c r="A6" s="0" t="s">
        <v>101</v>
      </c>
      <c r="B6" s="4" t="s">
        <v>103</v>
      </c>
      <c r="C6" s="12" t="n">
        <v>56.35</v>
      </c>
      <c r="D6" s="12" t="n">
        <f aca="false">'2. The bridge'!$B$10</f>
        <v>56.3518421052632</v>
      </c>
      <c r="E6" s="14" t="str">
        <f aca="false">IF(ISNUMBER(D6)=FALSE(),"CHECK",IF(ABS(D6-C6)&lt;=0.005,"OK","CHECK"))</f>
        <v>OK</v>
      </c>
      <c r="F6" s="8"/>
    </row>
    <row r="7" customFormat="false" ht="15" hidden="false" customHeight="false" outlineLevel="0" collapsed="false">
      <c r="A7" s="0" t="s">
        <v>101</v>
      </c>
      <c r="B7" s="4" t="s">
        <v>104</v>
      </c>
      <c r="C7" s="12" t="n">
        <v>46.42</v>
      </c>
      <c r="D7" s="12" t="n">
        <f aca="false">'2. The bridge'!$B$12</f>
        <v>46.4192903821651</v>
      </c>
      <c r="E7" s="14" t="str">
        <f aca="false">IF(ISNUMBER(D7)=FALSE(),"CHECK",IF(ABS(D7-C7)&lt;=0.005,"OK","CHECK"))</f>
        <v>OK</v>
      </c>
      <c r="F7" s="8"/>
    </row>
    <row r="8" customFormat="false" ht="15" hidden="false" customHeight="false" outlineLevel="0" collapsed="false">
      <c r="A8" s="0" t="s">
        <v>101</v>
      </c>
      <c r="B8" s="4" t="s">
        <v>105</v>
      </c>
      <c r="C8" s="25" t="n">
        <v>0.563</v>
      </c>
      <c r="D8" s="25" t="n">
        <f aca="false">'2. The bridge'!$B$14</f>
        <v>0.562658065238364</v>
      </c>
      <c r="E8" s="14" t="str">
        <f aca="false">IF(ISNUMBER(D8)=FALSE(),"CHECK",IF(ABS(D8-C8)&lt;=0.0005,"OK","CHECK"))</f>
        <v>OK</v>
      </c>
      <c r="F8" s="8"/>
    </row>
    <row r="9" customFormat="false" ht="15" hidden="false" customHeight="false" outlineLevel="0" collapsed="false">
      <c r="A9" s="0" t="s">
        <v>101</v>
      </c>
      <c r="B9" s="4" t="s">
        <v>106</v>
      </c>
      <c r="C9" s="12" t="n">
        <v>13.94</v>
      </c>
      <c r="D9" s="12" t="n">
        <f aca="false">-'2. The bridge'!$B$6</f>
        <v>13.9398496240602</v>
      </c>
      <c r="E9" s="14" t="str">
        <f aca="false">IF(ISNUMBER(D9)=FALSE(),"CHECK",IF(ABS(D9-C9)&lt;=0.005,"OK","CHECK"))</f>
        <v>OK</v>
      </c>
      <c r="F9" s="8"/>
    </row>
    <row r="10" customFormat="false" ht="15" hidden="false" customHeight="false" outlineLevel="0" collapsed="false">
      <c r="A10" s="0" t="s">
        <v>101</v>
      </c>
      <c r="B10" s="4" t="s">
        <v>107</v>
      </c>
      <c r="C10" s="26" t="n">
        <v>16.9</v>
      </c>
      <c r="D10" s="26" t="n">
        <f aca="false">-'2. The bridge'!$C$6*100</f>
        <v>16.8967874231032</v>
      </c>
      <c r="E10" s="14" t="str">
        <f aca="false">IF(ISNUMBER(D10)=FALSE(),"CHECK",IF(ABS(D10-C10)&lt;=0.05,"OK","CHECK"))</f>
        <v>OK</v>
      </c>
      <c r="F10" s="8"/>
    </row>
    <row r="11" customFormat="false" ht="15" hidden="false" customHeight="false" outlineLevel="0" collapsed="false">
      <c r="A11" s="0" t="s">
        <v>101</v>
      </c>
      <c r="B11" s="4" t="s">
        <v>108</v>
      </c>
      <c r="C11" s="12" t="n">
        <v>9.93</v>
      </c>
      <c r="D11" s="12" t="n">
        <f aca="false">-'2. The bridge'!$B$11</f>
        <v>9.9325517230981</v>
      </c>
      <c r="E11" s="14" t="str">
        <f aca="false">IF(ISNUMBER(D11)=FALSE(),"CHECK",IF(ABS(D11-C11)&lt;=0.005,"OK","CHECK"))</f>
        <v>OK</v>
      </c>
      <c r="F11" s="8"/>
    </row>
    <row r="12" customFormat="false" ht="15" hidden="false" customHeight="false" outlineLevel="0" collapsed="false">
      <c r="A12" s="0" t="s">
        <v>101</v>
      </c>
      <c r="B12" s="4" t="s">
        <v>109</v>
      </c>
      <c r="C12" s="26" t="n">
        <v>12</v>
      </c>
      <c r="D12" s="26" t="n">
        <f aca="false">-'2. The bridge'!$C$11*100</f>
        <v>12.0394566340583</v>
      </c>
      <c r="E12" s="14" t="str">
        <f aca="false">IF(ISNUMBER(D12)=FALSE(),"CHECK",IF(ABS(D12-C12)&lt;=0.05,"OK","CHECK"))</f>
        <v>OK</v>
      </c>
      <c r="F12" s="8"/>
    </row>
    <row r="13" customFormat="false" ht="15" hidden="false" customHeight="false" outlineLevel="0" collapsed="false">
      <c r="A13" s="0" t="s">
        <v>101</v>
      </c>
      <c r="B13" s="4" t="s">
        <v>110</v>
      </c>
      <c r="C13" s="12" t="n">
        <v>3.66</v>
      </c>
      <c r="D13" s="12" t="n">
        <f aca="false">-'2. The bridge'!$B$9</f>
        <v>3.65921052631579</v>
      </c>
      <c r="E13" s="14" t="str">
        <f aca="false">IF(ISNUMBER(D13)=FALSE(),"CHECK",IF(ABS(D13-C13)&lt;=0.005,"OK","CHECK"))</f>
        <v>OK</v>
      </c>
      <c r="F13" s="8"/>
    </row>
    <row r="14" customFormat="false" ht="15" hidden="false" customHeight="false" outlineLevel="0" collapsed="false">
      <c r="A14" s="0" t="s">
        <v>101</v>
      </c>
      <c r="B14" s="4" t="s">
        <v>109</v>
      </c>
      <c r="C14" s="26" t="n">
        <v>4.4</v>
      </c>
      <c r="D14" s="26" t="n">
        <f aca="false">-'2. The bridge'!$C$9*100</f>
        <v>4.43540669856459</v>
      </c>
      <c r="E14" s="14" t="str">
        <f aca="false">IF(ISNUMBER(D14)=FALSE(),"CHECK",IF(ABS(D14-C14)&lt;=0.05,"OK","CHECK"))</f>
        <v>OK</v>
      </c>
      <c r="F14" s="8"/>
    </row>
    <row r="15" customFormat="false" ht="15" hidden="false" customHeight="false" outlineLevel="0" collapsed="false">
      <c r="A15" s="0" t="s">
        <v>101</v>
      </c>
      <c r="B15" s="4" t="s">
        <v>111</v>
      </c>
      <c r="C15" s="12" t="n">
        <v>3.49</v>
      </c>
      <c r="D15" s="12" t="n">
        <f aca="false">-'2. The bridge'!$B$8</f>
        <v>3.49270676691729</v>
      </c>
      <c r="E15" s="14" t="str">
        <f aca="false">IF(ISNUMBER(D15)=FALSE(),"CHECK",IF(ABS(D15-C15)&lt;=0.005,"OK","CHECK"))</f>
        <v>OK</v>
      </c>
      <c r="F15" s="8"/>
    </row>
    <row r="16" customFormat="false" ht="15" hidden="false" customHeight="false" outlineLevel="0" collapsed="false">
      <c r="A16" s="0" t="s">
        <v>101</v>
      </c>
      <c r="B16" s="4" t="s">
        <v>109</v>
      </c>
      <c r="C16" s="26" t="n">
        <v>4.2</v>
      </c>
      <c r="D16" s="26" t="n">
        <f aca="false">-'2. The bridge'!$C$8*100</f>
        <v>4.23358395989975</v>
      </c>
      <c r="E16" s="14" t="str">
        <f aca="false">IF(ISNUMBER(D16)=FALSE(),"CHECK",IF(ABS(D16-C16)&lt;=0.05,"OK","CHECK"))</f>
        <v>OK</v>
      </c>
      <c r="F16" s="8"/>
    </row>
    <row r="17" customFormat="false" ht="15" hidden="false" customHeight="false" outlineLevel="0" collapsed="false">
      <c r="A17" s="0" t="s">
        <v>101</v>
      </c>
      <c r="B17" s="4" t="s">
        <v>112</v>
      </c>
      <c r="C17" s="12" t="n">
        <v>23.87</v>
      </c>
      <c r="D17" s="12" t="n">
        <f aca="false">-'2. The bridge'!$B$6-'2. The bridge'!$B$11</f>
        <v>23.8724013471583</v>
      </c>
      <c r="E17" s="14" t="str">
        <f aca="false">IF(ISNUMBER(D17)=FALSE(),"CHECK",IF(ABS(D17-C17)&lt;=0.005,"OK","CHECK"))</f>
        <v>OK</v>
      </c>
      <c r="F17" s="8"/>
    </row>
    <row r="18" customFormat="false" ht="15" hidden="false" customHeight="false" outlineLevel="0" collapsed="false">
      <c r="A18" s="0" t="s">
        <v>101</v>
      </c>
      <c r="B18" s="4" t="s">
        <v>113</v>
      </c>
      <c r="C18" s="17" t="n">
        <v>1</v>
      </c>
      <c r="D18" s="17" t="n">
        <f aca="false">'2. The bridge'!$C$19</f>
        <v>1</v>
      </c>
      <c r="E18" s="14" t="str">
        <f aca="false">IF(ISNUMBER(D18)=FALSE(),"CHECK",IF(ABS(D18-C18)&lt;=0,"OK","CHECK"))</f>
        <v>OK</v>
      </c>
      <c r="F18" s="8"/>
    </row>
    <row r="19" customFormat="false" ht="15" hidden="false" customHeight="false" outlineLevel="0" collapsed="false">
      <c r="A19" s="0" t="s">
        <v>101</v>
      </c>
      <c r="B19" s="4" t="s">
        <v>114</v>
      </c>
      <c r="C19" s="26" t="n">
        <v>37.6</v>
      </c>
      <c r="D19" s="26" t="n">
        <f aca="false">('2. The bridge'!$B$5-'2. The bridge'!$B$12)/'1. Assumptions'!$B$6*100</f>
        <v>37.6052347156259</v>
      </c>
      <c r="E19" s="14" t="str">
        <f aca="false">IF(ISNUMBER(D19)=FALSE(),"CHECK",IF(ABS(D19-C19)&lt;=0.05,"OK","CHECK"))</f>
        <v>OK</v>
      </c>
      <c r="F19" s="8"/>
    </row>
    <row r="20" customFormat="false" ht="15" hidden="false" customHeight="false" outlineLevel="0" collapsed="false">
      <c r="A20" s="0" t="s">
        <v>115</v>
      </c>
      <c r="B20" s="4" t="s">
        <v>116</v>
      </c>
      <c r="C20" s="25" t="n">
        <v>0.587</v>
      </c>
      <c r="D20" s="25" t="n">
        <f aca="false">'2. The bridge'!$B$16</f>
        <v>0.587432266079911</v>
      </c>
      <c r="E20" s="14" t="str">
        <f aca="false">IF(ISNUMBER(D20)=FALSE(),"CHECK",IF(ABS(D20-C20)&lt;=0.0005,"OK","CHECK"))</f>
        <v>OK</v>
      </c>
      <c r="F20" s="8"/>
    </row>
    <row r="21" customFormat="false" ht="15" hidden="false" customHeight="false" outlineLevel="0" collapsed="false">
      <c r="A21" s="0" t="s">
        <v>117</v>
      </c>
      <c r="B21" s="4" t="s">
        <v>118</v>
      </c>
      <c r="C21" s="12" t="n">
        <v>69.7</v>
      </c>
      <c r="D21" s="12" t="n">
        <f aca="false">('1. Assumptions'!$B$4/'1. Assumptions'!$B$5)*(1-'4. Sectors and routes'!$B$17)</f>
        <v>69.6992481203008</v>
      </c>
      <c r="E21" s="14" t="str">
        <f aca="false">IF(ISNUMBER(D21)=FALSE(),"CHECK",IF(ABS(D21-C21)&lt;=0.005,"OK","CHECK"))</f>
        <v>OK</v>
      </c>
      <c r="F21" s="8"/>
    </row>
    <row r="22" customFormat="false" ht="15" hidden="false" customHeight="false" outlineLevel="0" collapsed="false">
      <c r="A22" s="0" t="s">
        <v>117</v>
      </c>
      <c r="B22" s="4" t="s">
        <v>119</v>
      </c>
      <c r="C22" s="12" t="n">
        <v>60.6</v>
      </c>
      <c r="D22" s="12" t="n">
        <f aca="false">'4. Sectors and routes'!$F$17*'1. Assumptions'!$B$6</f>
        <v>60.5999321632794</v>
      </c>
      <c r="E22" s="14" t="str">
        <f aca="false">IF(ISNUMBER(D22)=FALSE(),"CHECK",IF(ABS(D22-C22)&lt;=0.005,"OK","CHECK"))</f>
        <v>OK</v>
      </c>
      <c r="F22" s="8"/>
    </row>
    <row r="23" customFormat="false" ht="15" hidden="false" customHeight="false" outlineLevel="0" collapsed="false">
      <c r="A23" s="0" t="s">
        <v>117</v>
      </c>
      <c r="B23" s="4" t="s">
        <v>120</v>
      </c>
      <c r="C23" s="25" t="n">
        <v>0.735</v>
      </c>
      <c r="D23" s="25" t="n">
        <f aca="false">'4. Sectors and routes'!$F$17</f>
        <v>0.734544632282175</v>
      </c>
      <c r="E23" s="14" t="str">
        <f aca="false">IF(ISNUMBER(D23)=FALSE(),"CHECK",IF(ABS(D23-C23)&lt;=0.0005,"OK","CHECK"))</f>
        <v>OK</v>
      </c>
      <c r="F23" s="8"/>
    </row>
    <row r="24" customFormat="false" ht="15" hidden="false" customHeight="false" outlineLevel="0" collapsed="false">
      <c r="A24" s="0" t="s">
        <v>117</v>
      </c>
      <c r="B24" s="4" t="s">
        <v>121</v>
      </c>
      <c r="C24" s="26" t="n">
        <v>17.2</v>
      </c>
      <c r="D24" s="26" t="n">
        <f aca="false">'4. Sectors and routes'!$F$19</f>
        <v>17.188656704381</v>
      </c>
      <c r="E24" s="14" t="str">
        <f aca="false">IF(ISNUMBER(D24)=FALSE(),"CHECK",IF(ABS(D24-C24)&lt;=0.05,"OK","CHECK"))</f>
        <v>OK</v>
      </c>
      <c r="F24" s="8" t="s">
        <v>122</v>
      </c>
    </row>
    <row r="25" customFormat="false" ht="15" hidden="false" customHeight="false" outlineLevel="0" collapsed="false">
      <c r="A25" s="0" t="s">
        <v>123</v>
      </c>
      <c r="B25" s="4" t="s">
        <v>124</v>
      </c>
      <c r="C25" s="25" t="n">
        <v>1</v>
      </c>
      <c r="D25" s="25" t="n">
        <f aca="false">'4. Sectors and routes'!$F$5</f>
        <v>1</v>
      </c>
      <c r="E25" s="14" t="str">
        <f aca="false">IF(ISNUMBER(D25)=FALSE(),"CHECK",IF(ABS(D25-C25)&lt;=0.0005,"OK","CHECK"))</f>
        <v>OK</v>
      </c>
      <c r="F25" s="8" t="s">
        <v>125</v>
      </c>
    </row>
    <row r="26" customFormat="false" ht="15" hidden="false" customHeight="false" outlineLevel="0" collapsed="false">
      <c r="A26" s="0" t="s">
        <v>123</v>
      </c>
      <c r="B26" s="4" t="s">
        <v>126</v>
      </c>
      <c r="C26" s="27" t="n">
        <v>1</v>
      </c>
      <c r="D26" s="27" t="n">
        <f aca="false">'4. Sectors and routes'!$G$5</f>
        <v>1</v>
      </c>
      <c r="E26" s="14" t="str">
        <f aca="false">IF(ISNUMBER(D26)=FALSE(),"CHECK",IF(ABS(D26-C26)&lt;=0.005,"OK","CHECK"))</f>
        <v>OK</v>
      </c>
      <c r="F26" s="8" t="s">
        <v>127</v>
      </c>
    </row>
    <row r="27" customFormat="false" ht="15" hidden="false" customHeight="false" outlineLevel="0" collapsed="false">
      <c r="A27" s="0" t="s">
        <v>123</v>
      </c>
      <c r="B27" s="4" t="s">
        <v>128</v>
      </c>
      <c r="C27" s="25" t="n">
        <v>0.864</v>
      </c>
      <c r="D27" s="25" t="n">
        <f aca="false">'4. Sectors and routes'!$F$6</f>
        <v>0.864393263378938</v>
      </c>
      <c r="E27" s="14" t="str">
        <f aca="false">IF(ISNUMBER(D27)=FALSE(),"CHECK",IF(ABS(D27-C27)&lt;=0.0005,"OK","CHECK"))</f>
        <v>OK</v>
      </c>
      <c r="F27" s="8"/>
    </row>
    <row r="28" customFormat="false" ht="15" hidden="false" customHeight="false" outlineLevel="0" collapsed="false">
      <c r="A28" s="0" t="s">
        <v>123</v>
      </c>
      <c r="B28" s="4" t="s">
        <v>129</v>
      </c>
      <c r="C28" s="27" t="n">
        <v>0.9</v>
      </c>
      <c r="D28" s="27" t="n">
        <f aca="false">'4. Sectors and routes'!$G$6</f>
        <v>0.902453061391356</v>
      </c>
      <c r="E28" s="14" t="str">
        <f aca="false">IF(ISNUMBER(D28)=FALSE(),"CHECK",IF(ABS(D28-C28)&lt;=0.005,"OK","CHECK"))</f>
        <v>OK</v>
      </c>
      <c r="F28" s="8"/>
    </row>
    <row r="29" customFormat="false" ht="15" hidden="false" customHeight="false" outlineLevel="0" collapsed="false">
      <c r="A29" s="0" t="s">
        <v>123</v>
      </c>
      <c r="B29" s="4" t="s">
        <v>130</v>
      </c>
      <c r="C29" s="25" t="n">
        <v>0.563</v>
      </c>
      <c r="D29" s="25" t="n">
        <f aca="false">'4. Sectors and routes'!$F$7</f>
        <v>0.562658065238364</v>
      </c>
      <c r="E29" s="14" t="str">
        <f aca="false">IF(ISNUMBER(D29)=FALSE(),"CHECK",IF(ABS(D29-C29)&lt;=0.0005,"OK","CHECK"))</f>
        <v>OK</v>
      </c>
      <c r="F29" s="8"/>
    </row>
    <row r="30" customFormat="false" ht="15" hidden="false" customHeight="false" outlineLevel="0" collapsed="false">
      <c r="A30" s="0" t="s">
        <v>123</v>
      </c>
      <c r="B30" s="4" t="s">
        <v>131</v>
      </c>
      <c r="C30" s="27" t="n">
        <v>0.59</v>
      </c>
      <c r="D30" s="27" t="n">
        <f aca="false">'4. Sectors and routes'!$G$7</f>
        <v>0.587432266079911</v>
      </c>
      <c r="E30" s="14" t="str">
        <f aca="false">IF(ISNUMBER(D30)=FALSE(),"CHECK",IF(ABS(D30-C30)&lt;=0.005,"OK","CHECK"))</f>
        <v>OK</v>
      </c>
      <c r="F30" s="8"/>
    </row>
    <row r="31" customFormat="false" ht="15" hidden="false" customHeight="false" outlineLevel="0" collapsed="false">
      <c r="A31" s="0" t="s">
        <v>123</v>
      </c>
      <c r="B31" s="4" t="s">
        <v>132</v>
      </c>
      <c r="C31" s="25" t="n">
        <v>0.577</v>
      </c>
      <c r="D31" s="25" t="n">
        <f aca="false">'4. Sectors and routes'!$F$8</f>
        <v>0.57665619525202</v>
      </c>
      <c r="E31" s="14" t="str">
        <f aca="false">IF(ISNUMBER(D31)=FALSE(),"CHECK",IF(ABS(D31-C31)&lt;=0.0005,"OK","CHECK"))</f>
        <v>OK</v>
      </c>
      <c r="F31" s="8"/>
    </row>
    <row r="32" customFormat="false" ht="15" hidden="false" customHeight="false" outlineLevel="0" collapsed="false">
      <c r="A32" s="0" t="s">
        <v>123</v>
      </c>
      <c r="B32" s="4" t="s">
        <v>133</v>
      </c>
      <c r="C32" s="27" t="n">
        <v>0.6</v>
      </c>
      <c r="D32" s="27" t="n">
        <f aca="false">'4. Sectors and routes'!$G$8</f>
        <v>0.602046742869326</v>
      </c>
      <c r="E32" s="14" t="str">
        <f aca="false">IF(ISNUMBER(D32)=FALSE(),"CHECK",IF(ABS(D32-C32)&lt;=0.005,"OK","CHECK"))</f>
        <v>OK</v>
      </c>
      <c r="F32" s="8"/>
    </row>
    <row r="33" customFormat="false" ht="15" hidden="false" customHeight="false" outlineLevel="0" collapsed="false">
      <c r="A33" s="0" t="s">
        <v>123</v>
      </c>
      <c r="B33" s="4" t="s">
        <v>134</v>
      </c>
      <c r="C33" s="25" t="n">
        <v>0.389</v>
      </c>
      <c r="D33" s="25" t="n">
        <f aca="false">'4. Sectors and routes'!$F$9</f>
        <v>0.388889349565914</v>
      </c>
      <c r="E33" s="14" t="str">
        <f aca="false">IF(ISNUMBER(D33)=FALSE(),"CHECK",IF(ABS(D33-C33)&lt;=0.0005,"OK","CHECK"))</f>
        <v>OK</v>
      </c>
      <c r="F33" s="8"/>
    </row>
    <row r="34" customFormat="false" ht="15" hidden="false" customHeight="false" outlineLevel="0" collapsed="false">
      <c r="A34" s="0" t="s">
        <v>123</v>
      </c>
      <c r="B34" s="4" t="s">
        <v>135</v>
      </c>
      <c r="C34" s="27" t="n">
        <v>0.41</v>
      </c>
      <c r="D34" s="27" t="n">
        <f aca="false">'4. Sectors and routes'!$G$9</f>
        <v>0.406012400751901</v>
      </c>
      <c r="E34" s="14" t="str">
        <f aca="false">IF(ISNUMBER(D34)=FALSE(),"CHECK",IF(ABS(D34-C34)&lt;=0.005,"OK","CHECK"))</f>
        <v>OK</v>
      </c>
      <c r="F34" s="8"/>
    </row>
    <row r="35" customFormat="false" ht="15" hidden="false" customHeight="false" outlineLevel="0" collapsed="false">
      <c r="A35" s="0" t="s">
        <v>123</v>
      </c>
      <c r="B35" s="4" t="s">
        <v>136</v>
      </c>
      <c r="C35" s="25" t="n">
        <v>0.313</v>
      </c>
      <c r="D35" s="25" t="n">
        <f aca="false">'4. Sectors and routes'!$F$10</f>
        <v>0.31299794378459</v>
      </c>
      <c r="E35" s="14" t="str">
        <f aca="false">IF(ISNUMBER(D35)=FALSE(),"CHECK",IF(ABS(D35-C35)&lt;=0.0005,"OK","CHECK"))</f>
        <v>OK</v>
      </c>
      <c r="F35" s="8"/>
    </row>
    <row r="36" customFormat="false" ht="15" hidden="false" customHeight="false" outlineLevel="0" collapsed="false">
      <c r="A36" s="0" t="s">
        <v>123</v>
      </c>
      <c r="B36" s="4" t="s">
        <v>137</v>
      </c>
      <c r="C36" s="27" t="n">
        <v>0.33</v>
      </c>
      <c r="D36" s="27" t="n">
        <f aca="false">'4. Sectors and routes'!$G$10</f>
        <v>0.326779446976988</v>
      </c>
      <c r="E36" s="14" t="str">
        <f aca="false">IF(ISNUMBER(D36)=FALSE(),"CHECK",IF(ABS(D36-C36)&lt;=0.005,"OK","CHECK"))</f>
        <v>OK</v>
      </c>
      <c r="F36" s="8"/>
    </row>
    <row r="37" customFormat="false" ht="15" hidden="false" customHeight="false" outlineLevel="0" collapsed="false">
      <c r="A37" s="0" t="s">
        <v>123</v>
      </c>
      <c r="B37" s="4" t="s">
        <v>138</v>
      </c>
      <c r="C37" s="26" t="n">
        <v>68.7</v>
      </c>
      <c r="D37" s="26" t="n">
        <f aca="false">'4. Sectors and routes'!$F$12*100</f>
        <v>68.700205621541</v>
      </c>
      <c r="E37" s="14" t="str">
        <f aca="false">IF(ISNUMBER(D37)=FALSE(),"CHECK",IF(ABS(D37-C37)&lt;=0.05,"OK","CHECK"))</f>
        <v>OK</v>
      </c>
      <c r="F37" s="8" t="s">
        <v>139</v>
      </c>
    </row>
    <row r="38" customFormat="false" ht="15" hidden="false" customHeight="false" outlineLevel="0" collapsed="false">
      <c r="A38" s="0" t="s">
        <v>140</v>
      </c>
      <c r="B38" s="4" t="s">
        <v>141</v>
      </c>
      <c r="C38" s="25" t="n">
        <v>0.521</v>
      </c>
      <c r="D38" s="25" t="n">
        <f aca="false">'4. Sectors and routes'!$B$22</f>
        <v>0.52088464057164</v>
      </c>
      <c r="E38" s="14" t="str">
        <f aca="false">IF(ISNUMBER(D38)=FALSE(),"CHECK",IF(ABS(D38-C38)&lt;=0.0005,"OK","CHECK"))</f>
        <v>OK</v>
      </c>
      <c r="F38" s="8"/>
    </row>
    <row r="39" customFormat="false" ht="15" hidden="false" customHeight="false" outlineLevel="0" collapsed="false">
      <c r="A39" s="0" t="s">
        <v>140</v>
      </c>
      <c r="B39" s="4" t="s">
        <v>142</v>
      </c>
      <c r="C39" s="12" t="n">
        <v>-3.45</v>
      </c>
      <c r="D39" s="12" t="n">
        <f aca="false">'4. Sectors and routes'!$B$23*'1. Assumptions'!$B$6</f>
        <v>-3.44630753500476</v>
      </c>
      <c r="E39" s="14" t="str">
        <f aca="false">IF(ISNUMBER(D39)=FALSE(),"CHECK",IF(ABS(D39-C39)&lt;=0.005,"OK","CHECK"))</f>
        <v>OK</v>
      </c>
      <c r="F39" s="8"/>
    </row>
    <row r="40" customFormat="false" ht="15" hidden="false" customHeight="false" outlineLevel="0" collapsed="false">
      <c r="A40" s="0" t="s">
        <v>140</v>
      </c>
      <c r="B40" s="4" t="s">
        <v>143</v>
      </c>
      <c r="C40" s="13" t="n">
        <v>0.0073</v>
      </c>
      <c r="D40" s="13" t="n">
        <f aca="false">'4. Sectors and routes'!$B$24</f>
        <v>0.00725155221944213</v>
      </c>
      <c r="E40" s="14" t="str">
        <f aca="false">IF(ISNUMBER(D40)=FALSE(),"CHECK",IF(ABS(D40-C40)&lt;=0.00005,"OK","CHECK"))</f>
        <v>OK</v>
      </c>
      <c r="F40" s="8"/>
    </row>
    <row r="41" customFormat="false" ht="15" hidden="false" customHeight="false" outlineLevel="0" collapsed="false">
      <c r="A41" s="0" t="s">
        <v>144</v>
      </c>
      <c r="B41" s="4" t="s">
        <v>145</v>
      </c>
      <c r="D41" s="0" t="str">
        <f aca="false">IF(ABS('2. The bridge'!B5+'2. The bridge'!B6+'2. The bridge'!B8+'2. The bridge'!B9+'2. The bridge'!B11-'2. The bridge'!B12)&lt;0.000000001,"OK","CHECK")</f>
        <v>OK</v>
      </c>
      <c r="E41" s="14" t="str">
        <f aca="false">IF(D41="OK","OK","CHECK")</f>
        <v>OK</v>
      </c>
      <c r="F41" s="8"/>
    </row>
    <row r="42" customFormat="false" ht="15" hidden="false" customHeight="false" outlineLevel="0" collapsed="false">
      <c r="A42" s="0" t="s">
        <v>144</v>
      </c>
      <c r="B42" s="4" t="s">
        <v>146</v>
      </c>
      <c r="D42" s="0" t="str">
        <f aca="false">IF(ABS('2. The bridge'!B16*'1. Assumptions'!B6/(1+'1. Assumptions'!B12)^'1. Assumptions'!B14-'2. The bridge'!B12)&lt;0.000000001,"OK","CHECK")</f>
        <v>OK</v>
      </c>
      <c r="E42" s="14" t="str">
        <f aca="false">IF(D42="OK","OK","CHECK")</f>
        <v>OK</v>
      </c>
      <c r="F42" s="8"/>
    </row>
    <row r="43" customFormat="false" ht="15" hidden="false" customHeight="false" outlineLevel="0" collapsed="false">
      <c r="A43" s="0" t="s">
        <v>144</v>
      </c>
      <c r="B43" s="4" t="s">
        <v>147</v>
      </c>
      <c r="D43" s="0" t="str">
        <f aca="false">IF(AND(MAX('4. Sectors and routes'!F5:G10)&lt;=1+0.000000000001,MIN('4. Sectors and routes'!F5:F10)&gt;=0),"OK","CHECK")</f>
        <v>OK</v>
      </c>
      <c r="E43" s="14" t="str">
        <f aca="false">IF(D43="OK","OK","CHECK")</f>
        <v>OK</v>
      </c>
      <c r="F43" s="8"/>
    </row>
    <row r="44" customFormat="false" ht="15" hidden="false" customHeight="false" outlineLevel="0" collapsed="false">
      <c r="A44" s="0" t="s">
        <v>144</v>
      </c>
      <c r="B44" s="4" t="s">
        <v>148</v>
      </c>
      <c r="D44" s="0" t="str">
        <f aca="false">IF(AND(SUMPRODUCT(--('3. Sensitivity'!B5:F11&lt;'3. Sensitivity'!C5:G11))=0,SUMPRODUCT(--('3. Sensitivity'!B5:G10&lt;'3. Sensitivity'!B6:G11))=0),"OK","CHECK")</f>
        <v>OK</v>
      </c>
      <c r="E44" s="14" t="str">
        <f aca="false">IF(D44="OK","OK","CHECK")</f>
        <v>OK</v>
      </c>
      <c r="F44" s="8" t="s">
        <v>149</v>
      </c>
    </row>
    <row r="45" customFormat="false" ht="28.35" hidden="false" customHeight="false" outlineLevel="0" collapsed="false">
      <c r="A45" s="0" t="s">
        <v>144</v>
      </c>
      <c r="B45" s="4" t="s">
        <v>150</v>
      </c>
      <c r="D45" s="0" t="str">
        <f aca="false">IF(ABS((('1. Assumptions'!B4/('1. Assumptions'!B5-'4. Sectors and routes'!B24))*(1-'1. Assumptions'!B8)*(1-'1. Assumptions'!B10)-('1. Assumptions'!B4/('1. Assumptions'!B5-'4. Sectors and routes'!B24))*'1. Assumptions'!B11*('1. Assumptions'!B9+1))/(1+'1. Assumptions'!B12)^('1. Assumptions'!B9+1)-'2. The bridge'!B12)&lt;0.000000001,"OK","CHECK")</f>
        <v>OK</v>
      </c>
      <c r="E45" s="14" t="str">
        <f aca="false">IF(D45="OK","OK","CHECK")</f>
        <v>OK</v>
      </c>
      <c r="F45" s="8"/>
    </row>
    <row r="47" customFormat="false" ht="15" hidden="false" customHeight="false" outlineLevel="0" collapsed="false">
      <c r="B47" s="14" t="s">
        <v>151</v>
      </c>
      <c r="D47" s="14" t="str">
        <f aca="false">COUNTIF(E5:E45,"OK")&amp;" / 41"</f>
        <v>41 / 41</v>
      </c>
      <c r="E47" s="14" t="str">
        <f aca="false">IF(COUNTIF(E5:E45,"OK")=41,"ALL OK","SOME FAIL")</f>
        <v>ALL OK</v>
      </c>
    </row>
    <row r="49" customFormat="false" ht="22.35" hidden="false" customHeight="false" outlineLevel="0" collapsed="false">
      <c r="B49" s="8" t="s">
        <v>152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2026-08-23T21:42:57Z</dcterms:created>
  <dc:creator>openpyxl</dc:creator>
  <dc:description/>
  <dc:language>en-US</dc:language>
  <cp:lastModifiedBy/>
  <dcterms:modified xsi:type="dcterms:W3CDTF">2026-09-24T00:13:11Z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