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Inputs" sheetId="2" state="visible" r:id="rId4"/>
    <sheet name="2. Conversion" sheetId="3" state="visible" r:id="rId5"/>
    <sheet name="3. The forecast" sheetId="4" state="visible" r:id="rId6"/>
    <sheet name="4. Peaks and drag" sheetId="5" state="visible" r:id="rId7"/>
    <sheet name="5. Diagnosing a miss" sheetId="6" state="visible" r:id="rId8"/>
    <sheet name="6. Checks" sheetId="7" state="visible" r:id="rId9"/>
    <sheet name="7. Scenario engine"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<sst xmlns="http://schemas.openxmlformats.org/spreadsheetml/2006/main" count="279" uniqueCount="265">
  <si>
    <t xml:space="preserve">Thornbury Capital: The Forecast, Run in Full</t>
  </si>
  <si>
    <t xml:space="preserve">Companion workbook to The Private Wealth Fundraiser, Appendix F — Julian R. Sterling</t>
  </si>
  <si>
    <t xml:space="preserve">What this workbook does</t>
  </si>
  <si>
    <t xml:space="preserve">Chapter 15 describes a forecasting method in enough detail to build it, and then does not build it. The Thornbury Capital example states its conclusion without showing the numbers. This workbook is the model. Eighty-four months, four platforms, one page of assumptions.</t>
  </si>
  <si>
    <t xml:space="preserve">Amber cells are inputs. Change them. Grey cells are computed and will move.</t>
  </si>
  <si>
    <t xml:space="preserve">The finding worth having</t>
  </si>
  <si>
    <t xml:space="preserve">There are three peaks and they are years apart. Gross flows never turn down inside seven years. Net flows peak at month 44. The organic growth rate peaks at month 29.</t>
  </si>
  <si>
    <t xml:space="preserve">Fifty-five months separate the growth-rate peak from gross flows still climbing. That is long enough for a distribution team to be praised, promoted and replaced before anyone reconciles the two numbers.</t>
  </si>
  <si>
    <t xml:space="preserve">The sheets</t>
  </si>
  <si>
    <t xml:space="preserve">1. Inputs — platforms, conversion curve, ticket economics, redemption rate.</t>
  </si>
  <si>
    <t xml:space="preserve">2. Conversion — the curve, month by month, per platform.</t>
  </si>
  <si>
    <t xml:space="preserve">3. The forecast — 84 months of gross flow, redemptions, net flow, assets and organic growth rate.</t>
  </si>
  <si>
    <t xml:space="preserve">4. Peaks and drag — where each of the three measures turns, and the U-shape of redemption drag.</t>
  </si>
  <si>
    <t xml:space="preserve">5. Diagnosing a miss — what conversion, ticket and timing each look like when they go wrong.</t>
  </si>
  <si>
    <t xml:space="preserve">6. Checks — every figure in Appendix F, tested, and the model's own arithmetic. The last row says ALL PASS.</t>
  </si>
  <si>
    <t xml:space="preserve">7. Scenario engine — the whole model re-run four times (base, conversion, ticket, timing), so that sheet 5 is live.</t>
  </si>
  <si>
    <t xml:space="preserve">Two things the chapter does not say</t>
  </si>
  <si>
    <t xml:space="preserve">Redemption drag is U-shaped, not rising. It is 38.7% of gross at month 18, 14.2% at month 36, and 41.5% at month 84. Year three is the bottom — and year three is exactly when a team first has enough history to extrapolate. It will extrapolate an improvement that is about to reverse.</t>
  </si>
  <si>
    <t xml:space="preserve">A miss has a signature. Conversion and ticket problems hit this month's flow harder than the asset base. A timing problem barely touches flow and takes the largest bite out of assets. Sheet 5 measures all three.</t>
  </si>
  <si>
    <t xml:space="preserve">Revised 24 September 2026</t>
  </si>
  <si>
    <t xml:space="preserve">The redemption-free period on sheet 1 (B17) was not connected to anything: the twelve-month lag was typed into the formulas of sheet 3. It now drives the ageing of every tranche (sheet 3, column L). The results are unchanged at twelve months. The three scenarios on sheet 5 were typed values; they are now computed by sheet 7 from whatever is on sheet 1. The conversion ceiling was stored as text; it is a number. Gross flow does not rise in every one of the 84 months: it is zero until month 7, then rises in every month to 84. 44 checks, all PASS.</t>
  </si>
  <si>
    <t xml:space="preserve">Assumptions</t>
  </si>
  <si>
    <t xml:space="preserve">Seed and anchor capital</t>
  </si>
  <si>
    <t xml:space="preserve">What makes the early growth rate meaningful rather than an artefact.</t>
  </si>
  <si>
    <t xml:space="preserve">Conversion ceiling</t>
  </si>
  <si>
    <t xml:space="preserve">Share of in-scope advisors who will EVER place a ticket.</t>
  </si>
  <si>
    <t xml:space="preserve">Half-saturation (months)</t>
  </si>
  <si>
    <t xml:space="preserve">Months to reach half the ceiling.</t>
  </si>
  <si>
    <t xml:space="preserve">Curve exponent</t>
  </si>
  <si>
    <t xml:space="preserve">Tickets per producing advisor, floor</t>
  </si>
  <si>
    <t xml:space="preserve">Per month.</t>
  </si>
  <si>
    <t xml:space="preserve">Tickets per producing advisor, added with tenure</t>
  </si>
  <si>
    <t xml:space="preserve">Approached asymptotically.</t>
  </si>
  <si>
    <t xml:space="preserve">Tenure half-life for ticket frequency</t>
  </si>
  <si>
    <t xml:space="preserve">Months.</t>
  </si>
  <si>
    <t xml:space="preserve">Average ticket at launch</t>
  </si>
  <si>
    <t xml:space="preserve">Ticket growth per month of tenure</t>
  </si>
  <si>
    <t xml:space="preserve">Tenure cap for ticket growth</t>
  </si>
  <si>
    <t xml:space="preserve">Redemption-free period</t>
  </si>
  <si>
    <t xml:space="preserve">Months. A tranche raised in month m first redeems in month m + this. The seed counts as raised in month 0 (first redeems in month 12; in month 1 if this is 0).</t>
  </si>
  <si>
    <t xml:space="preserve">Monthly redemption rate thereafter</t>
  </si>
  <si>
    <t xml:space="preserve">1.0% a month = 12% a year, on aged money only.</t>
  </si>
  <si>
    <t xml:space="preserve">Horizon (months)</t>
  </si>
  <si>
    <t xml:space="preserve">Fixed at 84: the forecast has 84 rows. Not an input.</t>
  </si>
  <si>
    <t xml:space="preserve">The platforms</t>
  </si>
  <si>
    <t xml:space="preserve">Platform</t>
  </si>
  <si>
    <t xml:space="preserve">In-scope advisors</t>
  </si>
  <si>
    <t xml:space="preserve">Month live</t>
  </si>
  <si>
    <t xml:space="preserve">Meridian Private Bank</t>
  </si>
  <si>
    <t xml:space="preserve">Calder RIA Network</t>
  </si>
  <si>
    <t xml:space="preserve">Ashford Regional</t>
  </si>
  <si>
    <t xml:space="preserve">Brightwater Independent</t>
  </si>
  <si>
    <t xml:space="preserve">Total in scope</t>
  </si>
  <si>
    <t xml:space="preserve">Launch delay applied to every platform</t>
  </si>
  <si>
    <t xml:space="preserve">Months. Set to 3 for the timing scenario on sheet 5.</t>
  </si>
  <si>
    <t xml:space="preserve">Ticket multiplier</t>
  </si>
  <si>
    <t xml:space="preserve">Set to 0.90 for the ticket scenario on sheet 5.</t>
  </si>
  <si>
    <t xml:space="preserve">Month</t>
  </si>
  <si>
    <t xml:space="preserve">t : Meridian</t>
  </si>
  <si>
    <t xml:space="preserve">t : Calder</t>
  </si>
  <si>
    <t xml:space="preserve">t : Ashford</t>
  </si>
  <si>
    <t xml:space="preserve">t : Brightwater</t>
  </si>
  <si>
    <t xml:space="preserve">Producing: Meridian</t>
  </si>
  <si>
    <t xml:space="preserve">Producing: Calder</t>
  </si>
  <si>
    <t xml:space="preserve">Producing: Ashford</t>
  </si>
  <si>
    <t xml:space="preserve">Producing: Brightwater</t>
  </si>
  <si>
    <t xml:space="preserve">Tickets/adv: Mer</t>
  </si>
  <si>
    <t xml:space="preserve">Tickets/adv: Cal</t>
  </si>
  <si>
    <t xml:space="preserve">Tickets/adv: Ash</t>
  </si>
  <si>
    <t xml:space="preserve">Tickets/adv: Bri</t>
  </si>
  <si>
    <t xml:space="preserve">Avg ticket: Mer</t>
  </si>
  <si>
    <t xml:space="preserve">Avg ticket: Cal</t>
  </si>
  <si>
    <t xml:space="preserve">Avg ticket: Ash</t>
  </si>
  <si>
    <t xml:space="preserve">Avg ticket: Bri</t>
  </si>
  <si>
    <t xml:space="preserve">Meridian</t>
  </si>
  <si>
    <t xml:space="preserve">Calder</t>
  </si>
  <si>
    <t xml:space="preserve">Ashford</t>
  </si>
  <si>
    <t xml:space="preserve">Brightwater</t>
  </si>
  <si>
    <t xml:space="preserve">GROSS FLOW</t>
  </si>
  <si>
    <t xml:space="preserve">Aged assets</t>
  </si>
  <si>
    <t xml:space="preserve">Redemptions</t>
  </si>
  <si>
    <t xml:space="preserve">NET FLOW</t>
  </si>
  <si>
    <t xml:space="preserve">ASSETS</t>
  </si>
  <si>
    <t xml:space="preserve">Organic growth rate</t>
  </si>
  <si>
    <t xml:space="preserve">Tranches ageing into redemption</t>
  </si>
  <si>
    <t xml:space="preserve">Redemptions / gross</t>
  </si>
  <si>
    <t xml:space="preserve">Three peaks, years apart</t>
  </si>
  <si>
    <t xml:space="preserve">Gross flow peaks in month</t>
  </si>
  <si>
    <t xml:space="preserve">In practice it never turns down; it flattens.</t>
  </si>
  <si>
    <t xml:space="preserve">  and that peak is</t>
  </si>
  <si>
    <t xml:space="preserve">Net flow peaks in month</t>
  </si>
  <si>
    <t xml:space="preserve">Organic growth rate peaks in month</t>
  </si>
  <si>
    <t xml:space="preserve">Measured from month 12, once the seed has begun to redeem.</t>
  </si>
  <si>
    <t xml:space="preserve">Months between the net peak and the growth-rate peak</t>
  </si>
  <si>
    <t xml:space="preserve">Months between the growth-rate peak and the end</t>
  </si>
  <si>
    <t xml:space="preserve">Long enough for a distribution head to be praised, promoted and replaced.</t>
  </si>
  <si>
    <t xml:space="preserve">The head of distribution reports gross flows and sees seven years of growth. The chief executive reports the organic growth rate and sees a business that stopped improving in month 29. Both are right.</t>
  </si>
  <si>
    <t xml:space="preserve">Where the growth rate crosses</t>
  </si>
  <si>
    <t xml:space="preserve">falls below</t>
  </si>
  <si>
    <t xml:space="preserve">month</t>
  </si>
  <si>
    <t xml:space="preserve">Redemption drag is U-shaped, not rising</t>
  </si>
  <si>
    <t xml:space="preserve">Gross flow</t>
  </si>
  <si>
    <t xml:space="preserve">Drag, share of gross</t>
  </si>
  <si>
    <t xml:space="preserve">Redemptions as % of assets, annualised</t>
  </si>
  <si>
    <t xml:space="preserve">Year three is the bottom of the U. It is also exactly when a team first has enough history to extrapolate - and what it can see is two years of improving drag, at the moment it is about to reverse.</t>
  </si>
  <si>
    <t xml:space="preserve">What Appendix F adds, computed</t>
  </si>
  <si>
    <t xml:space="preserve">Share of its eventual conversion a platform delivers after 12 months live</t>
  </si>
  <si>
    <t xml:space="preserve">Share of its eventual conversion a platform delivers after 7 months live</t>
  </si>
  <si>
    <t xml:space="preserve">Share of its eventual conversion a platform delivers after 2 months live</t>
  </si>
  <si>
    <t xml:space="preserve">First month with any gross flow</t>
  </si>
  <si>
    <t xml:space="preserve">Months in which gross flow rises on the month before</t>
  </si>
  <si>
    <t xml:space="preserve">Months in which gross flow falls on the month before</t>
  </si>
  <si>
    <t xml:space="preserve">Lowest redemption drag after the first year</t>
  </si>
  <si>
    <t xml:space="preserve">  reached in month</t>
  </si>
  <si>
    <t xml:space="preserve">Gross flow, month 45 over month 22 (the "doubling" of F.5)</t>
  </si>
  <si>
    <t xml:space="preserve">Organic growth rate, month 22</t>
  </si>
  <si>
    <t xml:space="preserve">Organic growth rate, month 45</t>
  </si>
  <si>
    <t xml:space="preserve">Gross flow, month 84 over the growth-rate peak month</t>
  </si>
  <si>
    <t xml:space="preserve">Fall in the organic growth rate from its peak to month 84</t>
  </si>
  <si>
    <t xml:space="preserve">Holding the line (F.6)</t>
  </si>
  <si>
    <t xml:space="preserve">Target organic growth rate</t>
  </si>
  <si>
    <t xml:space="preserve">At month</t>
  </si>
  <si>
    <t xml:space="preserve">Net flow needed that month (target x assets at the start of the month / 12)</t>
  </si>
  <si>
    <t xml:space="preserve">Redemptions that month</t>
  </si>
  <si>
    <t xml:space="preserve">Gross flow needed</t>
  </si>
  <si>
    <t xml:space="preserve">Gross flow the model produces that month</t>
  </si>
  <si>
    <t xml:space="preserve">More gross flow needed</t>
  </si>
  <si>
    <t xml:space="preserve">What is still there after seven years (F.8)</t>
  </si>
  <si>
    <t xml:space="preserve">Cumulative gross flow, months 1 to 84</t>
  </si>
  <si>
    <t xml:space="preserve">Seed still in the fund at month 84</t>
  </si>
  <si>
    <t xml:space="preserve">Gross flow still in the fund at month 84</t>
  </si>
  <si>
    <t xml:space="preserve">Share of the gross flow still there (the book's 83 per cent)</t>
  </si>
  <si>
    <t xml:space="preserve">Closing assets over cumulative gross flow (not the 83: the assets include the seed)</t>
  </si>
  <si>
    <t xml:space="preserve">Closing assets over everything raised, seed included</t>
  </si>
  <si>
    <t xml:space="preserve">Appendix F, section F.2: the book against the model</t>
  </si>
  <si>
    <t xml:space="preserve">Figure</t>
  </si>
  <si>
    <t xml:space="preserve">Book</t>
  </si>
  <si>
    <t xml:space="preserve">Model</t>
  </si>
  <si>
    <t xml:space="preserve">Verdict</t>
  </si>
  <si>
    <t xml:space="preserve">Month 18, gross flow, m</t>
  </si>
  <si>
    <t xml:space="preserve">Month 18, redemptions, m</t>
  </si>
  <si>
    <t xml:space="preserve">Month 18, net flow, m</t>
  </si>
  <si>
    <t xml:space="preserve">Month 18, assets, m</t>
  </si>
  <si>
    <t xml:space="preserve">Month 18, organic growth rate, %</t>
  </si>
  <si>
    <t xml:space="preserve">Month 36, gross flow, m</t>
  </si>
  <si>
    <t xml:space="preserve">Month 36, redemptions, m</t>
  </si>
  <si>
    <t xml:space="preserve">Month 36, net flow, m</t>
  </si>
  <si>
    <t xml:space="preserve">Month 36, assets, m</t>
  </si>
  <si>
    <t xml:space="preserve">Month 36, organic growth rate, %</t>
  </si>
  <si>
    <t xml:space="preserve">Month 60, gross flow, m</t>
  </si>
  <si>
    <t xml:space="preserve">Month 60, redemptions, m</t>
  </si>
  <si>
    <t xml:space="preserve">Month 60, net flow, m</t>
  </si>
  <si>
    <t xml:space="preserve">Month 60, assets, m</t>
  </si>
  <si>
    <t xml:space="preserve">Month 60, organic growth rate, %</t>
  </si>
  <si>
    <t xml:space="preserve">Month 84, gross flow, m</t>
  </si>
  <si>
    <t xml:space="preserve">Month 84, redemptions, m</t>
  </si>
  <si>
    <t xml:space="preserve">Month 84, net flow, m</t>
  </si>
  <si>
    <t xml:space="preserve">Month 84, assets, m</t>
  </si>
  <si>
    <t xml:space="preserve">Month 84, organic growth rate, %</t>
  </si>
  <si>
    <t xml:space="preserve">Figures of F.2 that reproduce at the printed precision</t>
  </si>
  <si>
    <t xml:space="preserve">Each row is the whole model re-run on sheet 7 with one input changed (rows 21 to 23). Change sheet 1 and every row moves.</t>
  </si>
  <si>
    <t xml:space="preserve">Month measured</t>
  </si>
  <si>
    <t xml:space="preserve">Scenario</t>
  </si>
  <si>
    <t xml:space="preserve">vs base: flow</t>
  </si>
  <si>
    <t xml:space="preserve">vs base: assets</t>
  </si>
  <si>
    <t xml:space="preserve">Base case (the inputs on sheet 1)</t>
  </si>
  <si>
    <t xml:space="preserve">Rows 5 to 8 are computed on sheet 7 from the inputs on sheet 1: nothing here is typed.</t>
  </si>
  <si>
    <t xml:space="preserve">Conversion ceiling lower by row 21</t>
  </si>
  <si>
    <t xml:space="preserve">Average ticket times row 22</t>
  </si>
  <si>
    <t xml:space="preserve">Every platform live later by row 23</t>
  </si>
  <si>
    <t xml:space="preserve">Sheet 3, same month (must equal row 5)</t>
  </si>
  <si>
    <t xml:space="preserve">Timing hurts assets MORE than it hurts flow</t>
  </si>
  <si>
    <t xml:space="preserve">Negative means the asset hit is the larger one.</t>
  </si>
  <si>
    <t xml:space="preserve">Conversion hurts flow MORE than it hurts assets</t>
  </si>
  <si>
    <t xml:space="preserve">Negative means the flow hit is the larger one.</t>
  </si>
  <si>
    <t xml:space="preserve">The signature. A conversion or ticket problem hits this month's flow harder than the asset base, because the asset base still holds everything raised before the problem started. A timing problem barely dents current flow - the platforms are running, just later - and takes the largest bite out of assets, because months of compounding were never banked.</t>
  </si>
  <si>
    <t xml:space="preserve">So: flows and assets short in proportion, look at conversion or ticket. Flows near plan but assets well short, the problem was timing and it happened earlier than the month you are reading. To separate conversion from ticket, look at tickets per producing advisor: if it held and flows fell, conversion is the culprit.</t>
  </si>
  <si>
    <t xml:space="preserve">The three scenarios, applied on top of the inputs on sheet 1</t>
  </si>
  <si>
    <t xml:space="preserve">Conversion: ceiling lower by (book: 18% to 16%)</t>
  </si>
  <si>
    <t xml:space="preserve">Ticket: multiplier on the average ticket (book: 10% lower)</t>
  </si>
  <si>
    <t xml:space="preserve">Timing: every platform live later by, months (book: 3)</t>
  </si>
  <si>
    <t xml:space="preserve">#</t>
  </si>
  <si>
    <t xml:space="preserve">What is tested</t>
  </si>
  <si>
    <t xml:space="preserve">Value</t>
  </si>
  <si>
    <t xml:space="preserve">Total advisors in scope is 4,000</t>
  </si>
  <si>
    <t xml:space="preserve">Month 12: the seed redeems 1.5m and net flow is NEGATIVE</t>
  </si>
  <si>
    <t xml:space="preserve">Month 18 gross flow is 3.65m</t>
  </si>
  <si>
    <t xml:space="preserve">Month 18 organic growth rate is 17.5%</t>
  </si>
  <si>
    <t xml:space="preserve">Month 36 gross flow is 11.81m</t>
  </si>
  <si>
    <t xml:space="preserve">Month 36 assets are 288m</t>
  </si>
  <si>
    <t xml:space="preserve">Month 60 organic growth rate is 22.6%</t>
  </si>
  <si>
    <t xml:space="preserve">Month 84 organic growth rate is 13.4%</t>
  </si>
  <si>
    <t xml:space="preserve">Month 84 assets are 755m</t>
  </si>
  <si>
    <t xml:space="preserve">GROSS FLOW NEVER FALLS IN ANY OF THE 84 MONTHS</t>
  </si>
  <si>
    <t xml:space="preserve">The organic growth rate peaks in month 29</t>
  </si>
  <si>
    <t xml:space="preserve">Net flow peaks in month 44</t>
  </si>
  <si>
    <t xml:space="preserve">Gross flow is still peaking at the horizon</t>
  </si>
  <si>
    <t xml:space="preserve">15 months separate the net peak from the growth-rate peak</t>
  </si>
  <si>
    <t xml:space="preserve">55 months separate the growth-rate peak from the horizon</t>
  </si>
  <si>
    <t xml:space="preserve">Peak organic growth rate is 48.1%</t>
  </si>
  <si>
    <t xml:space="preserve">It falls below 40% at month 40</t>
  </si>
  <si>
    <t xml:space="preserve">It falls below 30% at month 50</t>
  </si>
  <si>
    <t xml:space="preserve">It falls below 20% at month 66</t>
  </si>
  <si>
    <t xml:space="preserve">Redemption drag at month 18 is 38.7% of gross</t>
  </si>
  <si>
    <t xml:space="preserve">It IMPROVES to 14.2% at month 36</t>
  </si>
  <si>
    <t xml:space="preserve">Then deteriorates to 41.5% at month 84</t>
  </si>
  <si>
    <t xml:space="preserve">THE DRAG IS U-SHAPED: month 36 is below both month 18 and month 84</t>
  </si>
  <si>
    <t xml:space="preserve">A timing miss hurts ASSETS more than flow</t>
  </si>
  <si>
    <t xml:space="preserve">A conversion miss hurts FLOW more than assets</t>
  </si>
  <si>
    <t xml:space="preserve">Timing costs the most assets of the three scenarios</t>
  </si>
  <si>
    <t xml:space="preserve">Timing costs the least flow of the three scenarios</t>
  </si>
  <si>
    <t xml:space="preserve">The scenario engine (sheet 7) reproduces sheet 3 in every month, flows and assets</t>
  </si>
  <si>
    <t xml:space="preserve">Gross flow is zero until the first platform goes live in month 7, then rises in every one of the 78 months to 84</t>
  </si>
  <si>
    <t xml:space="preserve">Every tranche ages exactly once: tranches on sheet 3 = seed + every gross flow old enough</t>
  </si>
  <si>
    <t xml:space="preserve">Stock and flow: assets at month 84 = seed + gross flows - redemptions</t>
  </si>
  <si>
    <t xml:space="preserve">Aged money, after the redemptions of the month, never exceeds assets</t>
  </si>
  <si>
    <t xml:space="preserve">Sheet 5 is live: its base row equals sheet 3 at the month measured</t>
  </si>
  <si>
    <t xml:space="preserve">F.1: conversion delivered after 12, 7 and 2 months live is 64, 38 and 5 per cent</t>
  </si>
  <si>
    <t xml:space="preserve">F.2: all twenty figures of the table reproduce at the printed precision</t>
  </si>
  <si>
    <t xml:space="preserve">F.3: net flow peaks at 10.51m</t>
  </si>
  <si>
    <t xml:space="preserve">F.4: drag at months 24, 48, 60 and 72 is 18.1, 20.2, 27.6 and 34.8 per cent</t>
  </si>
  <si>
    <t xml:space="preserve">F.4: the lowest drag after the first year falls in year three (months 25 to 36)</t>
  </si>
  <si>
    <t xml:space="preserve">F.5: gross flow x2.08 from month 22 to 45 while the growth rate slips from 34.8 to 33.9 per cent</t>
  </si>
  <si>
    <t xml:space="preserve">F.5: from the growth-rate peak to month 84, gross flow rises by a factor of 1.44</t>
  </si>
  <si>
    <t xml:space="preserve">F.6: holding 30 per cent at month 60 needs 13.15m net, 16.93m gross, 24 per cent more</t>
  </si>
  <si>
    <t xml:space="preserve">F.8: cumulative gross flow over seven years is 824m</t>
  </si>
  <si>
    <t xml:space="preserve">F.8: 83 per cent of the gross flow is still in the fund (the seed apart)</t>
  </si>
  <si>
    <t xml:space="preserve">The organic growth rate falls by 72 per cent from its peak ("three quarters")</t>
  </si>
  <si>
    <t xml:space="preserve">All checks</t>
  </si>
  <si>
    <t xml:space="preserve">Base: P1</t>
  </si>
  <si>
    <t xml:space="preserve">Base: P2</t>
  </si>
  <si>
    <t xml:space="preserve">Base: P3</t>
  </si>
  <si>
    <t xml:space="preserve">Base: P4</t>
  </si>
  <si>
    <t xml:space="preserve">Base: Gross</t>
  </si>
  <si>
    <t xml:space="preserve">Base: Tranches</t>
  </si>
  <si>
    <t xml:space="preserve">Base: Aged</t>
  </si>
  <si>
    <t xml:space="preserve">Base: Redemptions</t>
  </si>
  <si>
    <t xml:space="preserve">Base: Assets</t>
  </si>
  <si>
    <t xml:space="preserve">Conversion: P1</t>
  </si>
  <si>
    <t xml:space="preserve">Conversion: P2</t>
  </si>
  <si>
    <t xml:space="preserve">Conversion: P3</t>
  </si>
  <si>
    <t xml:space="preserve">Conversion: P4</t>
  </si>
  <si>
    <t xml:space="preserve">Conversion: Gross</t>
  </si>
  <si>
    <t xml:space="preserve">Conversion: Tranches</t>
  </si>
  <si>
    <t xml:space="preserve">Conversion: Aged</t>
  </si>
  <si>
    <t xml:space="preserve">Conversion: Redemptions</t>
  </si>
  <si>
    <t xml:space="preserve">Conversion: Assets</t>
  </si>
  <si>
    <t xml:space="preserve">Ticket: P1</t>
  </si>
  <si>
    <t xml:space="preserve">Ticket: P2</t>
  </si>
  <si>
    <t xml:space="preserve">Ticket: P3</t>
  </si>
  <si>
    <t xml:space="preserve">Ticket: P4</t>
  </si>
  <si>
    <t xml:space="preserve">Ticket: Gross</t>
  </si>
  <si>
    <t xml:space="preserve">Ticket: Tranches</t>
  </si>
  <si>
    <t xml:space="preserve">Ticket: Aged</t>
  </si>
  <si>
    <t xml:space="preserve">Ticket: Redemptions</t>
  </si>
  <si>
    <t xml:space="preserve">Ticket: Assets</t>
  </si>
  <si>
    <t xml:space="preserve">Timing: P1</t>
  </si>
  <si>
    <t xml:space="preserve">Timing: P2</t>
  </si>
  <si>
    <t xml:space="preserve">Timing: P3</t>
  </si>
  <si>
    <t xml:space="preserve">Timing: P4</t>
  </si>
  <si>
    <t xml:space="preserve">Timing: Gross</t>
  </si>
  <si>
    <t xml:space="preserve">Timing: Tranches</t>
  </si>
  <si>
    <t xml:space="preserve">Timing: Aged</t>
  </si>
  <si>
    <t xml:space="preserve">Timing: Redemptions</t>
  </si>
  <si>
    <t xml:space="preserve">Timing: Assets</t>
  </si>
</sst>
</file>

<file path=xl/styles.xml><?xml version="1.0" encoding="utf-8"?>
<styleSheet xmlns="http://schemas.openxmlformats.org/spreadsheetml/2006/main">
  <numFmts count="11">
    <numFmt numFmtId="164" formatCode="General"/>
    <numFmt numFmtId="165" formatCode="#,##0.00"/>
    <numFmt numFmtId="166" formatCode="0.00%"/>
    <numFmt numFmtId="167" formatCode="0.000"/>
    <numFmt numFmtId="168" formatCode="0"/>
    <numFmt numFmtId="169" formatCode="#,##0"/>
    <numFmt numFmtId="170" formatCode="0.00"/>
    <numFmt numFmtId="171" formatCode="#,##0.0"/>
    <numFmt numFmtId="172" formatCode="0.0%"/>
    <numFmt numFmtId="173" formatCode="General"/>
    <numFmt numFmtId="174" formatCode="0%"/>
  </numFmts>
  <fonts count="10">
    <font>
      <sz val="11"/>
      <color theme="1"/>
      <name val="Calibri"/>
      <family val="2"/>
      <charset val="1"/>
    </font>
    <font>
      <sz val="10"/>
      <name val="Arial"/>
      <family val="0"/>
    </font>
    <font>
      <sz val="10"/>
      <name val="Arial"/>
      <family val="0"/>
    </font>
    <font>
      <sz val="10"/>
      <name val="Arial"/>
      <family val="0"/>
    </font>
    <font>
      <b val="true"/>
      <sz val="16"/>
      <color rgb="FF172A42"/>
      <name val="Cambria"/>
      <family val="0"/>
      <charset val="1"/>
    </font>
    <font>
      <i val="true"/>
      <sz val="11"/>
      <color rgb="FF172A42"/>
      <name val="Cambria"/>
      <family val="0"/>
      <charset val="1"/>
    </font>
    <font>
      <b val="true"/>
      <sz val="12"/>
      <color rgb="FF172A42"/>
      <name val="Cambria"/>
      <family val="0"/>
      <charset val="1"/>
    </font>
    <font>
      <b val="true"/>
      <sz val="11"/>
      <name val="Cambria"/>
      <family val="0"/>
      <charset val="1"/>
    </font>
    <font>
      <b val="true"/>
      <sz val="11"/>
      <color rgb="FF172A42"/>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FFF3D6"/>
        <bgColor rgb="FFEFF3F8"/>
      </patternFill>
    </fill>
    <fill>
      <patternFill patternType="solid">
        <fgColor rgb="FFEFF3F8"/>
        <bgColor rgb="FFFFFFFF"/>
      </patternFill>
    </fill>
    <fill>
      <patternFill patternType="solid">
        <fgColor rgb="FF172A42"/>
        <bgColor rgb="FF003366"/>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2"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6" fontId="0" fillId="2" borderId="1" xfId="0" applyFont="fals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7" fontId="0" fillId="2" borderId="1" xfId="0" applyFont="fals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9" fontId="0" fillId="2"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0" fillId="2"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71"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9" fontId="0" fillId="3" borderId="1" xfId="0" applyFont="false" applyBorder="true" applyAlignment="false" applyProtection="false">
      <alignment horizontal="general" vertical="bottom" textRotation="0" wrapText="false" indent="0" shrinkToFit="false"/>
      <protection locked="true" hidden="false"/>
    </xf>
    <xf numFmtId="172" fontId="0" fillId="3" borderId="1" xfId="0" applyFont="fals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72" fontId="0" fillId="2" borderId="1" xfId="0" applyFont="fals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70" fontId="0" fillId="3" borderId="1" xfId="0" applyFont="false" applyBorder="true" applyAlignment="false" applyProtection="false">
      <alignment horizontal="general" vertical="bottom" textRotation="0" wrapText="false" indent="0" shrinkToFit="false"/>
      <protection locked="true" hidden="false"/>
    </xf>
    <xf numFmtId="174" fontId="0" fillId="2" borderId="1" xfId="0" applyFont="false" applyBorder="true" applyAlignment="false" applyProtection="false">
      <alignment horizontal="general" vertical="bottom" textRotation="0" wrapText="false" indent="0" shrinkToFit="false"/>
      <protection locked="true" hidden="false"/>
    </xf>
    <xf numFmtId="168" fontId="0" fillId="2" borderId="1" xfId="0" applyFont="fals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72"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70"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15" hidden="false" customHeight="true" outlineLevel="0" collapsed="false">
      <c r="A2" s="2" t="s">
        <v>1</v>
      </c>
    </row>
    <row r="3" customFormat="false" ht="15" hidden="false" customHeight="true" outlineLevel="0" collapsed="false">
      <c r="A3" s="3"/>
    </row>
    <row r="4" customFormat="false" ht="15" hidden="false" customHeight="true" outlineLevel="0" collapsed="false">
      <c r="A4" s="4" t="s">
        <v>2</v>
      </c>
    </row>
    <row r="5" customFormat="false" ht="45" hidden="false" customHeight="true" outlineLevel="0" collapsed="false">
      <c r="A5" s="3" t="s">
        <v>3</v>
      </c>
    </row>
    <row r="6" customFormat="false" ht="15" hidden="false" customHeight="true" outlineLevel="0" collapsed="false">
      <c r="A6" s="3"/>
    </row>
    <row r="7" customFormat="false" ht="15" hidden="false" customHeight="true" outlineLevel="0" collapsed="false">
      <c r="A7" s="5" t="s">
        <v>4</v>
      </c>
    </row>
    <row r="8" customFormat="false" ht="15" hidden="false" customHeight="true" outlineLevel="0" collapsed="false">
      <c r="A8" s="3"/>
    </row>
    <row r="9" customFormat="false" ht="15" hidden="false" customHeight="true" outlineLevel="0" collapsed="false">
      <c r="A9" s="4" t="s">
        <v>5</v>
      </c>
    </row>
    <row r="10" customFormat="false" ht="30" hidden="false" customHeight="true" outlineLevel="0" collapsed="false">
      <c r="A10" s="3" t="s">
        <v>6</v>
      </c>
    </row>
    <row r="11" customFormat="false" ht="45" hidden="false" customHeight="true" outlineLevel="0" collapsed="false">
      <c r="A11" s="3" t="s">
        <v>7</v>
      </c>
    </row>
    <row r="12" customFormat="false" ht="15" hidden="false" customHeight="true" outlineLevel="0" collapsed="false">
      <c r="A12" s="3"/>
    </row>
    <row r="13" customFormat="false" ht="15" hidden="false" customHeight="true" outlineLevel="0" collapsed="false">
      <c r="A13" s="4" t="s">
        <v>8</v>
      </c>
    </row>
    <row r="14" customFormat="false" ht="15" hidden="false" customHeight="true" outlineLevel="0" collapsed="false">
      <c r="A14" s="3" t="s">
        <v>9</v>
      </c>
    </row>
    <row r="15" customFormat="false" ht="15" hidden="false" customHeight="true" outlineLevel="0" collapsed="false">
      <c r="A15" s="3" t="s">
        <v>10</v>
      </c>
    </row>
    <row r="16" customFormat="false" ht="30"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1" customFormat="false" ht="15" hidden="false" customHeight="true" outlineLevel="0" collapsed="false">
      <c r="A21" s="4" t="s">
        <v>16</v>
      </c>
    </row>
    <row r="22" customFormat="false" ht="45" hidden="false" customHeight="true" outlineLevel="0" collapsed="false">
      <c r="A22" s="3" t="s">
        <v>17</v>
      </c>
    </row>
    <row r="23" customFormat="false" ht="45" hidden="false" customHeight="true" outlineLevel="0" collapsed="false">
      <c r="A23" s="3" t="s">
        <v>18</v>
      </c>
    </row>
    <row r="25" customFormat="false" ht="15" hidden="false" customHeight="false" outlineLevel="0" collapsed="false">
      <c r="A25" s="4" t="s">
        <v>19</v>
      </c>
    </row>
    <row r="26" customFormat="false" ht="68.65" hidden="false" customHeight="false" outlineLevel="0" collapsed="false">
      <c r="A26" s="3"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60"/>
  </cols>
  <sheetData>
    <row r="1" customFormat="false" ht="15" hidden="false" customHeight="false" outlineLevel="0" collapsed="false">
      <c r="A1" s="6" t="s">
        <v>21</v>
      </c>
    </row>
    <row r="3" customFormat="false" ht="15" hidden="false" customHeight="false" outlineLevel="0" collapsed="false">
      <c r="A3" s="7" t="s">
        <v>22</v>
      </c>
      <c r="B3" s="8" t="n">
        <v>150000000</v>
      </c>
      <c r="C3" s="9" t="s">
        <v>23</v>
      </c>
    </row>
    <row r="5" customFormat="false" ht="15" hidden="false" customHeight="false" outlineLevel="0" collapsed="false">
      <c r="A5" s="7" t="s">
        <v>24</v>
      </c>
      <c r="B5" s="10" t="n">
        <v>0.18</v>
      </c>
      <c r="C5" s="9" t="s">
        <v>25</v>
      </c>
    </row>
    <row r="6" customFormat="false" ht="15" hidden="false" customHeight="false" outlineLevel="0" collapsed="false">
      <c r="A6" s="7" t="s">
        <v>26</v>
      </c>
      <c r="B6" s="11" t="n">
        <v>9</v>
      </c>
      <c r="C6" s="9" t="s">
        <v>27</v>
      </c>
    </row>
    <row r="7" customFormat="false" ht="15" hidden="false" customHeight="false" outlineLevel="0" collapsed="false">
      <c r="A7" s="7" t="s">
        <v>28</v>
      </c>
      <c r="B7" s="11" t="n">
        <v>2</v>
      </c>
      <c r="C7" s="9"/>
    </row>
    <row r="9" customFormat="false" ht="15" hidden="false" customHeight="false" outlineLevel="0" collapsed="false">
      <c r="A9" s="7" t="s">
        <v>29</v>
      </c>
      <c r="B9" s="12" t="n">
        <v>0.1</v>
      </c>
      <c r="C9" s="9" t="s">
        <v>30</v>
      </c>
    </row>
    <row r="10" customFormat="false" ht="15" hidden="false" customHeight="false" outlineLevel="0" collapsed="false">
      <c r="A10" s="7" t="s">
        <v>31</v>
      </c>
      <c r="B10" s="12" t="n">
        <v>0.12</v>
      </c>
      <c r="C10" s="9" t="s">
        <v>32</v>
      </c>
    </row>
    <row r="11" customFormat="false" ht="15" hidden="false" customHeight="false" outlineLevel="0" collapsed="false">
      <c r="A11" s="7" t="s">
        <v>33</v>
      </c>
      <c r="B11" s="11" t="n">
        <v>6</v>
      </c>
      <c r="C11" s="9" t="s">
        <v>34</v>
      </c>
    </row>
    <row r="13" customFormat="false" ht="15" hidden="false" customHeight="false" outlineLevel="0" collapsed="false">
      <c r="A13" s="7" t="s">
        <v>35</v>
      </c>
      <c r="B13" s="8" t="n">
        <v>70000</v>
      </c>
      <c r="C13" s="9"/>
    </row>
    <row r="14" customFormat="false" ht="15" hidden="false" customHeight="false" outlineLevel="0" collapsed="false">
      <c r="A14" s="7" t="s">
        <v>36</v>
      </c>
      <c r="B14" s="10" t="n">
        <v>0.02</v>
      </c>
      <c r="C14" s="9"/>
    </row>
    <row r="15" customFormat="false" ht="15" hidden="false" customHeight="false" outlineLevel="0" collapsed="false">
      <c r="A15" s="7" t="s">
        <v>37</v>
      </c>
      <c r="B15" s="11" t="n">
        <v>18</v>
      </c>
      <c r="C15" s="9" t="s">
        <v>34</v>
      </c>
    </row>
    <row r="17" customFormat="false" ht="41.75" hidden="false" customHeight="false" outlineLevel="0" collapsed="false">
      <c r="A17" s="7" t="s">
        <v>38</v>
      </c>
      <c r="B17" s="11" t="n">
        <v>12</v>
      </c>
      <c r="C17" s="9" t="s">
        <v>39</v>
      </c>
    </row>
    <row r="18" customFormat="false" ht="15" hidden="false" customHeight="false" outlineLevel="0" collapsed="false">
      <c r="A18" s="7" t="s">
        <v>40</v>
      </c>
      <c r="B18" s="10" t="n">
        <v>0.01</v>
      </c>
      <c r="C18" s="9" t="s">
        <v>41</v>
      </c>
    </row>
    <row r="20" customFormat="false" ht="15" hidden="false" customHeight="false" outlineLevel="0" collapsed="false">
      <c r="A20" s="7" t="s">
        <v>42</v>
      </c>
      <c r="B20" s="13" t="n">
        <f aca="false">MAX('3. The forecast'!A3:A86)</f>
        <v>84</v>
      </c>
      <c r="C20" s="9" t="s">
        <v>43</v>
      </c>
    </row>
    <row r="22" customFormat="false" ht="15" hidden="false" customHeight="false" outlineLevel="0" collapsed="false">
      <c r="A22" s="6" t="s">
        <v>44</v>
      </c>
    </row>
    <row r="23" customFormat="false" ht="28.35" hidden="false" customHeight="false" outlineLevel="0" collapsed="false">
      <c r="A23" s="14" t="s">
        <v>45</v>
      </c>
      <c r="B23" s="14" t="s">
        <v>46</v>
      </c>
      <c r="C23" s="14" t="s">
        <v>47</v>
      </c>
    </row>
    <row r="24" customFormat="false" ht="15" hidden="false" customHeight="false" outlineLevel="0" collapsed="false">
      <c r="A24" s="7" t="s">
        <v>48</v>
      </c>
      <c r="B24" s="15" t="n">
        <v>1200</v>
      </c>
      <c r="C24" s="11" t="n">
        <v>7</v>
      </c>
    </row>
    <row r="25" customFormat="false" ht="15" hidden="false" customHeight="false" outlineLevel="0" collapsed="false">
      <c r="A25" s="7" t="s">
        <v>49</v>
      </c>
      <c r="B25" s="15" t="n">
        <v>1600</v>
      </c>
      <c r="C25" s="11" t="n">
        <v>12</v>
      </c>
    </row>
    <row r="26" customFormat="false" ht="15" hidden="false" customHeight="false" outlineLevel="0" collapsed="false">
      <c r="A26" s="7" t="s">
        <v>50</v>
      </c>
      <c r="B26" s="15" t="n">
        <v>700</v>
      </c>
      <c r="C26" s="11" t="n">
        <v>17</v>
      </c>
    </row>
    <row r="27" customFormat="false" ht="15" hidden="false" customHeight="false" outlineLevel="0" collapsed="false">
      <c r="A27" s="7" t="s">
        <v>51</v>
      </c>
      <c r="B27" s="15" t="n">
        <v>500</v>
      </c>
      <c r="C27" s="11" t="n">
        <v>18</v>
      </c>
    </row>
    <row r="28" customFormat="false" ht="15" hidden="false" customHeight="false" outlineLevel="0" collapsed="false">
      <c r="A28" s="16" t="s">
        <v>52</v>
      </c>
      <c r="B28" s="17" t="n">
        <f aca="false">SUM(B24:B27)</f>
        <v>4000</v>
      </c>
    </row>
    <row r="30" customFormat="false" ht="15" hidden="false" customHeight="false" outlineLevel="0" collapsed="false">
      <c r="A30" s="7" t="s">
        <v>53</v>
      </c>
      <c r="B30" s="11" t="n">
        <v>0</v>
      </c>
      <c r="C30" s="9" t="s">
        <v>54</v>
      </c>
    </row>
    <row r="31" customFormat="false" ht="15" hidden="false" customHeight="false" outlineLevel="0" collapsed="false">
      <c r="A31" s="7" t="s">
        <v>55</v>
      </c>
      <c r="B31" s="18" t="n">
        <v>1</v>
      </c>
      <c r="C31" s="9"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17" min="2" style="0" width="13"/>
  </cols>
  <sheetData>
    <row r="1" customFormat="false" ht="28.35" hidden="false" customHeight="false" outlineLevel="0" collapsed="false">
      <c r="A1" s="14" t="s">
        <v>57</v>
      </c>
      <c r="B1" s="14" t="s">
        <v>58</v>
      </c>
      <c r="C1" s="14" t="s">
        <v>59</v>
      </c>
      <c r="D1" s="14" t="s">
        <v>60</v>
      </c>
      <c r="E1" s="14" t="s">
        <v>61</v>
      </c>
      <c r="F1" s="14" t="s">
        <v>62</v>
      </c>
      <c r="G1" s="14" t="s">
        <v>63</v>
      </c>
      <c r="H1" s="14" t="s">
        <v>64</v>
      </c>
      <c r="I1" s="14" t="s">
        <v>65</v>
      </c>
      <c r="J1" s="14" t="s">
        <v>66</v>
      </c>
      <c r="K1" s="14" t="s">
        <v>67</v>
      </c>
      <c r="L1" s="14" t="s">
        <v>68</v>
      </c>
      <c r="M1" s="14" t="s">
        <v>69</v>
      </c>
      <c r="N1" s="14" t="s">
        <v>70</v>
      </c>
      <c r="O1" s="14" t="s">
        <v>71</v>
      </c>
      <c r="P1" s="14" t="s">
        <v>72</v>
      </c>
      <c r="Q1" s="14" t="s">
        <v>73</v>
      </c>
    </row>
    <row r="2" customFormat="false" ht="15" hidden="false" customHeight="false" outlineLevel="0" collapsed="false">
      <c r="A2" s="7" t="n">
        <v>1</v>
      </c>
      <c r="B2" s="19" t="n">
        <f aca="false">MAX(0,$A2-'1. Inputs'!$C$24-'1. Inputs'!$B$30+1)</f>
        <v>0</v>
      </c>
      <c r="C2" s="19" t="n">
        <f aca="false">MAX(0,$A2-'1. Inputs'!$C$25-'1. Inputs'!$B$30+1)</f>
        <v>0</v>
      </c>
      <c r="D2" s="19" t="n">
        <f aca="false">MAX(0,$A2-'1. Inputs'!$C$26-'1. Inputs'!$B$30+1)</f>
        <v>0</v>
      </c>
      <c r="E2" s="19" t="n">
        <f aca="false">MAX(0,$A2-'1. Inputs'!$C$27-'1. Inputs'!$B$30+1)</f>
        <v>0</v>
      </c>
      <c r="F2" s="20" t="n">
        <f aca="false">IF(B2&lt;=0,0,'1. Inputs'!$B$24*'1. Inputs'!$B$5*B2^'1. Inputs'!$B$7/('1. Inputs'!$B$6^'1. Inputs'!$B$7+B2^'1. Inputs'!$B$7))</f>
        <v>0</v>
      </c>
      <c r="G2" s="20" t="n">
        <f aca="false">IF(C2&lt;=0,0,'1. Inputs'!$B$25*'1. Inputs'!$B$5*C2^'1. Inputs'!$B$7/('1. Inputs'!$B$6^'1. Inputs'!$B$7+C2^'1. Inputs'!$B$7))</f>
        <v>0</v>
      </c>
      <c r="H2" s="20" t="n">
        <f aca="false">IF(D2&lt;=0,0,'1. Inputs'!$B$26*'1. Inputs'!$B$5*D2^'1. Inputs'!$B$7/('1. Inputs'!$B$6^'1. Inputs'!$B$7+D2^'1. Inputs'!$B$7))</f>
        <v>0</v>
      </c>
      <c r="I2" s="20" t="n">
        <f aca="false">IF(E2&lt;=0,0,'1. Inputs'!$B$27*'1. Inputs'!$B$5*E2^'1. Inputs'!$B$7/('1. Inputs'!$B$6^'1. Inputs'!$B$7+E2^'1. Inputs'!$B$7))</f>
        <v>0</v>
      </c>
      <c r="J2" s="21" t="n">
        <f aca="false">IF(B2&lt;=0,0,'1. Inputs'!$B$9+'1. Inputs'!$B$10*B2/(B2+'1. Inputs'!$B$11))</f>
        <v>0</v>
      </c>
      <c r="K2" s="21" t="n">
        <f aca="false">IF(C2&lt;=0,0,'1. Inputs'!$B$9+'1. Inputs'!$B$10*C2/(C2+'1. Inputs'!$B$11))</f>
        <v>0</v>
      </c>
      <c r="L2" s="21" t="n">
        <f aca="false">IF(D2&lt;=0,0,'1. Inputs'!$B$9+'1. Inputs'!$B$10*D2/(D2+'1. Inputs'!$B$11))</f>
        <v>0</v>
      </c>
      <c r="M2" s="21" t="n">
        <f aca="false">IF(E2&lt;=0,0,'1. Inputs'!$B$9+'1. Inputs'!$B$10*E2/(E2+'1. Inputs'!$B$11))</f>
        <v>0</v>
      </c>
      <c r="N2" s="22" t="n">
        <f aca="false">IF(B2&lt;=0,0,'1. Inputs'!$B$13*(1+'1. Inputs'!$B$14*MIN(B2,'1. Inputs'!$B$15))*'1. Inputs'!$B$31)</f>
        <v>0</v>
      </c>
      <c r="O2" s="22" t="n">
        <f aca="false">IF(C2&lt;=0,0,'1. Inputs'!$B$13*(1+'1. Inputs'!$B$14*MIN(C2,'1. Inputs'!$B$15))*'1. Inputs'!$B$31)</f>
        <v>0</v>
      </c>
      <c r="P2" s="22" t="n">
        <f aca="false">IF(D2&lt;=0,0,'1. Inputs'!$B$13*(1+'1. Inputs'!$B$14*MIN(D2,'1. Inputs'!$B$15))*'1. Inputs'!$B$31)</f>
        <v>0</v>
      </c>
      <c r="Q2" s="22" t="n">
        <f aca="false">IF(E2&lt;=0,0,'1. Inputs'!$B$13*(1+'1. Inputs'!$B$14*MIN(E2,'1. Inputs'!$B$15))*'1. Inputs'!$B$31)</f>
        <v>0</v>
      </c>
    </row>
    <row r="3" customFormat="false" ht="15" hidden="false" customHeight="false" outlineLevel="0" collapsed="false">
      <c r="A3" s="7" t="n">
        <v>2</v>
      </c>
      <c r="B3" s="19" t="n">
        <f aca="false">MAX(0,$A3-'1. Inputs'!$C$24-'1. Inputs'!$B$30+1)</f>
        <v>0</v>
      </c>
      <c r="C3" s="19" t="n">
        <f aca="false">MAX(0,$A3-'1. Inputs'!$C$25-'1. Inputs'!$B$30+1)</f>
        <v>0</v>
      </c>
      <c r="D3" s="19" t="n">
        <f aca="false">MAX(0,$A3-'1. Inputs'!$C$26-'1. Inputs'!$B$30+1)</f>
        <v>0</v>
      </c>
      <c r="E3" s="19" t="n">
        <f aca="false">MAX(0,$A3-'1. Inputs'!$C$27-'1. Inputs'!$B$30+1)</f>
        <v>0</v>
      </c>
      <c r="F3" s="20" t="n">
        <f aca="false">IF(B3&lt;=0,0,'1. Inputs'!$B$24*'1. Inputs'!$B$5*B3^'1. Inputs'!$B$7/('1. Inputs'!$B$6^'1. Inputs'!$B$7+B3^'1. Inputs'!$B$7))</f>
        <v>0</v>
      </c>
      <c r="G3" s="20" t="n">
        <f aca="false">IF(C3&lt;=0,0,'1. Inputs'!$B$25*'1. Inputs'!$B$5*C3^'1. Inputs'!$B$7/('1. Inputs'!$B$6^'1. Inputs'!$B$7+C3^'1. Inputs'!$B$7))</f>
        <v>0</v>
      </c>
      <c r="H3" s="20" t="n">
        <f aca="false">IF(D3&lt;=0,0,'1. Inputs'!$B$26*'1. Inputs'!$B$5*D3^'1. Inputs'!$B$7/('1. Inputs'!$B$6^'1. Inputs'!$B$7+D3^'1. Inputs'!$B$7))</f>
        <v>0</v>
      </c>
      <c r="I3" s="20" t="n">
        <f aca="false">IF(E3&lt;=0,0,'1. Inputs'!$B$27*'1. Inputs'!$B$5*E3^'1. Inputs'!$B$7/('1. Inputs'!$B$6^'1. Inputs'!$B$7+E3^'1. Inputs'!$B$7))</f>
        <v>0</v>
      </c>
      <c r="J3" s="21" t="n">
        <f aca="false">IF(B3&lt;=0,0,'1. Inputs'!$B$9+'1. Inputs'!$B$10*B3/(B3+'1. Inputs'!$B$11))</f>
        <v>0</v>
      </c>
      <c r="K3" s="21" t="n">
        <f aca="false">IF(C3&lt;=0,0,'1. Inputs'!$B$9+'1. Inputs'!$B$10*C3/(C3+'1. Inputs'!$B$11))</f>
        <v>0</v>
      </c>
      <c r="L3" s="21" t="n">
        <f aca="false">IF(D3&lt;=0,0,'1. Inputs'!$B$9+'1. Inputs'!$B$10*D3/(D3+'1. Inputs'!$B$11))</f>
        <v>0</v>
      </c>
      <c r="M3" s="21" t="n">
        <f aca="false">IF(E3&lt;=0,0,'1. Inputs'!$B$9+'1. Inputs'!$B$10*E3/(E3+'1. Inputs'!$B$11))</f>
        <v>0</v>
      </c>
      <c r="N3" s="22" t="n">
        <f aca="false">IF(B3&lt;=0,0,'1. Inputs'!$B$13*(1+'1. Inputs'!$B$14*MIN(B3,'1. Inputs'!$B$15))*'1. Inputs'!$B$31)</f>
        <v>0</v>
      </c>
      <c r="O3" s="22" t="n">
        <f aca="false">IF(C3&lt;=0,0,'1. Inputs'!$B$13*(1+'1. Inputs'!$B$14*MIN(C3,'1. Inputs'!$B$15))*'1. Inputs'!$B$31)</f>
        <v>0</v>
      </c>
      <c r="P3" s="22" t="n">
        <f aca="false">IF(D3&lt;=0,0,'1. Inputs'!$B$13*(1+'1. Inputs'!$B$14*MIN(D3,'1. Inputs'!$B$15))*'1. Inputs'!$B$31)</f>
        <v>0</v>
      </c>
      <c r="Q3" s="22" t="n">
        <f aca="false">IF(E3&lt;=0,0,'1. Inputs'!$B$13*(1+'1. Inputs'!$B$14*MIN(E3,'1. Inputs'!$B$15))*'1. Inputs'!$B$31)</f>
        <v>0</v>
      </c>
    </row>
    <row r="4" customFormat="false" ht="15" hidden="false" customHeight="false" outlineLevel="0" collapsed="false">
      <c r="A4" s="7" t="n">
        <v>3</v>
      </c>
      <c r="B4" s="19" t="n">
        <f aca="false">MAX(0,$A4-'1. Inputs'!$C$24-'1. Inputs'!$B$30+1)</f>
        <v>0</v>
      </c>
      <c r="C4" s="19" t="n">
        <f aca="false">MAX(0,$A4-'1. Inputs'!$C$25-'1. Inputs'!$B$30+1)</f>
        <v>0</v>
      </c>
      <c r="D4" s="19" t="n">
        <f aca="false">MAX(0,$A4-'1. Inputs'!$C$26-'1. Inputs'!$B$30+1)</f>
        <v>0</v>
      </c>
      <c r="E4" s="19" t="n">
        <f aca="false">MAX(0,$A4-'1. Inputs'!$C$27-'1. Inputs'!$B$30+1)</f>
        <v>0</v>
      </c>
      <c r="F4" s="20" t="n">
        <f aca="false">IF(B4&lt;=0,0,'1. Inputs'!$B$24*'1. Inputs'!$B$5*B4^'1. Inputs'!$B$7/('1. Inputs'!$B$6^'1. Inputs'!$B$7+B4^'1. Inputs'!$B$7))</f>
        <v>0</v>
      </c>
      <c r="G4" s="20" t="n">
        <f aca="false">IF(C4&lt;=0,0,'1. Inputs'!$B$25*'1. Inputs'!$B$5*C4^'1. Inputs'!$B$7/('1. Inputs'!$B$6^'1. Inputs'!$B$7+C4^'1. Inputs'!$B$7))</f>
        <v>0</v>
      </c>
      <c r="H4" s="20" t="n">
        <f aca="false">IF(D4&lt;=0,0,'1. Inputs'!$B$26*'1. Inputs'!$B$5*D4^'1. Inputs'!$B$7/('1. Inputs'!$B$6^'1. Inputs'!$B$7+D4^'1. Inputs'!$B$7))</f>
        <v>0</v>
      </c>
      <c r="I4" s="20" t="n">
        <f aca="false">IF(E4&lt;=0,0,'1. Inputs'!$B$27*'1. Inputs'!$B$5*E4^'1. Inputs'!$B$7/('1. Inputs'!$B$6^'1. Inputs'!$B$7+E4^'1. Inputs'!$B$7))</f>
        <v>0</v>
      </c>
      <c r="J4" s="21" t="n">
        <f aca="false">IF(B4&lt;=0,0,'1. Inputs'!$B$9+'1. Inputs'!$B$10*B4/(B4+'1. Inputs'!$B$11))</f>
        <v>0</v>
      </c>
      <c r="K4" s="21" t="n">
        <f aca="false">IF(C4&lt;=0,0,'1. Inputs'!$B$9+'1. Inputs'!$B$10*C4/(C4+'1. Inputs'!$B$11))</f>
        <v>0</v>
      </c>
      <c r="L4" s="21" t="n">
        <f aca="false">IF(D4&lt;=0,0,'1. Inputs'!$B$9+'1. Inputs'!$B$10*D4/(D4+'1. Inputs'!$B$11))</f>
        <v>0</v>
      </c>
      <c r="M4" s="21" t="n">
        <f aca="false">IF(E4&lt;=0,0,'1. Inputs'!$B$9+'1. Inputs'!$B$10*E4/(E4+'1. Inputs'!$B$11))</f>
        <v>0</v>
      </c>
      <c r="N4" s="22" t="n">
        <f aca="false">IF(B4&lt;=0,0,'1. Inputs'!$B$13*(1+'1. Inputs'!$B$14*MIN(B4,'1. Inputs'!$B$15))*'1. Inputs'!$B$31)</f>
        <v>0</v>
      </c>
      <c r="O4" s="22" t="n">
        <f aca="false">IF(C4&lt;=0,0,'1. Inputs'!$B$13*(1+'1. Inputs'!$B$14*MIN(C4,'1. Inputs'!$B$15))*'1. Inputs'!$B$31)</f>
        <v>0</v>
      </c>
      <c r="P4" s="22" t="n">
        <f aca="false">IF(D4&lt;=0,0,'1. Inputs'!$B$13*(1+'1. Inputs'!$B$14*MIN(D4,'1. Inputs'!$B$15))*'1. Inputs'!$B$31)</f>
        <v>0</v>
      </c>
      <c r="Q4" s="22" t="n">
        <f aca="false">IF(E4&lt;=0,0,'1. Inputs'!$B$13*(1+'1. Inputs'!$B$14*MIN(E4,'1. Inputs'!$B$15))*'1. Inputs'!$B$31)</f>
        <v>0</v>
      </c>
    </row>
    <row r="5" customFormat="false" ht="15" hidden="false" customHeight="false" outlineLevel="0" collapsed="false">
      <c r="A5" s="7" t="n">
        <v>4</v>
      </c>
      <c r="B5" s="19" t="n">
        <f aca="false">MAX(0,$A5-'1. Inputs'!$C$24-'1. Inputs'!$B$30+1)</f>
        <v>0</v>
      </c>
      <c r="C5" s="19" t="n">
        <f aca="false">MAX(0,$A5-'1. Inputs'!$C$25-'1. Inputs'!$B$30+1)</f>
        <v>0</v>
      </c>
      <c r="D5" s="19" t="n">
        <f aca="false">MAX(0,$A5-'1. Inputs'!$C$26-'1. Inputs'!$B$30+1)</f>
        <v>0</v>
      </c>
      <c r="E5" s="19" t="n">
        <f aca="false">MAX(0,$A5-'1. Inputs'!$C$27-'1. Inputs'!$B$30+1)</f>
        <v>0</v>
      </c>
      <c r="F5" s="20" t="n">
        <f aca="false">IF(B5&lt;=0,0,'1. Inputs'!$B$24*'1. Inputs'!$B$5*B5^'1. Inputs'!$B$7/('1. Inputs'!$B$6^'1. Inputs'!$B$7+B5^'1. Inputs'!$B$7))</f>
        <v>0</v>
      </c>
      <c r="G5" s="20" t="n">
        <f aca="false">IF(C5&lt;=0,0,'1. Inputs'!$B$25*'1. Inputs'!$B$5*C5^'1. Inputs'!$B$7/('1. Inputs'!$B$6^'1. Inputs'!$B$7+C5^'1. Inputs'!$B$7))</f>
        <v>0</v>
      </c>
      <c r="H5" s="20" t="n">
        <f aca="false">IF(D5&lt;=0,0,'1. Inputs'!$B$26*'1. Inputs'!$B$5*D5^'1. Inputs'!$B$7/('1. Inputs'!$B$6^'1. Inputs'!$B$7+D5^'1. Inputs'!$B$7))</f>
        <v>0</v>
      </c>
      <c r="I5" s="20" t="n">
        <f aca="false">IF(E5&lt;=0,0,'1. Inputs'!$B$27*'1. Inputs'!$B$5*E5^'1. Inputs'!$B$7/('1. Inputs'!$B$6^'1. Inputs'!$B$7+E5^'1. Inputs'!$B$7))</f>
        <v>0</v>
      </c>
      <c r="J5" s="21" t="n">
        <f aca="false">IF(B5&lt;=0,0,'1. Inputs'!$B$9+'1. Inputs'!$B$10*B5/(B5+'1. Inputs'!$B$11))</f>
        <v>0</v>
      </c>
      <c r="K5" s="21" t="n">
        <f aca="false">IF(C5&lt;=0,0,'1. Inputs'!$B$9+'1. Inputs'!$B$10*C5/(C5+'1. Inputs'!$B$11))</f>
        <v>0</v>
      </c>
      <c r="L5" s="21" t="n">
        <f aca="false">IF(D5&lt;=0,0,'1. Inputs'!$B$9+'1. Inputs'!$B$10*D5/(D5+'1. Inputs'!$B$11))</f>
        <v>0</v>
      </c>
      <c r="M5" s="21" t="n">
        <f aca="false">IF(E5&lt;=0,0,'1. Inputs'!$B$9+'1. Inputs'!$B$10*E5/(E5+'1. Inputs'!$B$11))</f>
        <v>0</v>
      </c>
      <c r="N5" s="22" t="n">
        <f aca="false">IF(B5&lt;=0,0,'1. Inputs'!$B$13*(1+'1. Inputs'!$B$14*MIN(B5,'1. Inputs'!$B$15))*'1. Inputs'!$B$31)</f>
        <v>0</v>
      </c>
      <c r="O5" s="22" t="n">
        <f aca="false">IF(C5&lt;=0,0,'1. Inputs'!$B$13*(1+'1. Inputs'!$B$14*MIN(C5,'1. Inputs'!$B$15))*'1. Inputs'!$B$31)</f>
        <v>0</v>
      </c>
      <c r="P5" s="22" t="n">
        <f aca="false">IF(D5&lt;=0,0,'1. Inputs'!$B$13*(1+'1. Inputs'!$B$14*MIN(D5,'1. Inputs'!$B$15))*'1. Inputs'!$B$31)</f>
        <v>0</v>
      </c>
      <c r="Q5" s="22" t="n">
        <f aca="false">IF(E5&lt;=0,0,'1. Inputs'!$B$13*(1+'1. Inputs'!$B$14*MIN(E5,'1. Inputs'!$B$15))*'1. Inputs'!$B$31)</f>
        <v>0</v>
      </c>
    </row>
    <row r="6" customFormat="false" ht="15" hidden="false" customHeight="false" outlineLevel="0" collapsed="false">
      <c r="A6" s="7" t="n">
        <v>5</v>
      </c>
      <c r="B6" s="19" t="n">
        <f aca="false">MAX(0,$A6-'1. Inputs'!$C$24-'1. Inputs'!$B$30+1)</f>
        <v>0</v>
      </c>
      <c r="C6" s="19" t="n">
        <f aca="false">MAX(0,$A6-'1. Inputs'!$C$25-'1. Inputs'!$B$30+1)</f>
        <v>0</v>
      </c>
      <c r="D6" s="19" t="n">
        <f aca="false">MAX(0,$A6-'1. Inputs'!$C$26-'1. Inputs'!$B$30+1)</f>
        <v>0</v>
      </c>
      <c r="E6" s="19" t="n">
        <f aca="false">MAX(0,$A6-'1. Inputs'!$C$27-'1. Inputs'!$B$30+1)</f>
        <v>0</v>
      </c>
      <c r="F6" s="20" t="n">
        <f aca="false">IF(B6&lt;=0,0,'1. Inputs'!$B$24*'1. Inputs'!$B$5*B6^'1. Inputs'!$B$7/('1. Inputs'!$B$6^'1. Inputs'!$B$7+B6^'1. Inputs'!$B$7))</f>
        <v>0</v>
      </c>
      <c r="G6" s="20" t="n">
        <f aca="false">IF(C6&lt;=0,0,'1. Inputs'!$B$25*'1. Inputs'!$B$5*C6^'1. Inputs'!$B$7/('1. Inputs'!$B$6^'1. Inputs'!$B$7+C6^'1. Inputs'!$B$7))</f>
        <v>0</v>
      </c>
      <c r="H6" s="20" t="n">
        <f aca="false">IF(D6&lt;=0,0,'1. Inputs'!$B$26*'1. Inputs'!$B$5*D6^'1. Inputs'!$B$7/('1. Inputs'!$B$6^'1. Inputs'!$B$7+D6^'1. Inputs'!$B$7))</f>
        <v>0</v>
      </c>
      <c r="I6" s="20" t="n">
        <f aca="false">IF(E6&lt;=0,0,'1. Inputs'!$B$27*'1. Inputs'!$B$5*E6^'1. Inputs'!$B$7/('1. Inputs'!$B$6^'1. Inputs'!$B$7+E6^'1. Inputs'!$B$7))</f>
        <v>0</v>
      </c>
      <c r="J6" s="21" t="n">
        <f aca="false">IF(B6&lt;=0,0,'1. Inputs'!$B$9+'1. Inputs'!$B$10*B6/(B6+'1. Inputs'!$B$11))</f>
        <v>0</v>
      </c>
      <c r="K6" s="21" t="n">
        <f aca="false">IF(C6&lt;=0,0,'1. Inputs'!$B$9+'1. Inputs'!$B$10*C6/(C6+'1. Inputs'!$B$11))</f>
        <v>0</v>
      </c>
      <c r="L6" s="21" t="n">
        <f aca="false">IF(D6&lt;=0,0,'1. Inputs'!$B$9+'1. Inputs'!$B$10*D6/(D6+'1. Inputs'!$B$11))</f>
        <v>0</v>
      </c>
      <c r="M6" s="21" t="n">
        <f aca="false">IF(E6&lt;=0,0,'1. Inputs'!$B$9+'1. Inputs'!$B$10*E6/(E6+'1. Inputs'!$B$11))</f>
        <v>0</v>
      </c>
      <c r="N6" s="22" t="n">
        <f aca="false">IF(B6&lt;=0,0,'1. Inputs'!$B$13*(1+'1. Inputs'!$B$14*MIN(B6,'1. Inputs'!$B$15))*'1. Inputs'!$B$31)</f>
        <v>0</v>
      </c>
      <c r="O6" s="22" t="n">
        <f aca="false">IF(C6&lt;=0,0,'1. Inputs'!$B$13*(1+'1. Inputs'!$B$14*MIN(C6,'1. Inputs'!$B$15))*'1. Inputs'!$B$31)</f>
        <v>0</v>
      </c>
      <c r="P6" s="22" t="n">
        <f aca="false">IF(D6&lt;=0,0,'1. Inputs'!$B$13*(1+'1. Inputs'!$B$14*MIN(D6,'1. Inputs'!$B$15))*'1. Inputs'!$B$31)</f>
        <v>0</v>
      </c>
      <c r="Q6" s="22" t="n">
        <f aca="false">IF(E6&lt;=0,0,'1. Inputs'!$B$13*(1+'1. Inputs'!$B$14*MIN(E6,'1. Inputs'!$B$15))*'1. Inputs'!$B$31)</f>
        <v>0</v>
      </c>
    </row>
    <row r="7" customFormat="false" ht="15" hidden="false" customHeight="false" outlineLevel="0" collapsed="false">
      <c r="A7" s="7" t="n">
        <v>6</v>
      </c>
      <c r="B7" s="19" t="n">
        <f aca="false">MAX(0,$A7-'1. Inputs'!$C$24-'1. Inputs'!$B$30+1)</f>
        <v>0</v>
      </c>
      <c r="C7" s="19" t="n">
        <f aca="false">MAX(0,$A7-'1. Inputs'!$C$25-'1. Inputs'!$B$30+1)</f>
        <v>0</v>
      </c>
      <c r="D7" s="19" t="n">
        <f aca="false">MAX(0,$A7-'1. Inputs'!$C$26-'1. Inputs'!$B$30+1)</f>
        <v>0</v>
      </c>
      <c r="E7" s="19" t="n">
        <f aca="false">MAX(0,$A7-'1. Inputs'!$C$27-'1. Inputs'!$B$30+1)</f>
        <v>0</v>
      </c>
      <c r="F7" s="20" t="n">
        <f aca="false">IF(B7&lt;=0,0,'1. Inputs'!$B$24*'1. Inputs'!$B$5*B7^'1. Inputs'!$B$7/('1. Inputs'!$B$6^'1. Inputs'!$B$7+B7^'1. Inputs'!$B$7))</f>
        <v>0</v>
      </c>
      <c r="G7" s="20" t="n">
        <f aca="false">IF(C7&lt;=0,0,'1. Inputs'!$B$25*'1. Inputs'!$B$5*C7^'1. Inputs'!$B$7/('1. Inputs'!$B$6^'1. Inputs'!$B$7+C7^'1. Inputs'!$B$7))</f>
        <v>0</v>
      </c>
      <c r="H7" s="20" t="n">
        <f aca="false">IF(D7&lt;=0,0,'1. Inputs'!$B$26*'1. Inputs'!$B$5*D7^'1. Inputs'!$B$7/('1. Inputs'!$B$6^'1. Inputs'!$B$7+D7^'1. Inputs'!$B$7))</f>
        <v>0</v>
      </c>
      <c r="I7" s="20" t="n">
        <f aca="false">IF(E7&lt;=0,0,'1. Inputs'!$B$27*'1. Inputs'!$B$5*E7^'1. Inputs'!$B$7/('1. Inputs'!$B$6^'1. Inputs'!$B$7+E7^'1. Inputs'!$B$7))</f>
        <v>0</v>
      </c>
      <c r="J7" s="21" t="n">
        <f aca="false">IF(B7&lt;=0,0,'1. Inputs'!$B$9+'1. Inputs'!$B$10*B7/(B7+'1. Inputs'!$B$11))</f>
        <v>0</v>
      </c>
      <c r="K7" s="21" t="n">
        <f aca="false">IF(C7&lt;=0,0,'1. Inputs'!$B$9+'1. Inputs'!$B$10*C7/(C7+'1. Inputs'!$B$11))</f>
        <v>0</v>
      </c>
      <c r="L7" s="21" t="n">
        <f aca="false">IF(D7&lt;=0,0,'1. Inputs'!$B$9+'1. Inputs'!$B$10*D7/(D7+'1. Inputs'!$B$11))</f>
        <v>0</v>
      </c>
      <c r="M7" s="21" t="n">
        <f aca="false">IF(E7&lt;=0,0,'1. Inputs'!$B$9+'1. Inputs'!$B$10*E7/(E7+'1. Inputs'!$B$11))</f>
        <v>0</v>
      </c>
      <c r="N7" s="22" t="n">
        <f aca="false">IF(B7&lt;=0,0,'1. Inputs'!$B$13*(1+'1. Inputs'!$B$14*MIN(B7,'1. Inputs'!$B$15))*'1. Inputs'!$B$31)</f>
        <v>0</v>
      </c>
      <c r="O7" s="22" t="n">
        <f aca="false">IF(C7&lt;=0,0,'1. Inputs'!$B$13*(1+'1. Inputs'!$B$14*MIN(C7,'1. Inputs'!$B$15))*'1. Inputs'!$B$31)</f>
        <v>0</v>
      </c>
      <c r="P7" s="22" t="n">
        <f aca="false">IF(D7&lt;=0,0,'1. Inputs'!$B$13*(1+'1. Inputs'!$B$14*MIN(D7,'1. Inputs'!$B$15))*'1. Inputs'!$B$31)</f>
        <v>0</v>
      </c>
      <c r="Q7" s="22" t="n">
        <f aca="false">IF(E7&lt;=0,0,'1. Inputs'!$B$13*(1+'1. Inputs'!$B$14*MIN(E7,'1. Inputs'!$B$15))*'1. Inputs'!$B$31)</f>
        <v>0</v>
      </c>
    </row>
    <row r="8" customFormat="false" ht="15" hidden="false" customHeight="false" outlineLevel="0" collapsed="false">
      <c r="A8" s="7" t="n">
        <v>7</v>
      </c>
      <c r="B8" s="19" t="n">
        <f aca="false">MAX(0,$A8-'1. Inputs'!$C$24-'1. Inputs'!$B$30+1)</f>
        <v>1</v>
      </c>
      <c r="C8" s="19" t="n">
        <f aca="false">MAX(0,$A8-'1. Inputs'!$C$25-'1. Inputs'!$B$30+1)</f>
        <v>0</v>
      </c>
      <c r="D8" s="19" t="n">
        <f aca="false">MAX(0,$A8-'1. Inputs'!$C$26-'1. Inputs'!$B$30+1)</f>
        <v>0</v>
      </c>
      <c r="E8" s="19" t="n">
        <f aca="false">MAX(0,$A8-'1. Inputs'!$C$27-'1. Inputs'!$B$30+1)</f>
        <v>0</v>
      </c>
      <c r="F8" s="20" t="n">
        <f aca="false">IF(B8&lt;=0,0,'1. Inputs'!$B$24*'1. Inputs'!$B$5*B8^'1. Inputs'!$B$7/('1. Inputs'!$B$6^'1. Inputs'!$B$7+B8^'1. Inputs'!$B$7))</f>
        <v>2.63414634146341</v>
      </c>
      <c r="G8" s="20" t="n">
        <f aca="false">IF(C8&lt;=0,0,'1. Inputs'!$B$25*'1. Inputs'!$B$5*C8^'1. Inputs'!$B$7/('1. Inputs'!$B$6^'1. Inputs'!$B$7+C8^'1. Inputs'!$B$7))</f>
        <v>0</v>
      </c>
      <c r="H8" s="20" t="n">
        <f aca="false">IF(D8&lt;=0,0,'1. Inputs'!$B$26*'1. Inputs'!$B$5*D8^'1. Inputs'!$B$7/('1. Inputs'!$B$6^'1. Inputs'!$B$7+D8^'1. Inputs'!$B$7))</f>
        <v>0</v>
      </c>
      <c r="I8" s="20" t="n">
        <f aca="false">IF(E8&lt;=0,0,'1. Inputs'!$B$27*'1. Inputs'!$B$5*E8^'1. Inputs'!$B$7/('1. Inputs'!$B$6^'1. Inputs'!$B$7+E8^'1. Inputs'!$B$7))</f>
        <v>0</v>
      </c>
      <c r="J8" s="21" t="n">
        <f aca="false">IF(B8&lt;=0,0,'1. Inputs'!$B$9+'1. Inputs'!$B$10*B8/(B8+'1. Inputs'!$B$11))</f>
        <v>0.117142857142857</v>
      </c>
      <c r="K8" s="21" t="n">
        <f aca="false">IF(C8&lt;=0,0,'1. Inputs'!$B$9+'1. Inputs'!$B$10*C8/(C8+'1. Inputs'!$B$11))</f>
        <v>0</v>
      </c>
      <c r="L8" s="21" t="n">
        <f aca="false">IF(D8&lt;=0,0,'1. Inputs'!$B$9+'1. Inputs'!$B$10*D8/(D8+'1. Inputs'!$B$11))</f>
        <v>0</v>
      </c>
      <c r="M8" s="21" t="n">
        <f aca="false">IF(E8&lt;=0,0,'1. Inputs'!$B$9+'1. Inputs'!$B$10*E8/(E8+'1. Inputs'!$B$11))</f>
        <v>0</v>
      </c>
      <c r="N8" s="22" t="n">
        <f aca="false">IF(B8&lt;=0,0,'1. Inputs'!$B$13*(1+'1. Inputs'!$B$14*MIN(B8,'1. Inputs'!$B$15))*'1. Inputs'!$B$31)</f>
        <v>71400</v>
      </c>
      <c r="O8" s="22" t="n">
        <f aca="false">IF(C8&lt;=0,0,'1. Inputs'!$B$13*(1+'1. Inputs'!$B$14*MIN(C8,'1. Inputs'!$B$15))*'1. Inputs'!$B$31)</f>
        <v>0</v>
      </c>
      <c r="P8" s="22" t="n">
        <f aca="false">IF(D8&lt;=0,0,'1. Inputs'!$B$13*(1+'1. Inputs'!$B$14*MIN(D8,'1. Inputs'!$B$15))*'1. Inputs'!$B$31)</f>
        <v>0</v>
      </c>
      <c r="Q8" s="22" t="n">
        <f aca="false">IF(E8&lt;=0,0,'1. Inputs'!$B$13*(1+'1. Inputs'!$B$14*MIN(E8,'1. Inputs'!$B$15))*'1. Inputs'!$B$31)</f>
        <v>0</v>
      </c>
    </row>
    <row r="9" customFormat="false" ht="15" hidden="false" customHeight="false" outlineLevel="0" collapsed="false">
      <c r="A9" s="7" t="n">
        <v>8</v>
      </c>
      <c r="B9" s="19" t="n">
        <f aca="false">MAX(0,$A9-'1. Inputs'!$C$24-'1. Inputs'!$B$30+1)</f>
        <v>2</v>
      </c>
      <c r="C9" s="19" t="n">
        <f aca="false">MAX(0,$A9-'1. Inputs'!$C$25-'1. Inputs'!$B$30+1)</f>
        <v>0</v>
      </c>
      <c r="D9" s="19" t="n">
        <f aca="false">MAX(0,$A9-'1. Inputs'!$C$26-'1. Inputs'!$B$30+1)</f>
        <v>0</v>
      </c>
      <c r="E9" s="19" t="n">
        <f aca="false">MAX(0,$A9-'1. Inputs'!$C$27-'1. Inputs'!$B$30+1)</f>
        <v>0</v>
      </c>
      <c r="F9" s="20" t="n">
        <f aca="false">IF(B9&lt;=0,0,'1. Inputs'!$B$24*'1. Inputs'!$B$5*B9^'1. Inputs'!$B$7/('1. Inputs'!$B$6^'1. Inputs'!$B$7+B9^'1. Inputs'!$B$7))</f>
        <v>10.1647058823529</v>
      </c>
      <c r="G9" s="20" t="n">
        <f aca="false">IF(C9&lt;=0,0,'1. Inputs'!$B$25*'1. Inputs'!$B$5*C9^'1. Inputs'!$B$7/('1. Inputs'!$B$6^'1. Inputs'!$B$7+C9^'1. Inputs'!$B$7))</f>
        <v>0</v>
      </c>
      <c r="H9" s="20" t="n">
        <f aca="false">IF(D9&lt;=0,0,'1. Inputs'!$B$26*'1. Inputs'!$B$5*D9^'1. Inputs'!$B$7/('1. Inputs'!$B$6^'1. Inputs'!$B$7+D9^'1. Inputs'!$B$7))</f>
        <v>0</v>
      </c>
      <c r="I9" s="20" t="n">
        <f aca="false">IF(E9&lt;=0,0,'1. Inputs'!$B$27*'1. Inputs'!$B$5*E9^'1. Inputs'!$B$7/('1. Inputs'!$B$6^'1. Inputs'!$B$7+E9^'1. Inputs'!$B$7))</f>
        <v>0</v>
      </c>
      <c r="J9" s="21" t="n">
        <f aca="false">IF(B9&lt;=0,0,'1. Inputs'!$B$9+'1. Inputs'!$B$10*B9/(B9+'1. Inputs'!$B$11))</f>
        <v>0.13</v>
      </c>
      <c r="K9" s="21" t="n">
        <f aca="false">IF(C9&lt;=0,0,'1. Inputs'!$B$9+'1. Inputs'!$B$10*C9/(C9+'1. Inputs'!$B$11))</f>
        <v>0</v>
      </c>
      <c r="L9" s="21" t="n">
        <f aca="false">IF(D9&lt;=0,0,'1. Inputs'!$B$9+'1. Inputs'!$B$10*D9/(D9+'1. Inputs'!$B$11))</f>
        <v>0</v>
      </c>
      <c r="M9" s="21" t="n">
        <f aca="false">IF(E9&lt;=0,0,'1. Inputs'!$B$9+'1. Inputs'!$B$10*E9/(E9+'1. Inputs'!$B$11))</f>
        <v>0</v>
      </c>
      <c r="N9" s="22" t="n">
        <f aca="false">IF(B9&lt;=0,0,'1. Inputs'!$B$13*(1+'1. Inputs'!$B$14*MIN(B9,'1. Inputs'!$B$15))*'1. Inputs'!$B$31)</f>
        <v>72800</v>
      </c>
      <c r="O9" s="22" t="n">
        <f aca="false">IF(C9&lt;=0,0,'1. Inputs'!$B$13*(1+'1. Inputs'!$B$14*MIN(C9,'1. Inputs'!$B$15))*'1. Inputs'!$B$31)</f>
        <v>0</v>
      </c>
      <c r="P9" s="22" t="n">
        <f aca="false">IF(D9&lt;=0,0,'1. Inputs'!$B$13*(1+'1. Inputs'!$B$14*MIN(D9,'1. Inputs'!$B$15))*'1. Inputs'!$B$31)</f>
        <v>0</v>
      </c>
      <c r="Q9" s="22" t="n">
        <f aca="false">IF(E9&lt;=0,0,'1. Inputs'!$B$13*(1+'1. Inputs'!$B$14*MIN(E9,'1. Inputs'!$B$15))*'1. Inputs'!$B$31)</f>
        <v>0</v>
      </c>
    </row>
    <row r="10" customFormat="false" ht="15" hidden="false" customHeight="false" outlineLevel="0" collapsed="false">
      <c r="A10" s="7" t="n">
        <v>9</v>
      </c>
      <c r="B10" s="19" t="n">
        <f aca="false">MAX(0,$A10-'1. Inputs'!$C$24-'1. Inputs'!$B$30+1)</f>
        <v>3</v>
      </c>
      <c r="C10" s="19" t="n">
        <f aca="false">MAX(0,$A10-'1. Inputs'!$C$25-'1. Inputs'!$B$30+1)</f>
        <v>0</v>
      </c>
      <c r="D10" s="19" t="n">
        <f aca="false">MAX(0,$A10-'1. Inputs'!$C$26-'1. Inputs'!$B$30+1)</f>
        <v>0</v>
      </c>
      <c r="E10" s="19" t="n">
        <f aca="false">MAX(0,$A10-'1. Inputs'!$C$27-'1. Inputs'!$B$30+1)</f>
        <v>0</v>
      </c>
      <c r="F10" s="20" t="n">
        <f aca="false">IF(B10&lt;=0,0,'1. Inputs'!$B$24*'1. Inputs'!$B$5*B10^'1. Inputs'!$B$7/('1. Inputs'!$B$6^'1. Inputs'!$B$7+B10^'1. Inputs'!$B$7))</f>
        <v>21.6</v>
      </c>
      <c r="G10" s="20" t="n">
        <f aca="false">IF(C10&lt;=0,0,'1. Inputs'!$B$25*'1. Inputs'!$B$5*C10^'1. Inputs'!$B$7/('1. Inputs'!$B$6^'1. Inputs'!$B$7+C10^'1. Inputs'!$B$7))</f>
        <v>0</v>
      </c>
      <c r="H10" s="20" t="n">
        <f aca="false">IF(D10&lt;=0,0,'1. Inputs'!$B$26*'1. Inputs'!$B$5*D10^'1. Inputs'!$B$7/('1. Inputs'!$B$6^'1. Inputs'!$B$7+D10^'1. Inputs'!$B$7))</f>
        <v>0</v>
      </c>
      <c r="I10" s="20" t="n">
        <f aca="false">IF(E10&lt;=0,0,'1. Inputs'!$B$27*'1. Inputs'!$B$5*E10^'1. Inputs'!$B$7/('1. Inputs'!$B$6^'1. Inputs'!$B$7+E10^'1. Inputs'!$B$7))</f>
        <v>0</v>
      </c>
      <c r="J10" s="21" t="n">
        <f aca="false">IF(B10&lt;=0,0,'1. Inputs'!$B$9+'1. Inputs'!$B$10*B10/(B10+'1. Inputs'!$B$11))</f>
        <v>0.14</v>
      </c>
      <c r="K10" s="21" t="n">
        <f aca="false">IF(C10&lt;=0,0,'1. Inputs'!$B$9+'1. Inputs'!$B$10*C10/(C10+'1. Inputs'!$B$11))</f>
        <v>0</v>
      </c>
      <c r="L10" s="21" t="n">
        <f aca="false">IF(D10&lt;=0,0,'1. Inputs'!$B$9+'1. Inputs'!$B$10*D10/(D10+'1. Inputs'!$B$11))</f>
        <v>0</v>
      </c>
      <c r="M10" s="21" t="n">
        <f aca="false">IF(E10&lt;=0,0,'1. Inputs'!$B$9+'1. Inputs'!$B$10*E10/(E10+'1. Inputs'!$B$11))</f>
        <v>0</v>
      </c>
      <c r="N10" s="22" t="n">
        <f aca="false">IF(B10&lt;=0,0,'1. Inputs'!$B$13*(1+'1. Inputs'!$B$14*MIN(B10,'1. Inputs'!$B$15))*'1. Inputs'!$B$31)</f>
        <v>74200</v>
      </c>
      <c r="O10" s="22" t="n">
        <f aca="false">IF(C10&lt;=0,0,'1. Inputs'!$B$13*(1+'1. Inputs'!$B$14*MIN(C10,'1. Inputs'!$B$15))*'1. Inputs'!$B$31)</f>
        <v>0</v>
      </c>
      <c r="P10" s="22" t="n">
        <f aca="false">IF(D10&lt;=0,0,'1. Inputs'!$B$13*(1+'1. Inputs'!$B$14*MIN(D10,'1. Inputs'!$B$15))*'1. Inputs'!$B$31)</f>
        <v>0</v>
      </c>
      <c r="Q10" s="22" t="n">
        <f aca="false">IF(E10&lt;=0,0,'1. Inputs'!$B$13*(1+'1. Inputs'!$B$14*MIN(E10,'1. Inputs'!$B$15))*'1. Inputs'!$B$31)</f>
        <v>0</v>
      </c>
    </row>
    <row r="11" customFormat="false" ht="15" hidden="false" customHeight="false" outlineLevel="0" collapsed="false">
      <c r="A11" s="7" t="n">
        <v>10</v>
      </c>
      <c r="B11" s="19" t="n">
        <f aca="false">MAX(0,$A11-'1. Inputs'!$C$24-'1. Inputs'!$B$30+1)</f>
        <v>4</v>
      </c>
      <c r="C11" s="19" t="n">
        <f aca="false">MAX(0,$A11-'1. Inputs'!$C$25-'1. Inputs'!$B$30+1)</f>
        <v>0</v>
      </c>
      <c r="D11" s="19" t="n">
        <f aca="false">MAX(0,$A11-'1. Inputs'!$C$26-'1. Inputs'!$B$30+1)</f>
        <v>0</v>
      </c>
      <c r="E11" s="19" t="n">
        <f aca="false">MAX(0,$A11-'1. Inputs'!$C$27-'1. Inputs'!$B$30+1)</f>
        <v>0</v>
      </c>
      <c r="F11" s="20" t="n">
        <f aca="false">IF(B11&lt;=0,0,'1. Inputs'!$B$24*'1. Inputs'!$B$5*B11^'1. Inputs'!$B$7/('1. Inputs'!$B$6^'1. Inputs'!$B$7+B11^'1. Inputs'!$B$7))</f>
        <v>35.6288659793814</v>
      </c>
      <c r="G11" s="20" t="n">
        <f aca="false">IF(C11&lt;=0,0,'1. Inputs'!$B$25*'1. Inputs'!$B$5*C11^'1. Inputs'!$B$7/('1. Inputs'!$B$6^'1. Inputs'!$B$7+C11^'1. Inputs'!$B$7))</f>
        <v>0</v>
      </c>
      <c r="H11" s="20" t="n">
        <f aca="false">IF(D11&lt;=0,0,'1. Inputs'!$B$26*'1. Inputs'!$B$5*D11^'1. Inputs'!$B$7/('1. Inputs'!$B$6^'1. Inputs'!$B$7+D11^'1. Inputs'!$B$7))</f>
        <v>0</v>
      </c>
      <c r="I11" s="20" t="n">
        <f aca="false">IF(E11&lt;=0,0,'1. Inputs'!$B$27*'1. Inputs'!$B$5*E11^'1. Inputs'!$B$7/('1. Inputs'!$B$6^'1. Inputs'!$B$7+E11^'1. Inputs'!$B$7))</f>
        <v>0</v>
      </c>
      <c r="J11" s="21" t="n">
        <f aca="false">IF(B11&lt;=0,0,'1. Inputs'!$B$9+'1. Inputs'!$B$10*B11/(B11+'1. Inputs'!$B$11))</f>
        <v>0.148</v>
      </c>
      <c r="K11" s="21" t="n">
        <f aca="false">IF(C11&lt;=0,0,'1. Inputs'!$B$9+'1. Inputs'!$B$10*C11/(C11+'1. Inputs'!$B$11))</f>
        <v>0</v>
      </c>
      <c r="L11" s="21" t="n">
        <f aca="false">IF(D11&lt;=0,0,'1. Inputs'!$B$9+'1. Inputs'!$B$10*D11/(D11+'1. Inputs'!$B$11))</f>
        <v>0</v>
      </c>
      <c r="M11" s="21" t="n">
        <f aca="false">IF(E11&lt;=0,0,'1. Inputs'!$B$9+'1. Inputs'!$B$10*E11/(E11+'1. Inputs'!$B$11))</f>
        <v>0</v>
      </c>
      <c r="N11" s="22" t="n">
        <f aca="false">IF(B11&lt;=0,0,'1. Inputs'!$B$13*(1+'1. Inputs'!$B$14*MIN(B11,'1. Inputs'!$B$15))*'1. Inputs'!$B$31)</f>
        <v>75600</v>
      </c>
      <c r="O11" s="22" t="n">
        <f aca="false">IF(C11&lt;=0,0,'1. Inputs'!$B$13*(1+'1. Inputs'!$B$14*MIN(C11,'1. Inputs'!$B$15))*'1. Inputs'!$B$31)</f>
        <v>0</v>
      </c>
      <c r="P11" s="22" t="n">
        <f aca="false">IF(D11&lt;=0,0,'1. Inputs'!$B$13*(1+'1. Inputs'!$B$14*MIN(D11,'1. Inputs'!$B$15))*'1. Inputs'!$B$31)</f>
        <v>0</v>
      </c>
      <c r="Q11" s="22" t="n">
        <f aca="false">IF(E11&lt;=0,0,'1. Inputs'!$B$13*(1+'1. Inputs'!$B$14*MIN(E11,'1. Inputs'!$B$15))*'1. Inputs'!$B$31)</f>
        <v>0</v>
      </c>
    </row>
    <row r="12" customFormat="false" ht="15" hidden="false" customHeight="false" outlineLevel="0" collapsed="false">
      <c r="A12" s="7" t="n">
        <v>11</v>
      </c>
      <c r="B12" s="19" t="n">
        <f aca="false">MAX(0,$A12-'1. Inputs'!$C$24-'1. Inputs'!$B$30+1)</f>
        <v>5</v>
      </c>
      <c r="C12" s="19" t="n">
        <f aca="false">MAX(0,$A12-'1. Inputs'!$C$25-'1. Inputs'!$B$30+1)</f>
        <v>0</v>
      </c>
      <c r="D12" s="19" t="n">
        <f aca="false">MAX(0,$A12-'1. Inputs'!$C$26-'1. Inputs'!$B$30+1)</f>
        <v>0</v>
      </c>
      <c r="E12" s="19" t="n">
        <f aca="false">MAX(0,$A12-'1. Inputs'!$C$27-'1. Inputs'!$B$30+1)</f>
        <v>0</v>
      </c>
      <c r="F12" s="20" t="n">
        <f aca="false">IF(B12&lt;=0,0,'1. Inputs'!$B$24*'1. Inputs'!$B$5*B12^'1. Inputs'!$B$7/('1. Inputs'!$B$6^'1. Inputs'!$B$7+B12^'1. Inputs'!$B$7))</f>
        <v>50.9433962264151</v>
      </c>
      <c r="G12" s="20" t="n">
        <f aca="false">IF(C12&lt;=0,0,'1. Inputs'!$B$25*'1. Inputs'!$B$5*C12^'1. Inputs'!$B$7/('1. Inputs'!$B$6^'1. Inputs'!$B$7+C12^'1. Inputs'!$B$7))</f>
        <v>0</v>
      </c>
      <c r="H12" s="20" t="n">
        <f aca="false">IF(D12&lt;=0,0,'1. Inputs'!$B$26*'1. Inputs'!$B$5*D12^'1. Inputs'!$B$7/('1. Inputs'!$B$6^'1. Inputs'!$B$7+D12^'1. Inputs'!$B$7))</f>
        <v>0</v>
      </c>
      <c r="I12" s="20" t="n">
        <f aca="false">IF(E12&lt;=0,0,'1. Inputs'!$B$27*'1. Inputs'!$B$5*E12^'1. Inputs'!$B$7/('1. Inputs'!$B$6^'1. Inputs'!$B$7+E12^'1. Inputs'!$B$7))</f>
        <v>0</v>
      </c>
      <c r="J12" s="21" t="n">
        <f aca="false">IF(B12&lt;=0,0,'1. Inputs'!$B$9+'1. Inputs'!$B$10*B12/(B12+'1. Inputs'!$B$11))</f>
        <v>0.154545454545455</v>
      </c>
      <c r="K12" s="21" t="n">
        <f aca="false">IF(C12&lt;=0,0,'1. Inputs'!$B$9+'1. Inputs'!$B$10*C12/(C12+'1. Inputs'!$B$11))</f>
        <v>0</v>
      </c>
      <c r="L12" s="21" t="n">
        <f aca="false">IF(D12&lt;=0,0,'1. Inputs'!$B$9+'1. Inputs'!$B$10*D12/(D12+'1. Inputs'!$B$11))</f>
        <v>0</v>
      </c>
      <c r="M12" s="21" t="n">
        <f aca="false">IF(E12&lt;=0,0,'1. Inputs'!$B$9+'1. Inputs'!$B$10*E12/(E12+'1. Inputs'!$B$11))</f>
        <v>0</v>
      </c>
      <c r="N12" s="22" t="n">
        <f aca="false">IF(B12&lt;=0,0,'1. Inputs'!$B$13*(1+'1. Inputs'!$B$14*MIN(B12,'1. Inputs'!$B$15))*'1. Inputs'!$B$31)</f>
        <v>77000</v>
      </c>
      <c r="O12" s="22" t="n">
        <f aca="false">IF(C12&lt;=0,0,'1. Inputs'!$B$13*(1+'1. Inputs'!$B$14*MIN(C12,'1. Inputs'!$B$15))*'1. Inputs'!$B$31)</f>
        <v>0</v>
      </c>
      <c r="P12" s="22" t="n">
        <f aca="false">IF(D12&lt;=0,0,'1. Inputs'!$B$13*(1+'1. Inputs'!$B$14*MIN(D12,'1. Inputs'!$B$15))*'1. Inputs'!$B$31)</f>
        <v>0</v>
      </c>
      <c r="Q12" s="22" t="n">
        <f aca="false">IF(E12&lt;=0,0,'1. Inputs'!$B$13*(1+'1. Inputs'!$B$14*MIN(E12,'1. Inputs'!$B$15))*'1. Inputs'!$B$31)</f>
        <v>0</v>
      </c>
    </row>
    <row r="13" customFormat="false" ht="15" hidden="false" customHeight="false" outlineLevel="0" collapsed="false">
      <c r="A13" s="7" t="n">
        <v>12</v>
      </c>
      <c r="B13" s="19" t="n">
        <f aca="false">MAX(0,$A13-'1. Inputs'!$C$24-'1. Inputs'!$B$30+1)</f>
        <v>6</v>
      </c>
      <c r="C13" s="19" t="n">
        <f aca="false">MAX(0,$A13-'1. Inputs'!$C$25-'1. Inputs'!$B$30+1)</f>
        <v>1</v>
      </c>
      <c r="D13" s="19" t="n">
        <f aca="false">MAX(0,$A13-'1. Inputs'!$C$26-'1. Inputs'!$B$30+1)</f>
        <v>0</v>
      </c>
      <c r="E13" s="19" t="n">
        <f aca="false">MAX(0,$A13-'1. Inputs'!$C$27-'1. Inputs'!$B$30+1)</f>
        <v>0</v>
      </c>
      <c r="F13" s="20" t="n">
        <f aca="false">IF(B13&lt;=0,0,'1. Inputs'!$B$24*'1. Inputs'!$B$5*B13^'1. Inputs'!$B$7/('1. Inputs'!$B$6^'1. Inputs'!$B$7+B13^'1. Inputs'!$B$7))</f>
        <v>66.4615384615385</v>
      </c>
      <c r="G13" s="20" t="n">
        <f aca="false">IF(C13&lt;=0,0,'1. Inputs'!$B$25*'1. Inputs'!$B$5*C13^'1. Inputs'!$B$7/('1. Inputs'!$B$6^'1. Inputs'!$B$7+C13^'1. Inputs'!$B$7))</f>
        <v>3.51219512195122</v>
      </c>
      <c r="H13" s="20" t="n">
        <f aca="false">IF(D13&lt;=0,0,'1. Inputs'!$B$26*'1. Inputs'!$B$5*D13^'1. Inputs'!$B$7/('1. Inputs'!$B$6^'1. Inputs'!$B$7+D13^'1. Inputs'!$B$7))</f>
        <v>0</v>
      </c>
      <c r="I13" s="20" t="n">
        <f aca="false">IF(E13&lt;=0,0,'1. Inputs'!$B$27*'1. Inputs'!$B$5*E13^'1. Inputs'!$B$7/('1. Inputs'!$B$6^'1. Inputs'!$B$7+E13^'1. Inputs'!$B$7))</f>
        <v>0</v>
      </c>
      <c r="J13" s="21" t="n">
        <f aca="false">IF(B13&lt;=0,0,'1. Inputs'!$B$9+'1. Inputs'!$B$10*B13/(B13+'1. Inputs'!$B$11))</f>
        <v>0.16</v>
      </c>
      <c r="K13" s="21" t="n">
        <f aca="false">IF(C13&lt;=0,0,'1. Inputs'!$B$9+'1. Inputs'!$B$10*C13/(C13+'1. Inputs'!$B$11))</f>
        <v>0.117142857142857</v>
      </c>
      <c r="L13" s="21" t="n">
        <f aca="false">IF(D13&lt;=0,0,'1. Inputs'!$B$9+'1. Inputs'!$B$10*D13/(D13+'1. Inputs'!$B$11))</f>
        <v>0</v>
      </c>
      <c r="M13" s="21" t="n">
        <f aca="false">IF(E13&lt;=0,0,'1. Inputs'!$B$9+'1. Inputs'!$B$10*E13/(E13+'1. Inputs'!$B$11))</f>
        <v>0</v>
      </c>
      <c r="N13" s="22" t="n">
        <f aca="false">IF(B13&lt;=0,0,'1. Inputs'!$B$13*(1+'1. Inputs'!$B$14*MIN(B13,'1. Inputs'!$B$15))*'1. Inputs'!$B$31)</f>
        <v>78400</v>
      </c>
      <c r="O13" s="22" t="n">
        <f aca="false">IF(C13&lt;=0,0,'1. Inputs'!$B$13*(1+'1. Inputs'!$B$14*MIN(C13,'1. Inputs'!$B$15))*'1. Inputs'!$B$31)</f>
        <v>71400</v>
      </c>
      <c r="P13" s="22" t="n">
        <f aca="false">IF(D13&lt;=0,0,'1. Inputs'!$B$13*(1+'1. Inputs'!$B$14*MIN(D13,'1. Inputs'!$B$15))*'1. Inputs'!$B$31)</f>
        <v>0</v>
      </c>
      <c r="Q13" s="22" t="n">
        <f aca="false">IF(E13&lt;=0,0,'1. Inputs'!$B$13*(1+'1. Inputs'!$B$14*MIN(E13,'1. Inputs'!$B$15))*'1. Inputs'!$B$31)</f>
        <v>0</v>
      </c>
    </row>
    <row r="14" customFormat="false" ht="15" hidden="false" customHeight="false" outlineLevel="0" collapsed="false">
      <c r="A14" s="7" t="n">
        <v>13</v>
      </c>
      <c r="B14" s="19" t="n">
        <f aca="false">MAX(0,$A14-'1. Inputs'!$C$24-'1. Inputs'!$B$30+1)</f>
        <v>7</v>
      </c>
      <c r="C14" s="19" t="n">
        <f aca="false">MAX(0,$A14-'1. Inputs'!$C$25-'1. Inputs'!$B$30+1)</f>
        <v>2</v>
      </c>
      <c r="D14" s="19" t="n">
        <f aca="false">MAX(0,$A14-'1. Inputs'!$C$26-'1. Inputs'!$B$30+1)</f>
        <v>0</v>
      </c>
      <c r="E14" s="19" t="n">
        <f aca="false">MAX(0,$A14-'1. Inputs'!$C$27-'1. Inputs'!$B$30+1)</f>
        <v>0</v>
      </c>
      <c r="F14" s="20" t="n">
        <f aca="false">IF(B14&lt;=0,0,'1. Inputs'!$B$24*'1. Inputs'!$B$5*B14^'1. Inputs'!$B$7/('1. Inputs'!$B$6^'1. Inputs'!$B$7+B14^'1. Inputs'!$B$7))</f>
        <v>81.4153846153846</v>
      </c>
      <c r="G14" s="20" t="n">
        <f aca="false">IF(C14&lt;=0,0,'1. Inputs'!$B$25*'1. Inputs'!$B$5*C14^'1. Inputs'!$B$7/('1. Inputs'!$B$6^'1. Inputs'!$B$7+C14^'1. Inputs'!$B$7))</f>
        <v>13.5529411764706</v>
      </c>
      <c r="H14" s="20" t="n">
        <f aca="false">IF(D14&lt;=0,0,'1. Inputs'!$B$26*'1. Inputs'!$B$5*D14^'1. Inputs'!$B$7/('1. Inputs'!$B$6^'1. Inputs'!$B$7+D14^'1. Inputs'!$B$7))</f>
        <v>0</v>
      </c>
      <c r="I14" s="20" t="n">
        <f aca="false">IF(E14&lt;=0,0,'1. Inputs'!$B$27*'1. Inputs'!$B$5*E14^'1. Inputs'!$B$7/('1. Inputs'!$B$6^'1. Inputs'!$B$7+E14^'1. Inputs'!$B$7))</f>
        <v>0</v>
      </c>
      <c r="J14" s="21" t="n">
        <f aca="false">IF(B14&lt;=0,0,'1. Inputs'!$B$9+'1. Inputs'!$B$10*B14/(B14+'1. Inputs'!$B$11))</f>
        <v>0.164615384615385</v>
      </c>
      <c r="K14" s="21" t="n">
        <f aca="false">IF(C14&lt;=0,0,'1. Inputs'!$B$9+'1. Inputs'!$B$10*C14/(C14+'1. Inputs'!$B$11))</f>
        <v>0.13</v>
      </c>
      <c r="L14" s="21" t="n">
        <f aca="false">IF(D14&lt;=0,0,'1. Inputs'!$B$9+'1. Inputs'!$B$10*D14/(D14+'1. Inputs'!$B$11))</f>
        <v>0</v>
      </c>
      <c r="M14" s="21" t="n">
        <f aca="false">IF(E14&lt;=0,0,'1. Inputs'!$B$9+'1. Inputs'!$B$10*E14/(E14+'1. Inputs'!$B$11))</f>
        <v>0</v>
      </c>
      <c r="N14" s="22" t="n">
        <f aca="false">IF(B14&lt;=0,0,'1. Inputs'!$B$13*(1+'1. Inputs'!$B$14*MIN(B14,'1. Inputs'!$B$15))*'1. Inputs'!$B$31)</f>
        <v>79800</v>
      </c>
      <c r="O14" s="22" t="n">
        <f aca="false">IF(C14&lt;=0,0,'1. Inputs'!$B$13*(1+'1. Inputs'!$B$14*MIN(C14,'1. Inputs'!$B$15))*'1. Inputs'!$B$31)</f>
        <v>72800</v>
      </c>
      <c r="P14" s="22" t="n">
        <f aca="false">IF(D14&lt;=0,0,'1. Inputs'!$B$13*(1+'1. Inputs'!$B$14*MIN(D14,'1. Inputs'!$B$15))*'1. Inputs'!$B$31)</f>
        <v>0</v>
      </c>
      <c r="Q14" s="22" t="n">
        <f aca="false">IF(E14&lt;=0,0,'1. Inputs'!$B$13*(1+'1. Inputs'!$B$14*MIN(E14,'1. Inputs'!$B$15))*'1. Inputs'!$B$31)</f>
        <v>0</v>
      </c>
    </row>
    <row r="15" customFormat="false" ht="15" hidden="false" customHeight="false" outlineLevel="0" collapsed="false">
      <c r="A15" s="7" t="n">
        <v>14</v>
      </c>
      <c r="B15" s="19" t="n">
        <f aca="false">MAX(0,$A15-'1. Inputs'!$C$24-'1. Inputs'!$B$30+1)</f>
        <v>8</v>
      </c>
      <c r="C15" s="19" t="n">
        <f aca="false">MAX(0,$A15-'1. Inputs'!$C$25-'1. Inputs'!$B$30+1)</f>
        <v>3</v>
      </c>
      <c r="D15" s="19" t="n">
        <f aca="false">MAX(0,$A15-'1. Inputs'!$C$26-'1. Inputs'!$B$30+1)</f>
        <v>0</v>
      </c>
      <c r="E15" s="19" t="n">
        <f aca="false">MAX(0,$A15-'1. Inputs'!$C$27-'1. Inputs'!$B$30+1)</f>
        <v>0</v>
      </c>
      <c r="F15" s="20" t="n">
        <f aca="false">IF(B15&lt;=0,0,'1. Inputs'!$B$24*'1. Inputs'!$B$5*B15^'1. Inputs'!$B$7/('1. Inputs'!$B$6^'1. Inputs'!$B$7+B15^'1. Inputs'!$B$7))</f>
        <v>95.3379310344828</v>
      </c>
      <c r="G15" s="20" t="n">
        <f aca="false">IF(C15&lt;=0,0,'1. Inputs'!$B$25*'1. Inputs'!$B$5*C15^'1. Inputs'!$B$7/('1. Inputs'!$B$6^'1. Inputs'!$B$7+C15^'1. Inputs'!$B$7))</f>
        <v>28.8</v>
      </c>
      <c r="H15" s="20" t="n">
        <f aca="false">IF(D15&lt;=0,0,'1. Inputs'!$B$26*'1. Inputs'!$B$5*D15^'1. Inputs'!$B$7/('1. Inputs'!$B$6^'1. Inputs'!$B$7+D15^'1. Inputs'!$B$7))</f>
        <v>0</v>
      </c>
      <c r="I15" s="20" t="n">
        <f aca="false">IF(E15&lt;=0,0,'1. Inputs'!$B$27*'1. Inputs'!$B$5*E15^'1. Inputs'!$B$7/('1. Inputs'!$B$6^'1. Inputs'!$B$7+E15^'1. Inputs'!$B$7))</f>
        <v>0</v>
      </c>
      <c r="J15" s="21" t="n">
        <f aca="false">IF(B15&lt;=0,0,'1. Inputs'!$B$9+'1. Inputs'!$B$10*B15/(B15+'1. Inputs'!$B$11))</f>
        <v>0.168571428571429</v>
      </c>
      <c r="K15" s="21" t="n">
        <f aca="false">IF(C15&lt;=0,0,'1. Inputs'!$B$9+'1. Inputs'!$B$10*C15/(C15+'1. Inputs'!$B$11))</f>
        <v>0.14</v>
      </c>
      <c r="L15" s="21" t="n">
        <f aca="false">IF(D15&lt;=0,0,'1. Inputs'!$B$9+'1. Inputs'!$B$10*D15/(D15+'1. Inputs'!$B$11))</f>
        <v>0</v>
      </c>
      <c r="M15" s="21" t="n">
        <f aca="false">IF(E15&lt;=0,0,'1. Inputs'!$B$9+'1. Inputs'!$B$10*E15/(E15+'1. Inputs'!$B$11))</f>
        <v>0</v>
      </c>
      <c r="N15" s="22" t="n">
        <f aca="false">IF(B15&lt;=0,0,'1. Inputs'!$B$13*(1+'1. Inputs'!$B$14*MIN(B15,'1. Inputs'!$B$15))*'1. Inputs'!$B$31)</f>
        <v>81200</v>
      </c>
      <c r="O15" s="22" t="n">
        <f aca="false">IF(C15&lt;=0,0,'1. Inputs'!$B$13*(1+'1. Inputs'!$B$14*MIN(C15,'1. Inputs'!$B$15))*'1. Inputs'!$B$31)</f>
        <v>74200</v>
      </c>
      <c r="P15" s="22" t="n">
        <f aca="false">IF(D15&lt;=0,0,'1. Inputs'!$B$13*(1+'1. Inputs'!$B$14*MIN(D15,'1. Inputs'!$B$15))*'1. Inputs'!$B$31)</f>
        <v>0</v>
      </c>
      <c r="Q15" s="22" t="n">
        <f aca="false">IF(E15&lt;=0,0,'1. Inputs'!$B$13*(1+'1. Inputs'!$B$14*MIN(E15,'1. Inputs'!$B$15))*'1. Inputs'!$B$31)</f>
        <v>0</v>
      </c>
    </row>
    <row r="16" customFormat="false" ht="15" hidden="false" customHeight="false" outlineLevel="0" collapsed="false">
      <c r="A16" s="7" t="n">
        <v>15</v>
      </c>
      <c r="B16" s="19" t="n">
        <f aca="false">MAX(0,$A16-'1. Inputs'!$C$24-'1. Inputs'!$B$30+1)</f>
        <v>9</v>
      </c>
      <c r="C16" s="19" t="n">
        <f aca="false">MAX(0,$A16-'1. Inputs'!$C$25-'1. Inputs'!$B$30+1)</f>
        <v>4</v>
      </c>
      <c r="D16" s="19" t="n">
        <f aca="false">MAX(0,$A16-'1. Inputs'!$C$26-'1. Inputs'!$B$30+1)</f>
        <v>0</v>
      </c>
      <c r="E16" s="19" t="n">
        <f aca="false">MAX(0,$A16-'1. Inputs'!$C$27-'1. Inputs'!$B$30+1)</f>
        <v>0</v>
      </c>
      <c r="F16" s="20" t="n">
        <f aca="false">IF(B16&lt;=0,0,'1. Inputs'!$B$24*'1. Inputs'!$B$5*B16^'1. Inputs'!$B$7/('1. Inputs'!$B$6^'1. Inputs'!$B$7+B16^'1. Inputs'!$B$7))</f>
        <v>108</v>
      </c>
      <c r="G16" s="20" t="n">
        <f aca="false">IF(C16&lt;=0,0,'1. Inputs'!$B$25*'1. Inputs'!$B$5*C16^'1. Inputs'!$B$7/('1. Inputs'!$B$6^'1. Inputs'!$B$7+C16^'1. Inputs'!$B$7))</f>
        <v>47.5051546391753</v>
      </c>
      <c r="H16" s="20" t="n">
        <f aca="false">IF(D16&lt;=0,0,'1. Inputs'!$B$26*'1. Inputs'!$B$5*D16^'1. Inputs'!$B$7/('1. Inputs'!$B$6^'1. Inputs'!$B$7+D16^'1. Inputs'!$B$7))</f>
        <v>0</v>
      </c>
      <c r="I16" s="20" t="n">
        <f aca="false">IF(E16&lt;=0,0,'1. Inputs'!$B$27*'1. Inputs'!$B$5*E16^'1. Inputs'!$B$7/('1. Inputs'!$B$6^'1. Inputs'!$B$7+E16^'1. Inputs'!$B$7))</f>
        <v>0</v>
      </c>
      <c r="J16" s="21" t="n">
        <f aca="false">IF(B16&lt;=0,0,'1. Inputs'!$B$9+'1. Inputs'!$B$10*B16/(B16+'1. Inputs'!$B$11))</f>
        <v>0.172</v>
      </c>
      <c r="K16" s="21" t="n">
        <f aca="false">IF(C16&lt;=0,0,'1. Inputs'!$B$9+'1. Inputs'!$B$10*C16/(C16+'1. Inputs'!$B$11))</f>
        <v>0.148</v>
      </c>
      <c r="L16" s="21" t="n">
        <f aca="false">IF(D16&lt;=0,0,'1. Inputs'!$B$9+'1. Inputs'!$B$10*D16/(D16+'1. Inputs'!$B$11))</f>
        <v>0</v>
      </c>
      <c r="M16" s="21" t="n">
        <f aca="false">IF(E16&lt;=0,0,'1. Inputs'!$B$9+'1. Inputs'!$B$10*E16/(E16+'1. Inputs'!$B$11))</f>
        <v>0</v>
      </c>
      <c r="N16" s="22" t="n">
        <f aca="false">IF(B16&lt;=0,0,'1. Inputs'!$B$13*(1+'1. Inputs'!$B$14*MIN(B16,'1. Inputs'!$B$15))*'1. Inputs'!$B$31)</f>
        <v>82600</v>
      </c>
      <c r="O16" s="22" t="n">
        <f aca="false">IF(C16&lt;=0,0,'1. Inputs'!$B$13*(1+'1. Inputs'!$B$14*MIN(C16,'1. Inputs'!$B$15))*'1. Inputs'!$B$31)</f>
        <v>75600</v>
      </c>
      <c r="P16" s="22" t="n">
        <f aca="false">IF(D16&lt;=0,0,'1. Inputs'!$B$13*(1+'1. Inputs'!$B$14*MIN(D16,'1. Inputs'!$B$15))*'1. Inputs'!$B$31)</f>
        <v>0</v>
      </c>
      <c r="Q16" s="22" t="n">
        <f aca="false">IF(E16&lt;=0,0,'1. Inputs'!$B$13*(1+'1. Inputs'!$B$14*MIN(E16,'1. Inputs'!$B$15))*'1. Inputs'!$B$31)</f>
        <v>0</v>
      </c>
    </row>
    <row r="17" customFormat="false" ht="15" hidden="false" customHeight="false" outlineLevel="0" collapsed="false">
      <c r="A17" s="7" t="n">
        <v>16</v>
      </c>
      <c r="B17" s="19" t="n">
        <f aca="false">MAX(0,$A17-'1. Inputs'!$C$24-'1. Inputs'!$B$30+1)</f>
        <v>10</v>
      </c>
      <c r="C17" s="19" t="n">
        <f aca="false">MAX(0,$A17-'1. Inputs'!$C$25-'1. Inputs'!$B$30+1)</f>
        <v>5</v>
      </c>
      <c r="D17" s="19" t="n">
        <f aca="false">MAX(0,$A17-'1. Inputs'!$C$26-'1. Inputs'!$B$30+1)</f>
        <v>0</v>
      </c>
      <c r="E17" s="19" t="n">
        <f aca="false">MAX(0,$A17-'1. Inputs'!$C$27-'1. Inputs'!$B$30+1)</f>
        <v>0</v>
      </c>
      <c r="F17" s="20" t="n">
        <f aca="false">IF(B17&lt;=0,0,'1. Inputs'!$B$24*'1. Inputs'!$B$5*B17^'1. Inputs'!$B$7/('1. Inputs'!$B$6^'1. Inputs'!$B$7+B17^'1. Inputs'!$B$7))</f>
        <v>119.337016574586</v>
      </c>
      <c r="G17" s="20" t="n">
        <f aca="false">IF(C17&lt;=0,0,'1. Inputs'!$B$25*'1. Inputs'!$B$5*C17^'1. Inputs'!$B$7/('1. Inputs'!$B$6^'1. Inputs'!$B$7+C17^'1. Inputs'!$B$7))</f>
        <v>67.9245283018868</v>
      </c>
      <c r="H17" s="20" t="n">
        <f aca="false">IF(D17&lt;=0,0,'1. Inputs'!$B$26*'1. Inputs'!$B$5*D17^'1. Inputs'!$B$7/('1. Inputs'!$B$6^'1. Inputs'!$B$7+D17^'1. Inputs'!$B$7))</f>
        <v>0</v>
      </c>
      <c r="I17" s="20" t="n">
        <f aca="false">IF(E17&lt;=0,0,'1. Inputs'!$B$27*'1. Inputs'!$B$5*E17^'1. Inputs'!$B$7/('1. Inputs'!$B$6^'1. Inputs'!$B$7+E17^'1. Inputs'!$B$7))</f>
        <v>0</v>
      </c>
      <c r="J17" s="21" t="n">
        <f aca="false">IF(B17&lt;=0,0,'1. Inputs'!$B$9+'1. Inputs'!$B$10*B17/(B17+'1. Inputs'!$B$11))</f>
        <v>0.175</v>
      </c>
      <c r="K17" s="21" t="n">
        <f aca="false">IF(C17&lt;=0,0,'1. Inputs'!$B$9+'1. Inputs'!$B$10*C17/(C17+'1. Inputs'!$B$11))</f>
        <v>0.154545454545455</v>
      </c>
      <c r="L17" s="21" t="n">
        <f aca="false">IF(D17&lt;=0,0,'1. Inputs'!$B$9+'1. Inputs'!$B$10*D17/(D17+'1. Inputs'!$B$11))</f>
        <v>0</v>
      </c>
      <c r="M17" s="21" t="n">
        <f aca="false">IF(E17&lt;=0,0,'1. Inputs'!$B$9+'1. Inputs'!$B$10*E17/(E17+'1. Inputs'!$B$11))</f>
        <v>0</v>
      </c>
      <c r="N17" s="22" t="n">
        <f aca="false">IF(B17&lt;=0,0,'1. Inputs'!$B$13*(1+'1. Inputs'!$B$14*MIN(B17,'1. Inputs'!$B$15))*'1. Inputs'!$B$31)</f>
        <v>84000</v>
      </c>
      <c r="O17" s="22" t="n">
        <f aca="false">IF(C17&lt;=0,0,'1. Inputs'!$B$13*(1+'1. Inputs'!$B$14*MIN(C17,'1. Inputs'!$B$15))*'1. Inputs'!$B$31)</f>
        <v>77000</v>
      </c>
      <c r="P17" s="22" t="n">
        <f aca="false">IF(D17&lt;=0,0,'1. Inputs'!$B$13*(1+'1. Inputs'!$B$14*MIN(D17,'1. Inputs'!$B$15))*'1. Inputs'!$B$31)</f>
        <v>0</v>
      </c>
      <c r="Q17" s="22" t="n">
        <f aca="false">IF(E17&lt;=0,0,'1. Inputs'!$B$13*(1+'1. Inputs'!$B$14*MIN(E17,'1. Inputs'!$B$15))*'1. Inputs'!$B$31)</f>
        <v>0</v>
      </c>
    </row>
    <row r="18" customFormat="false" ht="15" hidden="false" customHeight="false" outlineLevel="0" collapsed="false">
      <c r="A18" s="7" t="n">
        <v>17</v>
      </c>
      <c r="B18" s="19" t="n">
        <f aca="false">MAX(0,$A18-'1. Inputs'!$C$24-'1. Inputs'!$B$30+1)</f>
        <v>11</v>
      </c>
      <c r="C18" s="19" t="n">
        <f aca="false">MAX(0,$A18-'1. Inputs'!$C$25-'1. Inputs'!$B$30+1)</f>
        <v>6</v>
      </c>
      <c r="D18" s="19" t="n">
        <f aca="false">MAX(0,$A18-'1. Inputs'!$C$26-'1. Inputs'!$B$30+1)</f>
        <v>1</v>
      </c>
      <c r="E18" s="19" t="n">
        <f aca="false">MAX(0,$A18-'1. Inputs'!$C$27-'1. Inputs'!$B$30+1)</f>
        <v>0</v>
      </c>
      <c r="F18" s="20" t="n">
        <f aca="false">IF(B18&lt;=0,0,'1. Inputs'!$B$24*'1. Inputs'!$B$5*B18^'1. Inputs'!$B$7/('1. Inputs'!$B$6^'1. Inputs'!$B$7+B18^'1. Inputs'!$B$7))</f>
        <v>129.386138613861</v>
      </c>
      <c r="G18" s="20" t="n">
        <f aca="false">IF(C18&lt;=0,0,'1. Inputs'!$B$25*'1. Inputs'!$B$5*C18^'1. Inputs'!$B$7/('1. Inputs'!$B$6^'1. Inputs'!$B$7+C18^'1. Inputs'!$B$7))</f>
        <v>88.6153846153846</v>
      </c>
      <c r="H18" s="20" t="n">
        <f aca="false">IF(D18&lt;=0,0,'1. Inputs'!$B$26*'1. Inputs'!$B$5*D18^'1. Inputs'!$B$7/('1. Inputs'!$B$6^'1. Inputs'!$B$7+D18^'1. Inputs'!$B$7))</f>
        <v>1.53658536585366</v>
      </c>
      <c r="I18" s="20" t="n">
        <f aca="false">IF(E18&lt;=0,0,'1. Inputs'!$B$27*'1. Inputs'!$B$5*E18^'1. Inputs'!$B$7/('1. Inputs'!$B$6^'1. Inputs'!$B$7+E18^'1. Inputs'!$B$7))</f>
        <v>0</v>
      </c>
      <c r="J18" s="21" t="n">
        <f aca="false">IF(B18&lt;=0,0,'1. Inputs'!$B$9+'1. Inputs'!$B$10*B18/(B18+'1. Inputs'!$B$11))</f>
        <v>0.177647058823529</v>
      </c>
      <c r="K18" s="21" t="n">
        <f aca="false">IF(C18&lt;=0,0,'1. Inputs'!$B$9+'1. Inputs'!$B$10*C18/(C18+'1. Inputs'!$B$11))</f>
        <v>0.16</v>
      </c>
      <c r="L18" s="21" t="n">
        <f aca="false">IF(D18&lt;=0,0,'1. Inputs'!$B$9+'1. Inputs'!$B$10*D18/(D18+'1. Inputs'!$B$11))</f>
        <v>0.117142857142857</v>
      </c>
      <c r="M18" s="21" t="n">
        <f aca="false">IF(E18&lt;=0,0,'1. Inputs'!$B$9+'1. Inputs'!$B$10*E18/(E18+'1. Inputs'!$B$11))</f>
        <v>0</v>
      </c>
      <c r="N18" s="22" t="n">
        <f aca="false">IF(B18&lt;=0,0,'1. Inputs'!$B$13*(1+'1. Inputs'!$B$14*MIN(B18,'1. Inputs'!$B$15))*'1. Inputs'!$B$31)</f>
        <v>85400</v>
      </c>
      <c r="O18" s="22" t="n">
        <f aca="false">IF(C18&lt;=0,0,'1. Inputs'!$B$13*(1+'1. Inputs'!$B$14*MIN(C18,'1. Inputs'!$B$15))*'1. Inputs'!$B$31)</f>
        <v>78400</v>
      </c>
      <c r="P18" s="22" t="n">
        <f aca="false">IF(D18&lt;=0,0,'1. Inputs'!$B$13*(1+'1. Inputs'!$B$14*MIN(D18,'1. Inputs'!$B$15))*'1. Inputs'!$B$31)</f>
        <v>71400</v>
      </c>
      <c r="Q18" s="22" t="n">
        <f aca="false">IF(E18&lt;=0,0,'1. Inputs'!$B$13*(1+'1. Inputs'!$B$14*MIN(E18,'1. Inputs'!$B$15))*'1. Inputs'!$B$31)</f>
        <v>0</v>
      </c>
    </row>
    <row r="19" customFormat="false" ht="15" hidden="false" customHeight="false" outlineLevel="0" collapsed="false">
      <c r="A19" s="7" t="n">
        <v>18</v>
      </c>
      <c r="B19" s="19" t="n">
        <f aca="false">MAX(0,$A19-'1. Inputs'!$C$24-'1. Inputs'!$B$30+1)</f>
        <v>12</v>
      </c>
      <c r="C19" s="19" t="n">
        <f aca="false">MAX(0,$A19-'1. Inputs'!$C$25-'1. Inputs'!$B$30+1)</f>
        <v>7</v>
      </c>
      <c r="D19" s="19" t="n">
        <f aca="false">MAX(0,$A19-'1. Inputs'!$C$26-'1. Inputs'!$B$30+1)</f>
        <v>2</v>
      </c>
      <c r="E19" s="19" t="n">
        <f aca="false">MAX(0,$A19-'1. Inputs'!$C$27-'1. Inputs'!$B$30+1)</f>
        <v>1</v>
      </c>
      <c r="F19" s="20" t="n">
        <f aca="false">IF(B19&lt;=0,0,'1. Inputs'!$B$24*'1. Inputs'!$B$5*B19^'1. Inputs'!$B$7/('1. Inputs'!$B$6^'1. Inputs'!$B$7+B19^'1. Inputs'!$B$7))</f>
        <v>138.24</v>
      </c>
      <c r="G19" s="20" t="n">
        <f aca="false">IF(C19&lt;=0,0,'1. Inputs'!$B$25*'1. Inputs'!$B$5*C19^'1. Inputs'!$B$7/('1. Inputs'!$B$6^'1. Inputs'!$B$7+C19^'1. Inputs'!$B$7))</f>
        <v>108.553846153846</v>
      </c>
      <c r="H19" s="20" t="n">
        <f aca="false">IF(D19&lt;=0,0,'1. Inputs'!$B$26*'1. Inputs'!$B$5*D19^'1. Inputs'!$B$7/('1. Inputs'!$B$6^'1. Inputs'!$B$7+D19^'1. Inputs'!$B$7))</f>
        <v>5.92941176470588</v>
      </c>
      <c r="I19" s="20" t="n">
        <f aca="false">IF(E19&lt;=0,0,'1. Inputs'!$B$27*'1. Inputs'!$B$5*E19^'1. Inputs'!$B$7/('1. Inputs'!$B$6^'1. Inputs'!$B$7+E19^'1. Inputs'!$B$7))</f>
        <v>1.09756097560976</v>
      </c>
      <c r="J19" s="21" t="n">
        <f aca="false">IF(B19&lt;=0,0,'1. Inputs'!$B$9+'1. Inputs'!$B$10*B19/(B19+'1. Inputs'!$B$11))</f>
        <v>0.18</v>
      </c>
      <c r="K19" s="21" t="n">
        <f aca="false">IF(C19&lt;=0,0,'1. Inputs'!$B$9+'1. Inputs'!$B$10*C19/(C19+'1. Inputs'!$B$11))</f>
        <v>0.164615384615385</v>
      </c>
      <c r="L19" s="21" t="n">
        <f aca="false">IF(D19&lt;=0,0,'1. Inputs'!$B$9+'1. Inputs'!$B$10*D19/(D19+'1. Inputs'!$B$11))</f>
        <v>0.13</v>
      </c>
      <c r="M19" s="21" t="n">
        <f aca="false">IF(E19&lt;=0,0,'1. Inputs'!$B$9+'1. Inputs'!$B$10*E19/(E19+'1. Inputs'!$B$11))</f>
        <v>0.117142857142857</v>
      </c>
      <c r="N19" s="22" t="n">
        <f aca="false">IF(B19&lt;=0,0,'1. Inputs'!$B$13*(1+'1. Inputs'!$B$14*MIN(B19,'1. Inputs'!$B$15))*'1. Inputs'!$B$31)</f>
        <v>86800</v>
      </c>
      <c r="O19" s="22" t="n">
        <f aca="false">IF(C19&lt;=0,0,'1. Inputs'!$B$13*(1+'1. Inputs'!$B$14*MIN(C19,'1. Inputs'!$B$15))*'1. Inputs'!$B$31)</f>
        <v>79800</v>
      </c>
      <c r="P19" s="22" t="n">
        <f aca="false">IF(D19&lt;=0,0,'1. Inputs'!$B$13*(1+'1. Inputs'!$B$14*MIN(D19,'1. Inputs'!$B$15))*'1. Inputs'!$B$31)</f>
        <v>72800</v>
      </c>
      <c r="Q19" s="22" t="n">
        <f aca="false">IF(E19&lt;=0,0,'1. Inputs'!$B$13*(1+'1. Inputs'!$B$14*MIN(E19,'1. Inputs'!$B$15))*'1. Inputs'!$B$31)</f>
        <v>71400</v>
      </c>
    </row>
    <row r="20" customFormat="false" ht="15" hidden="false" customHeight="false" outlineLevel="0" collapsed="false">
      <c r="A20" s="7" t="n">
        <v>19</v>
      </c>
      <c r="B20" s="19" t="n">
        <f aca="false">MAX(0,$A20-'1. Inputs'!$C$24-'1. Inputs'!$B$30+1)</f>
        <v>13</v>
      </c>
      <c r="C20" s="19" t="n">
        <f aca="false">MAX(0,$A20-'1. Inputs'!$C$25-'1. Inputs'!$B$30+1)</f>
        <v>8</v>
      </c>
      <c r="D20" s="19" t="n">
        <f aca="false">MAX(0,$A20-'1. Inputs'!$C$26-'1. Inputs'!$B$30+1)</f>
        <v>3</v>
      </c>
      <c r="E20" s="19" t="n">
        <f aca="false">MAX(0,$A20-'1. Inputs'!$C$27-'1. Inputs'!$B$30+1)</f>
        <v>2</v>
      </c>
      <c r="F20" s="20" t="n">
        <f aca="false">IF(B20&lt;=0,0,'1. Inputs'!$B$24*'1. Inputs'!$B$5*B20^'1. Inputs'!$B$7/('1. Inputs'!$B$6^'1. Inputs'!$B$7+B20^'1. Inputs'!$B$7))</f>
        <v>146.016</v>
      </c>
      <c r="G20" s="20" t="n">
        <f aca="false">IF(C20&lt;=0,0,'1. Inputs'!$B$25*'1. Inputs'!$B$5*C20^'1. Inputs'!$B$7/('1. Inputs'!$B$6^'1. Inputs'!$B$7+C20^'1. Inputs'!$B$7))</f>
        <v>127.11724137931</v>
      </c>
      <c r="H20" s="20" t="n">
        <f aca="false">IF(D20&lt;=0,0,'1. Inputs'!$B$26*'1. Inputs'!$B$5*D20^'1. Inputs'!$B$7/('1. Inputs'!$B$6^'1. Inputs'!$B$7+D20^'1. Inputs'!$B$7))</f>
        <v>12.6</v>
      </c>
      <c r="I20" s="20" t="n">
        <f aca="false">IF(E20&lt;=0,0,'1. Inputs'!$B$27*'1. Inputs'!$B$5*E20^'1. Inputs'!$B$7/('1. Inputs'!$B$6^'1. Inputs'!$B$7+E20^'1. Inputs'!$B$7))</f>
        <v>4.23529411764706</v>
      </c>
      <c r="J20" s="21" t="n">
        <f aca="false">IF(B20&lt;=0,0,'1. Inputs'!$B$9+'1. Inputs'!$B$10*B20/(B20+'1. Inputs'!$B$11))</f>
        <v>0.182105263157895</v>
      </c>
      <c r="K20" s="21" t="n">
        <f aca="false">IF(C20&lt;=0,0,'1. Inputs'!$B$9+'1. Inputs'!$B$10*C20/(C20+'1. Inputs'!$B$11))</f>
        <v>0.168571428571429</v>
      </c>
      <c r="L20" s="21" t="n">
        <f aca="false">IF(D20&lt;=0,0,'1. Inputs'!$B$9+'1. Inputs'!$B$10*D20/(D20+'1. Inputs'!$B$11))</f>
        <v>0.14</v>
      </c>
      <c r="M20" s="21" t="n">
        <f aca="false">IF(E20&lt;=0,0,'1. Inputs'!$B$9+'1. Inputs'!$B$10*E20/(E20+'1. Inputs'!$B$11))</f>
        <v>0.13</v>
      </c>
      <c r="N20" s="22" t="n">
        <f aca="false">IF(B20&lt;=0,0,'1. Inputs'!$B$13*(1+'1. Inputs'!$B$14*MIN(B20,'1. Inputs'!$B$15))*'1. Inputs'!$B$31)</f>
        <v>88200</v>
      </c>
      <c r="O20" s="22" t="n">
        <f aca="false">IF(C20&lt;=0,0,'1. Inputs'!$B$13*(1+'1. Inputs'!$B$14*MIN(C20,'1. Inputs'!$B$15))*'1. Inputs'!$B$31)</f>
        <v>81200</v>
      </c>
      <c r="P20" s="22" t="n">
        <f aca="false">IF(D20&lt;=0,0,'1. Inputs'!$B$13*(1+'1. Inputs'!$B$14*MIN(D20,'1. Inputs'!$B$15))*'1. Inputs'!$B$31)</f>
        <v>74200</v>
      </c>
      <c r="Q20" s="22" t="n">
        <f aca="false">IF(E20&lt;=0,0,'1. Inputs'!$B$13*(1+'1. Inputs'!$B$14*MIN(E20,'1. Inputs'!$B$15))*'1. Inputs'!$B$31)</f>
        <v>72800</v>
      </c>
    </row>
    <row r="21" customFormat="false" ht="15" hidden="false" customHeight="false" outlineLevel="0" collapsed="false">
      <c r="A21" s="7" t="n">
        <v>20</v>
      </c>
      <c r="B21" s="19" t="n">
        <f aca="false">MAX(0,$A21-'1. Inputs'!$C$24-'1. Inputs'!$B$30+1)</f>
        <v>14</v>
      </c>
      <c r="C21" s="19" t="n">
        <f aca="false">MAX(0,$A21-'1. Inputs'!$C$25-'1. Inputs'!$B$30+1)</f>
        <v>9</v>
      </c>
      <c r="D21" s="19" t="n">
        <f aca="false">MAX(0,$A21-'1. Inputs'!$C$26-'1. Inputs'!$B$30+1)</f>
        <v>4</v>
      </c>
      <c r="E21" s="19" t="n">
        <f aca="false">MAX(0,$A21-'1. Inputs'!$C$27-'1. Inputs'!$B$30+1)</f>
        <v>3</v>
      </c>
      <c r="F21" s="20" t="n">
        <f aca="false">IF(B21&lt;=0,0,'1. Inputs'!$B$24*'1. Inputs'!$B$5*B21^'1. Inputs'!$B$7/('1. Inputs'!$B$6^'1. Inputs'!$B$7+B21^'1. Inputs'!$B$7))</f>
        <v>152.837545126354</v>
      </c>
      <c r="G21" s="20" t="n">
        <f aca="false">IF(C21&lt;=0,0,'1. Inputs'!$B$25*'1. Inputs'!$B$5*C21^'1. Inputs'!$B$7/('1. Inputs'!$B$6^'1. Inputs'!$B$7+C21^'1. Inputs'!$B$7))</f>
        <v>144</v>
      </c>
      <c r="H21" s="20" t="n">
        <f aca="false">IF(D21&lt;=0,0,'1. Inputs'!$B$26*'1. Inputs'!$B$5*D21^'1. Inputs'!$B$7/('1. Inputs'!$B$6^'1. Inputs'!$B$7+D21^'1. Inputs'!$B$7))</f>
        <v>20.7835051546392</v>
      </c>
      <c r="I21" s="20" t="n">
        <f aca="false">IF(E21&lt;=0,0,'1. Inputs'!$B$27*'1. Inputs'!$B$5*E21^'1. Inputs'!$B$7/('1. Inputs'!$B$6^'1. Inputs'!$B$7+E21^'1. Inputs'!$B$7))</f>
        <v>9</v>
      </c>
      <c r="J21" s="21" t="n">
        <f aca="false">IF(B21&lt;=0,0,'1. Inputs'!$B$9+'1. Inputs'!$B$10*B21/(B21+'1. Inputs'!$B$11))</f>
        <v>0.184</v>
      </c>
      <c r="K21" s="21" t="n">
        <f aca="false">IF(C21&lt;=0,0,'1. Inputs'!$B$9+'1. Inputs'!$B$10*C21/(C21+'1. Inputs'!$B$11))</f>
        <v>0.172</v>
      </c>
      <c r="L21" s="21" t="n">
        <f aca="false">IF(D21&lt;=0,0,'1. Inputs'!$B$9+'1. Inputs'!$B$10*D21/(D21+'1. Inputs'!$B$11))</f>
        <v>0.148</v>
      </c>
      <c r="M21" s="21" t="n">
        <f aca="false">IF(E21&lt;=0,0,'1. Inputs'!$B$9+'1. Inputs'!$B$10*E21/(E21+'1. Inputs'!$B$11))</f>
        <v>0.14</v>
      </c>
      <c r="N21" s="22" t="n">
        <f aca="false">IF(B21&lt;=0,0,'1. Inputs'!$B$13*(1+'1. Inputs'!$B$14*MIN(B21,'1. Inputs'!$B$15))*'1. Inputs'!$B$31)</f>
        <v>89600</v>
      </c>
      <c r="O21" s="22" t="n">
        <f aca="false">IF(C21&lt;=0,0,'1. Inputs'!$B$13*(1+'1. Inputs'!$B$14*MIN(C21,'1. Inputs'!$B$15))*'1. Inputs'!$B$31)</f>
        <v>82600</v>
      </c>
      <c r="P21" s="22" t="n">
        <f aca="false">IF(D21&lt;=0,0,'1. Inputs'!$B$13*(1+'1. Inputs'!$B$14*MIN(D21,'1. Inputs'!$B$15))*'1. Inputs'!$B$31)</f>
        <v>75600</v>
      </c>
      <c r="Q21" s="22" t="n">
        <f aca="false">IF(E21&lt;=0,0,'1. Inputs'!$B$13*(1+'1. Inputs'!$B$14*MIN(E21,'1. Inputs'!$B$15))*'1. Inputs'!$B$31)</f>
        <v>74200</v>
      </c>
    </row>
    <row r="22" customFormat="false" ht="15" hidden="false" customHeight="false" outlineLevel="0" collapsed="false">
      <c r="A22" s="7" t="n">
        <v>21</v>
      </c>
      <c r="B22" s="19" t="n">
        <f aca="false">MAX(0,$A22-'1. Inputs'!$C$24-'1. Inputs'!$B$30+1)</f>
        <v>15</v>
      </c>
      <c r="C22" s="19" t="n">
        <f aca="false">MAX(0,$A22-'1. Inputs'!$C$25-'1. Inputs'!$B$30+1)</f>
        <v>10</v>
      </c>
      <c r="D22" s="19" t="n">
        <f aca="false">MAX(0,$A22-'1. Inputs'!$C$26-'1. Inputs'!$B$30+1)</f>
        <v>5</v>
      </c>
      <c r="E22" s="19" t="n">
        <f aca="false">MAX(0,$A22-'1. Inputs'!$C$27-'1. Inputs'!$B$30+1)</f>
        <v>4</v>
      </c>
      <c r="F22" s="20" t="n">
        <f aca="false">IF(B22&lt;=0,0,'1. Inputs'!$B$24*'1. Inputs'!$B$5*B22^'1. Inputs'!$B$7/('1. Inputs'!$B$6^'1. Inputs'!$B$7+B22^'1. Inputs'!$B$7))</f>
        <v>158.823529411765</v>
      </c>
      <c r="G22" s="20" t="n">
        <f aca="false">IF(C22&lt;=0,0,'1. Inputs'!$B$25*'1. Inputs'!$B$5*C22^'1. Inputs'!$B$7/('1. Inputs'!$B$6^'1. Inputs'!$B$7+C22^'1. Inputs'!$B$7))</f>
        <v>159.116022099448</v>
      </c>
      <c r="H22" s="20" t="n">
        <f aca="false">IF(D22&lt;=0,0,'1. Inputs'!$B$26*'1. Inputs'!$B$5*D22^'1. Inputs'!$B$7/('1. Inputs'!$B$6^'1. Inputs'!$B$7+D22^'1. Inputs'!$B$7))</f>
        <v>29.7169811320755</v>
      </c>
      <c r="I22" s="20" t="n">
        <f aca="false">IF(E22&lt;=0,0,'1. Inputs'!$B$27*'1. Inputs'!$B$5*E22^'1. Inputs'!$B$7/('1. Inputs'!$B$6^'1. Inputs'!$B$7+E22^'1. Inputs'!$B$7))</f>
        <v>14.8453608247423</v>
      </c>
      <c r="J22" s="21" t="n">
        <f aca="false">IF(B22&lt;=0,0,'1. Inputs'!$B$9+'1. Inputs'!$B$10*B22/(B22+'1. Inputs'!$B$11))</f>
        <v>0.185714285714286</v>
      </c>
      <c r="K22" s="21" t="n">
        <f aca="false">IF(C22&lt;=0,0,'1. Inputs'!$B$9+'1. Inputs'!$B$10*C22/(C22+'1. Inputs'!$B$11))</f>
        <v>0.175</v>
      </c>
      <c r="L22" s="21" t="n">
        <f aca="false">IF(D22&lt;=0,0,'1. Inputs'!$B$9+'1. Inputs'!$B$10*D22/(D22+'1. Inputs'!$B$11))</f>
        <v>0.154545454545455</v>
      </c>
      <c r="M22" s="21" t="n">
        <f aca="false">IF(E22&lt;=0,0,'1. Inputs'!$B$9+'1. Inputs'!$B$10*E22/(E22+'1. Inputs'!$B$11))</f>
        <v>0.148</v>
      </c>
      <c r="N22" s="22" t="n">
        <f aca="false">IF(B22&lt;=0,0,'1. Inputs'!$B$13*(1+'1. Inputs'!$B$14*MIN(B22,'1. Inputs'!$B$15))*'1. Inputs'!$B$31)</f>
        <v>91000</v>
      </c>
      <c r="O22" s="22" t="n">
        <f aca="false">IF(C22&lt;=0,0,'1. Inputs'!$B$13*(1+'1. Inputs'!$B$14*MIN(C22,'1. Inputs'!$B$15))*'1. Inputs'!$B$31)</f>
        <v>84000</v>
      </c>
      <c r="P22" s="22" t="n">
        <f aca="false">IF(D22&lt;=0,0,'1. Inputs'!$B$13*(1+'1. Inputs'!$B$14*MIN(D22,'1. Inputs'!$B$15))*'1. Inputs'!$B$31)</f>
        <v>77000</v>
      </c>
      <c r="Q22" s="22" t="n">
        <f aca="false">IF(E22&lt;=0,0,'1. Inputs'!$B$13*(1+'1. Inputs'!$B$14*MIN(E22,'1. Inputs'!$B$15))*'1. Inputs'!$B$31)</f>
        <v>75600</v>
      </c>
    </row>
    <row r="23" customFormat="false" ht="15" hidden="false" customHeight="false" outlineLevel="0" collapsed="false">
      <c r="A23" s="7" t="n">
        <v>22</v>
      </c>
      <c r="B23" s="19" t="n">
        <f aca="false">MAX(0,$A23-'1. Inputs'!$C$24-'1. Inputs'!$B$30+1)</f>
        <v>16</v>
      </c>
      <c r="C23" s="19" t="n">
        <f aca="false">MAX(0,$A23-'1. Inputs'!$C$25-'1. Inputs'!$B$30+1)</f>
        <v>11</v>
      </c>
      <c r="D23" s="19" t="n">
        <f aca="false">MAX(0,$A23-'1. Inputs'!$C$26-'1. Inputs'!$B$30+1)</f>
        <v>6</v>
      </c>
      <c r="E23" s="19" t="n">
        <f aca="false">MAX(0,$A23-'1. Inputs'!$C$27-'1. Inputs'!$B$30+1)</f>
        <v>5</v>
      </c>
      <c r="F23" s="20" t="n">
        <f aca="false">IF(B23&lt;=0,0,'1. Inputs'!$B$24*'1. Inputs'!$B$5*B23^'1. Inputs'!$B$7/('1. Inputs'!$B$6^'1. Inputs'!$B$7+B23^'1. Inputs'!$B$7))</f>
        <v>164.083086053412</v>
      </c>
      <c r="G23" s="20" t="n">
        <f aca="false">IF(C23&lt;=0,0,'1. Inputs'!$B$25*'1. Inputs'!$B$5*C23^'1. Inputs'!$B$7/('1. Inputs'!$B$6^'1. Inputs'!$B$7+C23^'1. Inputs'!$B$7))</f>
        <v>172.514851485149</v>
      </c>
      <c r="H23" s="20" t="n">
        <f aca="false">IF(D23&lt;=0,0,'1. Inputs'!$B$26*'1. Inputs'!$B$5*D23^'1. Inputs'!$B$7/('1. Inputs'!$B$6^'1. Inputs'!$B$7+D23^'1. Inputs'!$B$7))</f>
        <v>38.7692307692308</v>
      </c>
      <c r="I23" s="20" t="n">
        <f aca="false">IF(E23&lt;=0,0,'1. Inputs'!$B$27*'1. Inputs'!$B$5*E23^'1. Inputs'!$B$7/('1. Inputs'!$B$6^'1. Inputs'!$B$7+E23^'1. Inputs'!$B$7))</f>
        <v>21.2264150943396</v>
      </c>
      <c r="J23" s="21" t="n">
        <f aca="false">IF(B23&lt;=0,0,'1. Inputs'!$B$9+'1. Inputs'!$B$10*B23/(B23+'1. Inputs'!$B$11))</f>
        <v>0.187272727272727</v>
      </c>
      <c r="K23" s="21" t="n">
        <f aca="false">IF(C23&lt;=0,0,'1. Inputs'!$B$9+'1. Inputs'!$B$10*C23/(C23+'1. Inputs'!$B$11))</f>
        <v>0.177647058823529</v>
      </c>
      <c r="L23" s="21" t="n">
        <f aca="false">IF(D23&lt;=0,0,'1. Inputs'!$B$9+'1. Inputs'!$B$10*D23/(D23+'1. Inputs'!$B$11))</f>
        <v>0.16</v>
      </c>
      <c r="M23" s="21" t="n">
        <f aca="false">IF(E23&lt;=0,0,'1. Inputs'!$B$9+'1. Inputs'!$B$10*E23/(E23+'1. Inputs'!$B$11))</f>
        <v>0.154545454545455</v>
      </c>
      <c r="N23" s="22" t="n">
        <f aca="false">IF(B23&lt;=0,0,'1. Inputs'!$B$13*(1+'1. Inputs'!$B$14*MIN(B23,'1. Inputs'!$B$15))*'1. Inputs'!$B$31)</f>
        <v>92400</v>
      </c>
      <c r="O23" s="22" t="n">
        <f aca="false">IF(C23&lt;=0,0,'1. Inputs'!$B$13*(1+'1. Inputs'!$B$14*MIN(C23,'1. Inputs'!$B$15))*'1. Inputs'!$B$31)</f>
        <v>85400</v>
      </c>
      <c r="P23" s="22" t="n">
        <f aca="false">IF(D23&lt;=0,0,'1. Inputs'!$B$13*(1+'1. Inputs'!$B$14*MIN(D23,'1. Inputs'!$B$15))*'1. Inputs'!$B$31)</f>
        <v>78400</v>
      </c>
      <c r="Q23" s="22" t="n">
        <f aca="false">IF(E23&lt;=0,0,'1. Inputs'!$B$13*(1+'1. Inputs'!$B$14*MIN(E23,'1. Inputs'!$B$15))*'1. Inputs'!$B$31)</f>
        <v>77000</v>
      </c>
    </row>
    <row r="24" customFormat="false" ht="15" hidden="false" customHeight="false" outlineLevel="0" collapsed="false">
      <c r="A24" s="7" t="n">
        <v>23</v>
      </c>
      <c r="B24" s="19" t="n">
        <f aca="false">MAX(0,$A24-'1. Inputs'!$C$24-'1. Inputs'!$B$30+1)</f>
        <v>17</v>
      </c>
      <c r="C24" s="19" t="n">
        <f aca="false">MAX(0,$A24-'1. Inputs'!$C$25-'1. Inputs'!$B$30+1)</f>
        <v>12</v>
      </c>
      <c r="D24" s="19" t="n">
        <f aca="false">MAX(0,$A24-'1. Inputs'!$C$26-'1. Inputs'!$B$30+1)</f>
        <v>7</v>
      </c>
      <c r="E24" s="19" t="n">
        <f aca="false">MAX(0,$A24-'1. Inputs'!$C$27-'1. Inputs'!$B$30+1)</f>
        <v>6</v>
      </c>
      <c r="F24" s="20" t="n">
        <f aca="false">IF(B24&lt;=0,0,'1. Inputs'!$B$24*'1. Inputs'!$B$5*B24^'1. Inputs'!$B$7/('1. Inputs'!$B$6^'1. Inputs'!$B$7+B24^'1. Inputs'!$B$7))</f>
        <v>168.713513513514</v>
      </c>
      <c r="G24" s="20" t="n">
        <f aca="false">IF(C24&lt;=0,0,'1. Inputs'!$B$25*'1. Inputs'!$B$5*C24^'1. Inputs'!$B$7/('1. Inputs'!$B$6^'1. Inputs'!$B$7+C24^'1. Inputs'!$B$7))</f>
        <v>184.32</v>
      </c>
      <c r="H24" s="20" t="n">
        <f aca="false">IF(D24&lt;=0,0,'1. Inputs'!$B$26*'1. Inputs'!$B$5*D24^'1. Inputs'!$B$7/('1. Inputs'!$B$6^'1. Inputs'!$B$7+D24^'1. Inputs'!$B$7))</f>
        <v>47.4923076923077</v>
      </c>
      <c r="I24" s="20" t="n">
        <f aca="false">IF(E24&lt;=0,0,'1. Inputs'!$B$27*'1. Inputs'!$B$5*E24^'1. Inputs'!$B$7/('1. Inputs'!$B$6^'1. Inputs'!$B$7+E24^'1. Inputs'!$B$7))</f>
        <v>27.6923076923077</v>
      </c>
      <c r="J24" s="21" t="n">
        <f aca="false">IF(B24&lt;=0,0,'1. Inputs'!$B$9+'1. Inputs'!$B$10*B24/(B24+'1. Inputs'!$B$11))</f>
        <v>0.188695652173913</v>
      </c>
      <c r="K24" s="21" t="n">
        <f aca="false">IF(C24&lt;=0,0,'1. Inputs'!$B$9+'1. Inputs'!$B$10*C24/(C24+'1. Inputs'!$B$11))</f>
        <v>0.18</v>
      </c>
      <c r="L24" s="21" t="n">
        <f aca="false">IF(D24&lt;=0,0,'1. Inputs'!$B$9+'1. Inputs'!$B$10*D24/(D24+'1. Inputs'!$B$11))</f>
        <v>0.164615384615385</v>
      </c>
      <c r="M24" s="21" t="n">
        <f aca="false">IF(E24&lt;=0,0,'1. Inputs'!$B$9+'1. Inputs'!$B$10*E24/(E24+'1. Inputs'!$B$11))</f>
        <v>0.16</v>
      </c>
      <c r="N24" s="22" t="n">
        <f aca="false">IF(B24&lt;=0,0,'1. Inputs'!$B$13*(1+'1. Inputs'!$B$14*MIN(B24,'1. Inputs'!$B$15))*'1. Inputs'!$B$31)</f>
        <v>93800</v>
      </c>
      <c r="O24" s="22" t="n">
        <f aca="false">IF(C24&lt;=0,0,'1. Inputs'!$B$13*(1+'1. Inputs'!$B$14*MIN(C24,'1. Inputs'!$B$15))*'1. Inputs'!$B$31)</f>
        <v>86800</v>
      </c>
      <c r="P24" s="22" t="n">
        <f aca="false">IF(D24&lt;=0,0,'1. Inputs'!$B$13*(1+'1. Inputs'!$B$14*MIN(D24,'1. Inputs'!$B$15))*'1. Inputs'!$B$31)</f>
        <v>79800</v>
      </c>
      <c r="Q24" s="22" t="n">
        <f aca="false">IF(E24&lt;=0,0,'1. Inputs'!$B$13*(1+'1. Inputs'!$B$14*MIN(E24,'1. Inputs'!$B$15))*'1. Inputs'!$B$31)</f>
        <v>78400</v>
      </c>
    </row>
    <row r="25" customFormat="false" ht="15" hidden="false" customHeight="false" outlineLevel="0" collapsed="false">
      <c r="A25" s="7" t="n">
        <v>24</v>
      </c>
      <c r="B25" s="19" t="n">
        <f aca="false">MAX(0,$A25-'1. Inputs'!$C$24-'1. Inputs'!$B$30+1)</f>
        <v>18</v>
      </c>
      <c r="C25" s="19" t="n">
        <f aca="false">MAX(0,$A25-'1. Inputs'!$C$25-'1. Inputs'!$B$30+1)</f>
        <v>13</v>
      </c>
      <c r="D25" s="19" t="n">
        <f aca="false">MAX(0,$A25-'1. Inputs'!$C$26-'1. Inputs'!$B$30+1)</f>
        <v>8</v>
      </c>
      <c r="E25" s="19" t="n">
        <f aca="false">MAX(0,$A25-'1. Inputs'!$C$27-'1. Inputs'!$B$30+1)</f>
        <v>7</v>
      </c>
      <c r="F25" s="20" t="n">
        <f aca="false">IF(B25&lt;=0,0,'1. Inputs'!$B$24*'1. Inputs'!$B$5*B25^'1. Inputs'!$B$7/('1. Inputs'!$B$6^'1. Inputs'!$B$7+B25^'1. Inputs'!$B$7))</f>
        <v>172.8</v>
      </c>
      <c r="G25" s="20" t="n">
        <f aca="false">IF(C25&lt;=0,0,'1. Inputs'!$B$25*'1. Inputs'!$B$5*C25^'1. Inputs'!$B$7/('1. Inputs'!$B$6^'1. Inputs'!$B$7+C25^'1. Inputs'!$B$7))</f>
        <v>194.688</v>
      </c>
      <c r="H25" s="20" t="n">
        <f aca="false">IF(D25&lt;=0,0,'1. Inputs'!$B$26*'1. Inputs'!$B$5*D25^'1. Inputs'!$B$7/('1. Inputs'!$B$6^'1. Inputs'!$B$7+D25^'1. Inputs'!$B$7))</f>
        <v>55.6137931034483</v>
      </c>
      <c r="I25" s="20" t="n">
        <f aca="false">IF(E25&lt;=0,0,'1. Inputs'!$B$27*'1. Inputs'!$B$5*E25^'1. Inputs'!$B$7/('1. Inputs'!$B$6^'1. Inputs'!$B$7+E25^'1. Inputs'!$B$7))</f>
        <v>33.9230769230769</v>
      </c>
      <c r="J25" s="21" t="n">
        <f aca="false">IF(B25&lt;=0,0,'1. Inputs'!$B$9+'1. Inputs'!$B$10*B25/(B25+'1. Inputs'!$B$11))</f>
        <v>0.19</v>
      </c>
      <c r="K25" s="21" t="n">
        <f aca="false">IF(C25&lt;=0,0,'1. Inputs'!$B$9+'1. Inputs'!$B$10*C25/(C25+'1. Inputs'!$B$11))</f>
        <v>0.182105263157895</v>
      </c>
      <c r="L25" s="21" t="n">
        <f aca="false">IF(D25&lt;=0,0,'1. Inputs'!$B$9+'1. Inputs'!$B$10*D25/(D25+'1. Inputs'!$B$11))</f>
        <v>0.168571428571429</v>
      </c>
      <c r="M25" s="21" t="n">
        <f aca="false">IF(E25&lt;=0,0,'1. Inputs'!$B$9+'1. Inputs'!$B$10*E25/(E25+'1. Inputs'!$B$11))</f>
        <v>0.164615384615385</v>
      </c>
      <c r="N25" s="22" t="n">
        <f aca="false">IF(B25&lt;=0,0,'1. Inputs'!$B$13*(1+'1. Inputs'!$B$14*MIN(B25,'1. Inputs'!$B$15))*'1. Inputs'!$B$31)</f>
        <v>95200</v>
      </c>
      <c r="O25" s="22" t="n">
        <f aca="false">IF(C25&lt;=0,0,'1. Inputs'!$B$13*(1+'1. Inputs'!$B$14*MIN(C25,'1. Inputs'!$B$15))*'1. Inputs'!$B$31)</f>
        <v>88200</v>
      </c>
      <c r="P25" s="22" t="n">
        <f aca="false">IF(D25&lt;=0,0,'1. Inputs'!$B$13*(1+'1. Inputs'!$B$14*MIN(D25,'1. Inputs'!$B$15))*'1. Inputs'!$B$31)</f>
        <v>81200</v>
      </c>
      <c r="Q25" s="22" t="n">
        <f aca="false">IF(E25&lt;=0,0,'1. Inputs'!$B$13*(1+'1. Inputs'!$B$14*MIN(E25,'1. Inputs'!$B$15))*'1. Inputs'!$B$31)</f>
        <v>79800</v>
      </c>
    </row>
    <row r="26" customFormat="false" ht="15" hidden="false" customHeight="false" outlineLevel="0" collapsed="false">
      <c r="A26" s="7" t="n">
        <v>25</v>
      </c>
      <c r="B26" s="19" t="n">
        <f aca="false">MAX(0,$A26-'1. Inputs'!$C$24-'1. Inputs'!$B$30+1)</f>
        <v>19</v>
      </c>
      <c r="C26" s="19" t="n">
        <f aca="false">MAX(0,$A26-'1. Inputs'!$C$25-'1. Inputs'!$B$30+1)</f>
        <v>14</v>
      </c>
      <c r="D26" s="19" t="n">
        <f aca="false">MAX(0,$A26-'1. Inputs'!$C$26-'1. Inputs'!$B$30+1)</f>
        <v>9</v>
      </c>
      <c r="E26" s="19" t="n">
        <f aca="false">MAX(0,$A26-'1. Inputs'!$C$27-'1. Inputs'!$B$30+1)</f>
        <v>8</v>
      </c>
      <c r="F26" s="20" t="n">
        <f aca="false">IF(B26&lt;=0,0,'1. Inputs'!$B$24*'1. Inputs'!$B$5*B26^'1. Inputs'!$B$7/('1. Inputs'!$B$6^'1. Inputs'!$B$7+B26^'1. Inputs'!$B$7))</f>
        <v>176.41628959276</v>
      </c>
      <c r="G26" s="20" t="n">
        <f aca="false">IF(C26&lt;=0,0,'1. Inputs'!$B$25*'1. Inputs'!$B$5*C26^'1. Inputs'!$B$7/('1. Inputs'!$B$6^'1. Inputs'!$B$7+C26^'1. Inputs'!$B$7))</f>
        <v>203.783393501805</v>
      </c>
      <c r="H26" s="20" t="n">
        <f aca="false">IF(D26&lt;=0,0,'1. Inputs'!$B$26*'1. Inputs'!$B$5*D26^'1. Inputs'!$B$7/('1. Inputs'!$B$6^'1. Inputs'!$B$7+D26^'1. Inputs'!$B$7))</f>
        <v>63</v>
      </c>
      <c r="I26" s="20" t="n">
        <f aca="false">IF(E26&lt;=0,0,'1. Inputs'!$B$27*'1. Inputs'!$B$5*E26^'1. Inputs'!$B$7/('1. Inputs'!$B$6^'1. Inputs'!$B$7+E26^'1. Inputs'!$B$7))</f>
        <v>39.7241379310345</v>
      </c>
      <c r="J26" s="21" t="n">
        <f aca="false">IF(B26&lt;=0,0,'1. Inputs'!$B$9+'1. Inputs'!$B$10*B26/(B26+'1. Inputs'!$B$11))</f>
        <v>0.1912</v>
      </c>
      <c r="K26" s="21" t="n">
        <f aca="false">IF(C26&lt;=0,0,'1. Inputs'!$B$9+'1. Inputs'!$B$10*C26/(C26+'1. Inputs'!$B$11))</f>
        <v>0.184</v>
      </c>
      <c r="L26" s="21" t="n">
        <f aca="false">IF(D26&lt;=0,0,'1. Inputs'!$B$9+'1. Inputs'!$B$10*D26/(D26+'1. Inputs'!$B$11))</f>
        <v>0.172</v>
      </c>
      <c r="M26" s="21" t="n">
        <f aca="false">IF(E26&lt;=0,0,'1. Inputs'!$B$9+'1. Inputs'!$B$10*E26/(E26+'1. Inputs'!$B$11))</f>
        <v>0.168571428571429</v>
      </c>
      <c r="N26" s="22" t="n">
        <f aca="false">IF(B26&lt;=0,0,'1. Inputs'!$B$13*(1+'1. Inputs'!$B$14*MIN(B26,'1. Inputs'!$B$15))*'1. Inputs'!$B$31)</f>
        <v>95200</v>
      </c>
      <c r="O26" s="22" t="n">
        <f aca="false">IF(C26&lt;=0,0,'1. Inputs'!$B$13*(1+'1. Inputs'!$B$14*MIN(C26,'1. Inputs'!$B$15))*'1. Inputs'!$B$31)</f>
        <v>89600</v>
      </c>
      <c r="P26" s="22" t="n">
        <f aca="false">IF(D26&lt;=0,0,'1. Inputs'!$B$13*(1+'1. Inputs'!$B$14*MIN(D26,'1. Inputs'!$B$15))*'1. Inputs'!$B$31)</f>
        <v>82600</v>
      </c>
      <c r="Q26" s="22" t="n">
        <f aca="false">IF(E26&lt;=0,0,'1. Inputs'!$B$13*(1+'1. Inputs'!$B$14*MIN(E26,'1. Inputs'!$B$15))*'1. Inputs'!$B$31)</f>
        <v>81200</v>
      </c>
    </row>
    <row r="27" customFormat="false" ht="15" hidden="false" customHeight="false" outlineLevel="0" collapsed="false">
      <c r="A27" s="7" t="n">
        <v>26</v>
      </c>
      <c r="B27" s="19" t="n">
        <f aca="false">MAX(0,$A27-'1. Inputs'!$C$24-'1. Inputs'!$B$30+1)</f>
        <v>20</v>
      </c>
      <c r="C27" s="19" t="n">
        <f aca="false">MAX(0,$A27-'1. Inputs'!$C$25-'1. Inputs'!$B$30+1)</f>
        <v>15</v>
      </c>
      <c r="D27" s="19" t="n">
        <f aca="false">MAX(0,$A27-'1. Inputs'!$C$26-'1. Inputs'!$B$30+1)</f>
        <v>10</v>
      </c>
      <c r="E27" s="19" t="n">
        <f aca="false">MAX(0,$A27-'1. Inputs'!$C$27-'1. Inputs'!$B$30+1)</f>
        <v>9</v>
      </c>
      <c r="F27" s="20" t="n">
        <f aca="false">IF(B27&lt;=0,0,'1. Inputs'!$B$24*'1. Inputs'!$B$5*B27^'1. Inputs'!$B$7/('1. Inputs'!$B$6^'1. Inputs'!$B$7+B27^'1. Inputs'!$B$7))</f>
        <v>179.62577962578</v>
      </c>
      <c r="G27" s="20" t="n">
        <f aca="false">IF(C27&lt;=0,0,'1. Inputs'!$B$25*'1. Inputs'!$B$5*C27^'1. Inputs'!$B$7/('1. Inputs'!$B$6^'1. Inputs'!$B$7+C27^'1. Inputs'!$B$7))</f>
        <v>211.764705882353</v>
      </c>
      <c r="H27" s="20" t="n">
        <f aca="false">IF(D27&lt;=0,0,'1. Inputs'!$B$26*'1. Inputs'!$B$5*D27^'1. Inputs'!$B$7/('1. Inputs'!$B$6^'1. Inputs'!$B$7+D27^'1. Inputs'!$B$7))</f>
        <v>69.6132596685083</v>
      </c>
      <c r="I27" s="20" t="n">
        <f aca="false">IF(E27&lt;=0,0,'1. Inputs'!$B$27*'1. Inputs'!$B$5*E27^'1. Inputs'!$B$7/('1. Inputs'!$B$6^'1. Inputs'!$B$7+E27^'1. Inputs'!$B$7))</f>
        <v>45</v>
      </c>
      <c r="J27" s="21" t="n">
        <f aca="false">IF(B27&lt;=0,0,'1. Inputs'!$B$9+'1. Inputs'!$B$10*B27/(B27+'1. Inputs'!$B$11))</f>
        <v>0.192307692307692</v>
      </c>
      <c r="K27" s="21" t="n">
        <f aca="false">IF(C27&lt;=0,0,'1. Inputs'!$B$9+'1. Inputs'!$B$10*C27/(C27+'1. Inputs'!$B$11))</f>
        <v>0.185714285714286</v>
      </c>
      <c r="L27" s="21" t="n">
        <f aca="false">IF(D27&lt;=0,0,'1. Inputs'!$B$9+'1. Inputs'!$B$10*D27/(D27+'1. Inputs'!$B$11))</f>
        <v>0.175</v>
      </c>
      <c r="M27" s="21" t="n">
        <f aca="false">IF(E27&lt;=0,0,'1. Inputs'!$B$9+'1. Inputs'!$B$10*E27/(E27+'1. Inputs'!$B$11))</f>
        <v>0.172</v>
      </c>
      <c r="N27" s="22" t="n">
        <f aca="false">IF(B27&lt;=0,0,'1. Inputs'!$B$13*(1+'1. Inputs'!$B$14*MIN(B27,'1. Inputs'!$B$15))*'1. Inputs'!$B$31)</f>
        <v>95200</v>
      </c>
      <c r="O27" s="22" t="n">
        <f aca="false">IF(C27&lt;=0,0,'1. Inputs'!$B$13*(1+'1. Inputs'!$B$14*MIN(C27,'1. Inputs'!$B$15))*'1. Inputs'!$B$31)</f>
        <v>91000</v>
      </c>
      <c r="P27" s="22" t="n">
        <f aca="false">IF(D27&lt;=0,0,'1. Inputs'!$B$13*(1+'1. Inputs'!$B$14*MIN(D27,'1. Inputs'!$B$15))*'1. Inputs'!$B$31)</f>
        <v>84000</v>
      </c>
      <c r="Q27" s="22" t="n">
        <f aca="false">IF(E27&lt;=0,0,'1. Inputs'!$B$13*(1+'1. Inputs'!$B$14*MIN(E27,'1. Inputs'!$B$15))*'1. Inputs'!$B$31)</f>
        <v>82600</v>
      </c>
    </row>
    <row r="28" customFormat="false" ht="15" hidden="false" customHeight="false" outlineLevel="0" collapsed="false">
      <c r="A28" s="7" t="n">
        <v>27</v>
      </c>
      <c r="B28" s="19" t="n">
        <f aca="false">MAX(0,$A28-'1. Inputs'!$C$24-'1. Inputs'!$B$30+1)</f>
        <v>21</v>
      </c>
      <c r="C28" s="19" t="n">
        <f aca="false">MAX(0,$A28-'1. Inputs'!$C$25-'1. Inputs'!$B$30+1)</f>
        <v>16</v>
      </c>
      <c r="D28" s="19" t="n">
        <f aca="false">MAX(0,$A28-'1. Inputs'!$C$26-'1. Inputs'!$B$30+1)</f>
        <v>11</v>
      </c>
      <c r="E28" s="19" t="n">
        <f aca="false">MAX(0,$A28-'1. Inputs'!$C$27-'1. Inputs'!$B$30+1)</f>
        <v>10</v>
      </c>
      <c r="F28" s="20" t="n">
        <f aca="false">IF(B28&lt;=0,0,'1. Inputs'!$B$24*'1. Inputs'!$B$5*B28^'1. Inputs'!$B$7/('1. Inputs'!$B$6^'1. Inputs'!$B$7+B28^'1. Inputs'!$B$7))</f>
        <v>182.48275862069</v>
      </c>
      <c r="G28" s="20" t="n">
        <f aca="false">IF(C28&lt;=0,0,'1. Inputs'!$B$25*'1. Inputs'!$B$5*C28^'1. Inputs'!$B$7/('1. Inputs'!$B$6^'1. Inputs'!$B$7+C28^'1. Inputs'!$B$7))</f>
        <v>218.777448071217</v>
      </c>
      <c r="H28" s="20" t="n">
        <f aca="false">IF(D28&lt;=0,0,'1. Inputs'!$B$26*'1. Inputs'!$B$5*D28^'1. Inputs'!$B$7/('1. Inputs'!$B$6^'1. Inputs'!$B$7+D28^'1. Inputs'!$B$7))</f>
        <v>75.4752475247525</v>
      </c>
      <c r="I28" s="20" t="n">
        <f aca="false">IF(E28&lt;=0,0,'1. Inputs'!$B$27*'1. Inputs'!$B$5*E28^'1. Inputs'!$B$7/('1. Inputs'!$B$6^'1. Inputs'!$B$7+E28^'1. Inputs'!$B$7))</f>
        <v>49.7237569060774</v>
      </c>
      <c r="J28" s="21" t="n">
        <f aca="false">IF(B28&lt;=0,0,'1. Inputs'!$B$9+'1. Inputs'!$B$10*B28/(B28+'1. Inputs'!$B$11))</f>
        <v>0.193333333333333</v>
      </c>
      <c r="K28" s="21" t="n">
        <f aca="false">IF(C28&lt;=0,0,'1. Inputs'!$B$9+'1. Inputs'!$B$10*C28/(C28+'1. Inputs'!$B$11))</f>
        <v>0.187272727272727</v>
      </c>
      <c r="L28" s="21" t="n">
        <f aca="false">IF(D28&lt;=0,0,'1. Inputs'!$B$9+'1. Inputs'!$B$10*D28/(D28+'1. Inputs'!$B$11))</f>
        <v>0.177647058823529</v>
      </c>
      <c r="M28" s="21" t="n">
        <f aca="false">IF(E28&lt;=0,0,'1. Inputs'!$B$9+'1. Inputs'!$B$10*E28/(E28+'1. Inputs'!$B$11))</f>
        <v>0.175</v>
      </c>
      <c r="N28" s="22" t="n">
        <f aca="false">IF(B28&lt;=0,0,'1. Inputs'!$B$13*(1+'1. Inputs'!$B$14*MIN(B28,'1. Inputs'!$B$15))*'1. Inputs'!$B$31)</f>
        <v>95200</v>
      </c>
      <c r="O28" s="22" t="n">
        <f aca="false">IF(C28&lt;=0,0,'1. Inputs'!$B$13*(1+'1. Inputs'!$B$14*MIN(C28,'1. Inputs'!$B$15))*'1. Inputs'!$B$31)</f>
        <v>92400</v>
      </c>
      <c r="P28" s="22" t="n">
        <f aca="false">IF(D28&lt;=0,0,'1. Inputs'!$B$13*(1+'1. Inputs'!$B$14*MIN(D28,'1. Inputs'!$B$15))*'1. Inputs'!$B$31)</f>
        <v>85400</v>
      </c>
      <c r="Q28" s="22" t="n">
        <f aca="false">IF(E28&lt;=0,0,'1. Inputs'!$B$13*(1+'1. Inputs'!$B$14*MIN(E28,'1. Inputs'!$B$15))*'1. Inputs'!$B$31)</f>
        <v>84000</v>
      </c>
    </row>
    <row r="29" customFormat="false" ht="15" hidden="false" customHeight="false" outlineLevel="0" collapsed="false">
      <c r="A29" s="7" t="n">
        <v>28</v>
      </c>
      <c r="B29" s="19" t="n">
        <f aca="false">MAX(0,$A29-'1. Inputs'!$C$24-'1. Inputs'!$B$30+1)</f>
        <v>22</v>
      </c>
      <c r="C29" s="19" t="n">
        <f aca="false">MAX(0,$A29-'1. Inputs'!$C$25-'1. Inputs'!$B$30+1)</f>
        <v>17</v>
      </c>
      <c r="D29" s="19" t="n">
        <f aca="false">MAX(0,$A29-'1. Inputs'!$C$26-'1. Inputs'!$B$30+1)</f>
        <v>12</v>
      </c>
      <c r="E29" s="19" t="n">
        <f aca="false">MAX(0,$A29-'1. Inputs'!$C$27-'1. Inputs'!$B$30+1)</f>
        <v>11</v>
      </c>
      <c r="F29" s="20" t="n">
        <f aca="false">IF(B29&lt;=0,0,'1. Inputs'!$B$24*'1. Inputs'!$B$5*B29^'1. Inputs'!$B$7/('1. Inputs'!$B$6^'1. Inputs'!$B$7+B29^'1. Inputs'!$B$7))</f>
        <v>185.033628318584</v>
      </c>
      <c r="G29" s="20" t="n">
        <f aca="false">IF(C29&lt;=0,0,'1. Inputs'!$B$25*'1. Inputs'!$B$5*C29^'1. Inputs'!$B$7/('1. Inputs'!$B$6^'1. Inputs'!$B$7+C29^'1. Inputs'!$B$7))</f>
        <v>224.951351351351</v>
      </c>
      <c r="H29" s="20" t="n">
        <f aca="false">IF(D29&lt;=0,0,'1. Inputs'!$B$26*'1. Inputs'!$B$5*D29^'1. Inputs'!$B$7/('1. Inputs'!$B$6^'1. Inputs'!$B$7+D29^'1. Inputs'!$B$7))</f>
        <v>80.64</v>
      </c>
      <c r="I29" s="20" t="n">
        <f aca="false">IF(E29&lt;=0,0,'1. Inputs'!$B$27*'1. Inputs'!$B$5*E29^'1. Inputs'!$B$7/('1. Inputs'!$B$6^'1. Inputs'!$B$7+E29^'1. Inputs'!$B$7))</f>
        <v>53.9108910891089</v>
      </c>
      <c r="J29" s="21" t="n">
        <f aca="false">IF(B29&lt;=0,0,'1. Inputs'!$B$9+'1. Inputs'!$B$10*B29/(B29+'1. Inputs'!$B$11))</f>
        <v>0.194285714285714</v>
      </c>
      <c r="K29" s="21" t="n">
        <f aca="false">IF(C29&lt;=0,0,'1. Inputs'!$B$9+'1. Inputs'!$B$10*C29/(C29+'1. Inputs'!$B$11))</f>
        <v>0.188695652173913</v>
      </c>
      <c r="L29" s="21" t="n">
        <f aca="false">IF(D29&lt;=0,0,'1. Inputs'!$B$9+'1. Inputs'!$B$10*D29/(D29+'1. Inputs'!$B$11))</f>
        <v>0.18</v>
      </c>
      <c r="M29" s="21" t="n">
        <f aca="false">IF(E29&lt;=0,0,'1. Inputs'!$B$9+'1. Inputs'!$B$10*E29/(E29+'1. Inputs'!$B$11))</f>
        <v>0.177647058823529</v>
      </c>
      <c r="N29" s="22" t="n">
        <f aca="false">IF(B29&lt;=0,0,'1. Inputs'!$B$13*(1+'1. Inputs'!$B$14*MIN(B29,'1. Inputs'!$B$15))*'1. Inputs'!$B$31)</f>
        <v>95200</v>
      </c>
      <c r="O29" s="22" t="n">
        <f aca="false">IF(C29&lt;=0,0,'1. Inputs'!$B$13*(1+'1. Inputs'!$B$14*MIN(C29,'1. Inputs'!$B$15))*'1. Inputs'!$B$31)</f>
        <v>93800</v>
      </c>
      <c r="P29" s="22" t="n">
        <f aca="false">IF(D29&lt;=0,0,'1. Inputs'!$B$13*(1+'1. Inputs'!$B$14*MIN(D29,'1. Inputs'!$B$15))*'1. Inputs'!$B$31)</f>
        <v>86800</v>
      </c>
      <c r="Q29" s="22" t="n">
        <f aca="false">IF(E29&lt;=0,0,'1. Inputs'!$B$13*(1+'1. Inputs'!$B$14*MIN(E29,'1. Inputs'!$B$15))*'1. Inputs'!$B$31)</f>
        <v>85400</v>
      </c>
    </row>
    <row r="30" customFormat="false" ht="15" hidden="false" customHeight="false" outlineLevel="0" collapsed="false">
      <c r="A30" s="7" t="n">
        <v>29</v>
      </c>
      <c r="B30" s="19" t="n">
        <f aca="false">MAX(0,$A30-'1. Inputs'!$C$24-'1. Inputs'!$B$30+1)</f>
        <v>23</v>
      </c>
      <c r="C30" s="19" t="n">
        <f aca="false">MAX(0,$A30-'1. Inputs'!$C$25-'1. Inputs'!$B$30+1)</f>
        <v>18</v>
      </c>
      <c r="D30" s="19" t="n">
        <f aca="false">MAX(0,$A30-'1. Inputs'!$C$26-'1. Inputs'!$B$30+1)</f>
        <v>13</v>
      </c>
      <c r="E30" s="19" t="n">
        <f aca="false">MAX(0,$A30-'1. Inputs'!$C$27-'1. Inputs'!$B$30+1)</f>
        <v>12</v>
      </c>
      <c r="F30" s="20" t="n">
        <f aca="false">IF(B30&lt;=0,0,'1. Inputs'!$B$24*'1. Inputs'!$B$5*B30^'1. Inputs'!$B$7/('1. Inputs'!$B$6^'1. Inputs'!$B$7+B30^'1. Inputs'!$B$7))</f>
        <v>187.318032786885</v>
      </c>
      <c r="G30" s="20" t="n">
        <f aca="false">IF(C30&lt;=0,0,'1. Inputs'!$B$25*'1. Inputs'!$B$5*C30^'1. Inputs'!$B$7/('1. Inputs'!$B$6^'1. Inputs'!$B$7+C30^'1. Inputs'!$B$7))</f>
        <v>230.4</v>
      </c>
      <c r="H30" s="20" t="n">
        <f aca="false">IF(D30&lt;=0,0,'1. Inputs'!$B$26*'1. Inputs'!$B$5*D30^'1. Inputs'!$B$7/('1. Inputs'!$B$6^'1. Inputs'!$B$7+D30^'1. Inputs'!$B$7))</f>
        <v>85.176</v>
      </c>
      <c r="I30" s="20" t="n">
        <f aca="false">IF(E30&lt;=0,0,'1. Inputs'!$B$27*'1. Inputs'!$B$5*E30^'1. Inputs'!$B$7/('1. Inputs'!$B$6^'1. Inputs'!$B$7+E30^'1. Inputs'!$B$7))</f>
        <v>57.6</v>
      </c>
      <c r="J30" s="21" t="n">
        <f aca="false">IF(B30&lt;=0,0,'1. Inputs'!$B$9+'1. Inputs'!$B$10*B30/(B30+'1. Inputs'!$B$11))</f>
        <v>0.195172413793103</v>
      </c>
      <c r="K30" s="21" t="n">
        <f aca="false">IF(C30&lt;=0,0,'1. Inputs'!$B$9+'1. Inputs'!$B$10*C30/(C30+'1. Inputs'!$B$11))</f>
        <v>0.19</v>
      </c>
      <c r="L30" s="21" t="n">
        <f aca="false">IF(D30&lt;=0,0,'1. Inputs'!$B$9+'1. Inputs'!$B$10*D30/(D30+'1. Inputs'!$B$11))</f>
        <v>0.182105263157895</v>
      </c>
      <c r="M30" s="21" t="n">
        <f aca="false">IF(E30&lt;=0,0,'1. Inputs'!$B$9+'1. Inputs'!$B$10*E30/(E30+'1. Inputs'!$B$11))</f>
        <v>0.18</v>
      </c>
      <c r="N30" s="22" t="n">
        <f aca="false">IF(B30&lt;=0,0,'1. Inputs'!$B$13*(1+'1. Inputs'!$B$14*MIN(B30,'1. Inputs'!$B$15))*'1. Inputs'!$B$31)</f>
        <v>95200</v>
      </c>
      <c r="O30" s="22" t="n">
        <f aca="false">IF(C30&lt;=0,0,'1. Inputs'!$B$13*(1+'1. Inputs'!$B$14*MIN(C30,'1. Inputs'!$B$15))*'1. Inputs'!$B$31)</f>
        <v>95200</v>
      </c>
      <c r="P30" s="22" t="n">
        <f aca="false">IF(D30&lt;=0,0,'1. Inputs'!$B$13*(1+'1. Inputs'!$B$14*MIN(D30,'1. Inputs'!$B$15))*'1. Inputs'!$B$31)</f>
        <v>88200</v>
      </c>
      <c r="Q30" s="22" t="n">
        <f aca="false">IF(E30&lt;=0,0,'1. Inputs'!$B$13*(1+'1. Inputs'!$B$14*MIN(E30,'1. Inputs'!$B$15))*'1. Inputs'!$B$31)</f>
        <v>86800</v>
      </c>
    </row>
    <row r="31" customFormat="false" ht="15" hidden="false" customHeight="false" outlineLevel="0" collapsed="false">
      <c r="A31" s="7" t="n">
        <v>30</v>
      </c>
      <c r="B31" s="19" t="n">
        <f aca="false">MAX(0,$A31-'1. Inputs'!$C$24-'1. Inputs'!$B$30+1)</f>
        <v>24</v>
      </c>
      <c r="C31" s="19" t="n">
        <f aca="false">MAX(0,$A31-'1. Inputs'!$C$25-'1. Inputs'!$B$30+1)</f>
        <v>19</v>
      </c>
      <c r="D31" s="19" t="n">
        <f aca="false">MAX(0,$A31-'1. Inputs'!$C$26-'1. Inputs'!$B$30+1)</f>
        <v>14</v>
      </c>
      <c r="E31" s="19" t="n">
        <f aca="false">MAX(0,$A31-'1. Inputs'!$C$27-'1. Inputs'!$B$30+1)</f>
        <v>13</v>
      </c>
      <c r="F31" s="20" t="n">
        <f aca="false">IF(B31&lt;=0,0,'1. Inputs'!$B$24*'1. Inputs'!$B$5*B31^'1. Inputs'!$B$7/('1. Inputs'!$B$6^'1. Inputs'!$B$7+B31^'1. Inputs'!$B$7))</f>
        <v>189.369863013699</v>
      </c>
      <c r="G31" s="20" t="n">
        <f aca="false">IF(C31&lt;=0,0,'1. Inputs'!$B$25*'1. Inputs'!$B$5*C31^'1. Inputs'!$B$7/('1. Inputs'!$B$6^'1. Inputs'!$B$7+C31^'1. Inputs'!$B$7))</f>
        <v>235.221719457014</v>
      </c>
      <c r="H31" s="20" t="n">
        <f aca="false">IF(D31&lt;=0,0,'1. Inputs'!$B$26*'1. Inputs'!$B$5*D31^'1. Inputs'!$B$7/('1. Inputs'!$B$6^'1. Inputs'!$B$7+D31^'1. Inputs'!$B$7))</f>
        <v>89.1552346570397</v>
      </c>
      <c r="I31" s="20" t="n">
        <f aca="false">IF(E31&lt;=0,0,'1. Inputs'!$B$27*'1. Inputs'!$B$5*E31^'1. Inputs'!$B$7/('1. Inputs'!$B$6^'1. Inputs'!$B$7+E31^'1. Inputs'!$B$7))</f>
        <v>60.84</v>
      </c>
      <c r="J31" s="21" t="n">
        <f aca="false">IF(B31&lt;=0,0,'1. Inputs'!$B$9+'1. Inputs'!$B$10*B31/(B31+'1. Inputs'!$B$11))</f>
        <v>0.196</v>
      </c>
      <c r="K31" s="21" t="n">
        <f aca="false">IF(C31&lt;=0,0,'1. Inputs'!$B$9+'1. Inputs'!$B$10*C31/(C31+'1. Inputs'!$B$11))</f>
        <v>0.1912</v>
      </c>
      <c r="L31" s="21" t="n">
        <f aca="false">IF(D31&lt;=0,0,'1. Inputs'!$B$9+'1. Inputs'!$B$10*D31/(D31+'1. Inputs'!$B$11))</f>
        <v>0.184</v>
      </c>
      <c r="M31" s="21" t="n">
        <f aca="false">IF(E31&lt;=0,0,'1. Inputs'!$B$9+'1. Inputs'!$B$10*E31/(E31+'1. Inputs'!$B$11))</f>
        <v>0.182105263157895</v>
      </c>
      <c r="N31" s="22" t="n">
        <f aca="false">IF(B31&lt;=0,0,'1. Inputs'!$B$13*(1+'1. Inputs'!$B$14*MIN(B31,'1. Inputs'!$B$15))*'1. Inputs'!$B$31)</f>
        <v>95200</v>
      </c>
      <c r="O31" s="22" t="n">
        <f aca="false">IF(C31&lt;=0,0,'1. Inputs'!$B$13*(1+'1. Inputs'!$B$14*MIN(C31,'1. Inputs'!$B$15))*'1. Inputs'!$B$31)</f>
        <v>95200</v>
      </c>
      <c r="P31" s="22" t="n">
        <f aca="false">IF(D31&lt;=0,0,'1. Inputs'!$B$13*(1+'1. Inputs'!$B$14*MIN(D31,'1. Inputs'!$B$15))*'1. Inputs'!$B$31)</f>
        <v>89600</v>
      </c>
      <c r="Q31" s="22" t="n">
        <f aca="false">IF(E31&lt;=0,0,'1. Inputs'!$B$13*(1+'1. Inputs'!$B$14*MIN(E31,'1. Inputs'!$B$15))*'1. Inputs'!$B$31)</f>
        <v>88200</v>
      </c>
    </row>
    <row r="32" customFormat="false" ht="15" hidden="false" customHeight="false" outlineLevel="0" collapsed="false">
      <c r="A32" s="7" t="n">
        <v>31</v>
      </c>
      <c r="B32" s="19" t="n">
        <f aca="false">MAX(0,$A32-'1. Inputs'!$C$24-'1. Inputs'!$B$30+1)</f>
        <v>25</v>
      </c>
      <c r="C32" s="19" t="n">
        <f aca="false">MAX(0,$A32-'1. Inputs'!$C$25-'1. Inputs'!$B$30+1)</f>
        <v>20</v>
      </c>
      <c r="D32" s="19" t="n">
        <f aca="false">MAX(0,$A32-'1. Inputs'!$C$26-'1. Inputs'!$B$30+1)</f>
        <v>15</v>
      </c>
      <c r="E32" s="19" t="n">
        <f aca="false">MAX(0,$A32-'1. Inputs'!$C$27-'1. Inputs'!$B$30+1)</f>
        <v>14</v>
      </c>
      <c r="F32" s="20" t="n">
        <f aca="false">IF(B32&lt;=0,0,'1. Inputs'!$B$24*'1. Inputs'!$B$5*B32^'1. Inputs'!$B$7/('1. Inputs'!$B$6^'1. Inputs'!$B$7+B32^'1. Inputs'!$B$7))</f>
        <v>191.218130311615</v>
      </c>
      <c r="G32" s="20" t="n">
        <f aca="false">IF(C32&lt;=0,0,'1. Inputs'!$B$25*'1. Inputs'!$B$5*C32^'1. Inputs'!$B$7/('1. Inputs'!$B$6^'1. Inputs'!$B$7+C32^'1. Inputs'!$B$7))</f>
        <v>239.50103950104</v>
      </c>
      <c r="H32" s="20" t="n">
        <f aca="false">IF(D32&lt;=0,0,'1. Inputs'!$B$26*'1. Inputs'!$B$5*D32^'1. Inputs'!$B$7/('1. Inputs'!$B$6^'1. Inputs'!$B$7+D32^'1. Inputs'!$B$7))</f>
        <v>92.6470588235294</v>
      </c>
      <c r="I32" s="20" t="n">
        <f aca="false">IF(E32&lt;=0,0,'1. Inputs'!$B$27*'1. Inputs'!$B$5*E32^'1. Inputs'!$B$7/('1. Inputs'!$B$6^'1. Inputs'!$B$7+E32^'1. Inputs'!$B$7))</f>
        <v>63.6823104693141</v>
      </c>
      <c r="J32" s="21" t="n">
        <f aca="false">IF(B32&lt;=0,0,'1. Inputs'!$B$9+'1. Inputs'!$B$10*B32/(B32+'1. Inputs'!$B$11))</f>
        <v>0.196774193548387</v>
      </c>
      <c r="K32" s="21" t="n">
        <f aca="false">IF(C32&lt;=0,0,'1. Inputs'!$B$9+'1. Inputs'!$B$10*C32/(C32+'1. Inputs'!$B$11))</f>
        <v>0.192307692307692</v>
      </c>
      <c r="L32" s="21" t="n">
        <f aca="false">IF(D32&lt;=0,0,'1. Inputs'!$B$9+'1. Inputs'!$B$10*D32/(D32+'1. Inputs'!$B$11))</f>
        <v>0.185714285714286</v>
      </c>
      <c r="M32" s="21" t="n">
        <f aca="false">IF(E32&lt;=0,0,'1. Inputs'!$B$9+'1. Inputs'!$B$10*E32/(E32+'1. Inputs'!$B$11))</f>
        <v>0.184</v>
      </c>
      <c r="N32" s="22" t="n">
        <f aca="false">IF(B32&lt;=0,0,'1. Inputs'!$B$13*(1+'1. Inputs'!$B$14*MIN(B32,'1. Inputs'!$B$15))*'1. Inputs'!$B$31)</f>
        <v>95200</v>
      </c>
      <c r="O32" s="22" t="n">
        <f aca="false">IF(C32&lt;=0,0,'1. Inputs'!$B$13*(1+'1. Inputs'!$B$14*MIN(C32,'1. Inputs'!$B$15))*'1. Inputs'!$B$31)</f>
        <v>95200</v>
      </c>
      <c r="P32" s="22" t="n">
        <f aca="false">IF(D32&lt;=0,0,'1. Inputs'!$B$13*(1+'1. Inputs'!$B$14*MIN(D32,'1. Inputs'!$B$15))*'1. Inputs'!$B$31)</f>
        <v>91000</v>
      </c>
      <c r="Q32" s="22" t="n">
        <f aca="false">IF(E32&lt;=0,0,'1. Inputs'!$B$13*(1+'1. Inputs'!$B$14*MIN(E32,'1. Inputs'!$B$15))*'1. Inputs'!$B$31)</f>
        <v>89600</v>
      </c>
    </row>
    <row r="33" customFormat="false" ht="15" hidden="false" customHeight="false" outlineLevel="0" collapsed="false">
      <c r="A33" s="7" t="n">
        <v>32</v>
      </c>
      <c r="B33" s="19" t="n">
        <f aca="false">MAX(0,$A33-'1. Inputs'!$C$24-'1. Inputs'!$B$30+1)</f>
        <v>26</v>
      </c>
      <c r="C33" s="19" t="n">
        <f aca="false">MAX(0,$A33-'1. Inputs'!$C$25-'1. Inputs'!$B$30+1)</f>
        <v>21</v>
      </c>
      <c r="D33" s="19" t="n">
        <f aca="false">MAX(0,$A33-'1. Inputs'!$C$26-'1. Inputs'!$B$30+1)</f>
        <v>16</v>
      </c>
      <c r="E33" s="19" t="n">
        <f aca="false">MAX(0,$A33-'1. Inputs'!$C$27-'1. Inputs'!$B$30+1)</f>
        <v>15</v>
      </c>
      <c r="F33" s="20" t="n">
        <f aca="false">IF(B33&lt;=0,0,'1. Inputs'!$B$24*'1. Inputs'!$B$5*B33^'1. Inputs'!$B$7/('1. Inputs'!$B$6^'1. Inputs'!$B$7+B33^'1. Inputs'!$B$7))</f>
        <v>192.887714663144</v>
      </c>
      <c r="G33" s="20" t="n">
        <f aca="false">IF(C33&lt;=0,0,'1. Inputs'!$B$25*'1. Inputs'!$B$5*C33^'1. Inputs'!$B$7/('1. Inputs'!$B$6^'1. Inputs'!$B$7+C33^'1. Inputs'!$B$7))</f>
        <v>243.310344827586</v>
      </c>
      <c r="H33" s="20" t="n">
        <f aca="false">IF(D33&lt;=0,0,'1. Inputs'!$B$26*'1. Inputs'!$B$5*D33^'1. Inputs'!$B$7/('1. Inputs'!$B$6^'1. Inputs'!$B$7+D33^'1. Inputs'!$B$7))</f>
        <v>95.7151335311573</v>
      </c>
      <c r="I33" s="20" t="n">
        <f aca="false">IF(E33&lt;=0,0,'1. Inputs'!$B$27*'1. Inputs'!$B$5*E33^'1. Inputs'!$B$7/('1. Inputs'!$B$6^'1. Inputs'!$B$7+E33^'1. Inputs'!$B$7))</f>
        <v>66.1764705882353</v>
      </c>
      <c r="J33" s="21" t="n">
        <f aca="false">IF(B33&lt;=0,0,'1. Inputs'!$B$9+'1. Inputs'!$B$10*B33/(B33+'1. Inputs'!$B$11))</f>
        <v>0.1975</v>
      </c>
      <c r="K33" s="21" t="n">
        <f aca="false">IF(C33&lt;=0,0,'1. Inputs'!$B$9+'1. Inputs'!$B$10*C33/(C33+'1. Inputs'!$B$11))</f>
        <v>0.193333333333333</v>
      </c>
      <c r="L33" s="21" t="n">
        <f aca="false">IF(D33&lt;=0,0,'1. Inputs'!$B$9+'1. Inputs'!$B$10*D33/(D33+'1. Inputs'!$B$11))</f>
        <v>0.187272727272727</v>
      </c>
      <c r="M33" s="21" t="n">
        <f aca="false">IF(E33&lt;=0,0,'1. Inputs'!$B$9+'1. Inputs'!$B$10*E33/(E33+'1. Inputs'!$B$11))</f>
        <v>0.185714285714286</v>
      </c>
      <c r="N33" s="22" t="n">
        <f aca="false">IF(B33&lt;=0,0,'1. Inputs'!$B$13*(1+'1. Inputs'!$B$14*MIN(B33,'1. Inputs'!$B$15))*'1. Inputs'!$B$31)</f>
        <v>95200</v>
      </c>
      <c r="O33" s="22" t="n">
        <f aca="false">IF(C33&lt;=0,0,'1. Inputs'!$B$13*(1+'1. Inputs'!$B$14*MIN(C33,'1. Inputs'!$B$15))*'1. Inputs'!$B$31)</f>
        <v>95200</v>
      </c>
      <c r="P33" s="22" t="n">
        <f aca="false">IF(D33&lt;=0,0,'1. Inputs'!$B$13*(1+'1. Inputs'!$B$14*MIN(D33,'1. Inputs'!$B$15))*'1. Inputs'!$B$31)</f>
        <v>92400</v>
      </c>
      <c r="Q33" s="22" t="n">
        <f aca="false">IF(E33&lt;=0,0,'1. Inputs'!$B$13*(1+'1. Inputs'!$B$14*MIN(E33,'1. Inputs'!$B$15))*'1. Inputs'!$B$31)</f>
        <v>91000</v>
      </c>
    </row>
    <row r="34" customFormat="false" ht="15" hidden="false" customHeight="false" outlineLevel="0" collapsed="false">
      <c r="A34" s="7" t="n">
        <v>33</v>
      </c>
      <c r="B34" s="19" t="n">
        <f aca="false">MAX(0,$A34-'1. Inputs'!$C$24-'1. Inputs'!$B$30+1)</f>
        <v>27</v>
      </c>
      <c r="C34" s="19" t="n">
        <f aca="false">MAX(0,$A34-'1. Inputs'!$C$25-'1. Inputs'!$B$30+1)</f>
        <v>22</v>
      </c>
      <c r="D34" s="19" t="n">
        <f aca="false">MAX(0,$A34-'1. Inputs'!$C$26-'1. Inputs'!$B$30+1)</f>
        <v>17</v>
      </c>
      <c r="E34" s="19" t="n">
        <f aca="false">MAX(0,$A34-'1. Inputs'!$C$27-'1. Inputs'!$B$30+1)</f>
        <v>16</v>
      </c>
      <c r="F34" s="20" t="n">
        <f aca="false">IF(B34&lt;=0,0,'1. Inputs'!$B$24*'1. Inputs'!$B$5*B34^'1. Inputs'!$B$7/('1. Inputs'!$B$6^'1. Inputs'!$B$7+B34^'1. Inputs'!$B$7))</f>
        <v>194.4</v>
      </c>
      <c r="G34" s="20" t="n">
        <f aca="false">IF(C34&lt;=0,0,'1. Inputs'!$B$25*'1. Inputs'!$B$5*C34^'1. Inputs'!$B$7/('1. Inputs'!$B$6^'1. Inputs'!$B$7+C34^'1. Inputs'!$B$7))</f>
        <v>246.711504424779</v>
      </c>
      <c r="H34" s="20" t="n">
        <f aca="false">IF(D34&lt;=0,0,'1. Inputs'!$B$26*'1. Inputs'!$B$5*D34^'1. Inputs'!$B$7/('1. Inputs'!$B$6^'1. Inputs'!$B$7+D34^'1. Inputs'!$B$7))</f>
        <v>98.4162162162162</v>
      </c>
      <c r="I34" s="20" t="n">
        <f aca="false">IF(E34&lt;=0,0,'1. Inputs'!$B$27*'1. Inputs'!$B$5*E34^'1. Inputs'!$B$7/('1. Inputs'!$B$6^'1. Inputs'!$B$7+E34^'1. Inputs'!$B$7))</f>
        <v>68.3679525222552</v>
      </c>
      <c r="J34" s="21" t="n">
        <f aca="false">IF(B34&lt;=0,0,'1. Inputs'!$B$9+'1. Inputs'!$B$10*B34/(B34+'1. Inputs'!$B$11))</f>
        <v>0.198181818181818</v>
      </c>
      <c r="K34" s="21" t="n">
        <f aca="false">IF(C34&lt;=0,0,'1. Inputs'!$B$9+'1. Inputs'!$B$10*C34/(C34+'1. Inputs'!$B$11))</f>
        <v>0.194285714285714</v>
      </c>
      <c r="L34" s="21" t="n">
        <f aca="false">IF(D34&lt;=0,0,'1. Inputs'!$B$9+'1. Inputs'!$B$10*D34/(D34+'1. Inputs'!$B$11))</f>
        <v>0.188695652173913</v>
      </c>
      <c r="M34" s="21" t="n">
        <f aca="false">IF(E34&lt;=0,0,'1. Inputs'!$B$9+'1. Inputs'!$B$10*E34/(E34+'1. Inputs'!$B$11))</f>
        <v>0.187272727272727</v>
      </c>
      <c r="N34" s="22" t="n">
        <f aca="false">IF(B34&lt;=0,0,'1. Inputs'!$B$13*(1+'1. Inputs'!$B$14*MIN(B34,'1. Inputs'!$B$15))*'1. Inputs'!$B$31)</f>
        <v>95200</v>
      </c>
      <c r="O34" s="22" t="n">
        <f aca="false">IF(C34&lt;=0,0,'1. Inputs'!$B$13*(1+'1. Inputs'!$B$14*MIN(C34,'1. Inputs'!$B$15))*'1. Inputs'!$B$31)</f>
        <v>95200</v>
      </c>
      <c r="P34" s="22" t="n">
        <f aca="false">IF(D34&lt;=0,0,'1. Inputs'!$B$13*(1+'1. Inputs'!$B$14*MIN(D34,'1. Inputs'!$B$15))*'1. Inputs'!$B$31)</f>
        <v>93800</v>
      </c>
      <c r="Q34" s="22" t="n">
        <f aca="false">IF(E34&lt;=0,0,'1. Inputs'!$B$13*(1+'1. Inputs'!$B$14*MIN(E34,'1. Inputs'!$B$15))*'1. Inputs'!$B$31)</f>
        <v>92400</v>
      </c>
    </row>
    <row r="35" customFormat="false" ht="15" hidden="false" customHeight="false" outlineLevel="0" collapsed="false">
      <c r="A35" s="7" t="n">
        <v>34</v>
      </c>
      <c r="B35" s="19" t="n">
        <f aca="false">MAX(0,$A35-'1. Inputs'!$C$24-'1. Inputs'!$B$30+1)</f>
        <v>28</v>
      </c>
      <c r="C35" s="19" t="n">
        <f aca="false">MAX(0,$A35-'1. Inputs'!$C$25-'1. Inputs'!$B$30+1)</f>
        <v>23</v>
      </c>
      <c r="D35" s="19" t="n">
        <f aca="false">MAX(0,$A35-'1. Inputs'!$C$26-'1. Inputs'!$B$30+1)</f>
        <v>18</v>
      </c>
      <c r="E35" s="19" t="n">
        <f aca="false">MAX(0,$A35-'1. Inputs'!$C$27-'1. Inputs'!$B$30+1)</f>
        <v>17</v>
      </c>
      <c r="F35" s="20" t="n">
        <f aca="false">IF(B35&lt;=0,0,'1. Inputs'!$B$24*'1. Inputs'!$B$5*B35^'1. Inputs'!$B$7/('1. Inputs'!$B$6^'1. Inputs'!$B$7+B35^'1. Inputs'!$B$7))</f>
        <v>195.773410404624</v>
      </c>
      <c r="G35" s="20" t="n">
        <f aca="false">IF(C35&lt;=0,0,'1. Inputs'!$B$25*'1. Inputs'!$B$5*C35^'1. Inputs'!$B$7/('1. Inputs'!$B$6^'1. Inputs'!$B$7+C35^'1. Inputs'!$B$7))</f>
        <v>249.75737704918</v>
      </c>
      <c r="H35" s="20" t="n">
        <f aca="false">IF(D35&lt;=0,0,'1. Inputs'!$B$26*'1. Inputs'!$B$5*D35^'1. Inputs'!$B$7/('1. Inputs'!$B$6^'1. Inputs'!$B$7+D35^'1. Inputs'!$B$7))</f>
        <v>100.8</v>
      </c>
      <c r="I35" s="20" t="n">
        <f aca="false">IF(E35&lt;=0,0,'1. Inputs'!$B$27*'1. Inputs'!$B$5*E35^'1. Inputs'!$B$7/('1. Inputs'!$B$6^'1. Inputs'!$B$7+E35^'1. Inputs'!$B$7))</f>
        <v>70.2972972972973</v>
      </c>
      <c r="J35" s="21" t="n">
        <f aca="false">IF(B35&lt;=0,0,'1. Inputs'!$B$9+'1. Inputs'!$B$10*B35/(B35+'1. Inputs'!$B$11))</f>
        <v>0.198823529411765</v>
      </c>
      <c r="K35" s="21" t="n">
        <f aca="false">IF(C35&lt;=0,0,'1. Inputs'!$B$9+'1. Inputs'!$B$10*C35/(C35+'1. Inputs'!$B$11))</f>
        <v>0.195172413793103</v>
      </c>
      <c r="L35" s="21" t="n">
        <f aca="false">IF(D35&lt;=0,0,'1. Inputs'!$B$9+'1. Inputs'!$B$10*D35/(D35+'1. Inputs'!$B$11))</f>
        <v>0.19</v>
      </c>
      <c r="M35" s="21" t="n">
        <f aca="false">IF(E35&lt;=0,0,'1. Inputs'!$B$9+'1. Inputs'!$B$10*E35/(E35+'1. Inputs'!$B$11))</f>
        <v>0.188695652173913</v>
      </c>
      <c r="N35" s="22" t="n">
        <f aca="false">IF(B35&lt;=0,0,'1. Inputs'!$B$13*(1+'1. Inputs'!$B$14*MIN(B35,'1. Inputs'!$B$15))*'1. Inputs'!$B$31)</f>
        <v>95200</v>
      </c>
      <c r="O35" s="22" t="n">
        <f aca="false">IF(C35&lt;=0,0,'1. Inputs'!$B$13*(1+'1. Inputs'!$B$14*MIN(C35,'1. Inputs'!$B$15))*'1. Inputs'!$B$31)</f>
        <v>95200</v>
      </c>
      <c r="P35" s="22" t="n">
        <f aca="false">IF(D35&lt;=0,0,'1. Inputs'!$B$13*(1+'1. Inputs'!$B$14*MIN(D35,'1. Inputs'!$B$15))*'1. Inputs'!$B$31)</f>
        <v>95200</v>
      </c>
      <c r="Q35" s="22" t="n">
        <f aca="false">IF(E35&lt;=0,0,'1. Inputs'!$B$13*(1+'1. Inputs'!$B$14*MIN(E35,'1. Inputs'!$B$15))*'1. Inputs'!$B$31)</f>
        <v>93800</v>
      </c>
    </row>
    <row r="36" customFormat="false" ht="15" hidden="false" customHeight="false" outlineLevel="0" collapsed="false">
      <c r="A36" s="7" t="n">
        <v>35</v>
      </c>
      <c r="B36" s="19" t="n">
        <f aca="false">MAX(0,$A36-'1. Inputs'!$C$24-'1. Inputs'!$B$30+1)</f>
        <v>29</v>
      </c>
      <c r="C36" s="19" t="n">
        <f aca="false">MAX(0,$A36-'1. Inputs'!$C$25-'1. Inputs'!$B$30+1)</f>
        <v>24</v>
      </c>
      <c r="D36" s="19" t="n">
        <f aca="false">MAX(0,$A36-'1. Inputs'!$C$26-'1. Inputs'!$B$30+1)</f>
        <v>19</v>
      </c>
      <c r="E36" s="19" t="n">
        <f aca="false">MAX(0,$A36-'1. Inputs'!$C$27-'1. Inputs'!$B$30+1)</f>
        <v>18</v>
      </c>
      <c r="F36" s="20" t="n">
        <f aca="false">IF(B36&lt;=0,0,'1. Inputs'!$B$24*'1. Inputs'!$B$5*B36^'1. Inputs'!$B$7/('1. Inputs'!$B$6^'1. Inputs'!$B$7+B36^'1. Inputs'!$B$7))</f>
        <v>197.023861171367</v>
      </c>
      <c r="G36" s="20" t="n">
        <f aca="false">IF(C36&lt;=0,0,'1. Inputs'!$B$25*'1. Inputs'!$B$5*C36^'1. Inputs'!$B$7/('1. Inputs'!$B$6^'1. Inputs'!$B$7+C36^'1. Inputs'!$B$7))</f>
        <v>252.493150684932</v>
      </c>
      <c r="H36" s="20" t="n">
        <f aca="false">IF(D36&lt;=0,0,'1. Inputs'!$B$26*'1. Inputs'!$B$5*D36^'1. Inputs'!$B$7/('1. Inputs'!$B$6^'1. Inputs'!$B$7+D36^'1. Inputs'!$B$7))</f>
        <v>102.909502262443</v>
      </c>
      <c r="I36" s="20" t="n">
        <f aca="false">IF(E36&lt;=0,0,'1. Inputs'!$B$27*'1. Inputs'!$B$5*E36^'1. Inputs'!$B$7/('1. Inputs'!$B$6^'1. Inputs'!$B$7+E36^'1. Inputs'!$B$7))</f>
        <v>72</v>
      </c>
      <c r="J36" s="21" t="n">
        <f aca="false">IF(B36&lt;=0,0,'1. Inputs'!$B$9+'1. Inputs'!$B$10*B36/(B36+'1. Inputs'!$B$11))</f>
        <v>0.199428571428571</v>
      </c>
      <c r="K36" s="21" t="n">
        <f aca="false">IF(C36&lt;=0,0,'1. Inputs'!$B$9+'1. Inputs'!$B$10*C36/(C36+'1. Inputs'!$B$11))</f>
        <v>0.196</v>
      </c>
      <c r="L36" s="21" t="n">
        <f aca="false">IF(D36&lt;=0,0,'1. Inputs'!$B$9+'1. Inputs'!$B$10*D36/(D36+'1. Inputs'!$B$11))</f>
        <v>0.1912</v>
      </c>
      <c r="M36" s="21" t="n">
        <f aca="false">IF(E36&lt;=0,0,'1. Inputs'!$B$9+'1. Inputs'!$B$10*E36/(E36+'1. Inputs'!$B$11))</f>
        <v>0.19</v>
      </c>
      <c r="N36" s="22" t="n">
        <f aca="false">IF(B36&lt;=0,0,'1. Inputs'!$B$13*(1+'1. Inputs'!$B$14*MIN(B36,'1. Inputs'!$B$15))*'1. Inputs'!$B$31)</f>
        <v>95200</v>
      </c>
      <c r="O36" s="22" t="n">
        <f aca="false">IF(C36&lt;=0,0,'1. Inputs'!$B$13*(1+'1. Inputs'!$B$14*MIN(C36,'1. Inputs'!$B$15))*'1. Inputs'!$B$31)</f>
        <v>95200</v>
      </c>
      <c r="P36" s="22" t="n">
        <f aca="false">IF(D36&lt;=0,0,'1. Inputs'!$B$13*(1+'1. Inputs'!$B$14*MIN(D36,'1. Inputs'!$B$15))*'1. Inputs'!$B$31)</f>
        <v>95200</v>
      </c>
      <c r="Q36" s="22" t="n">
        <f aca="false">IF(E36&lt;=0,0,'1. Inputs'!$B$13*(1+'1. Inputs'!$B$14*MIN(E36,'1. Inputs'!$B$15))*'1. Inputs'!$B$31)</f>
        <v>95200</v>
      </c>
    </row>
    <row r="37" customFormat="false" ht="15" hidden="false" customHeight="false" outlineLevel="0" collapsed="false">
      <c r="A37" s="7" t="n">
        <v>36</v>
      </c>
      <c r="B37" s="19" t="n">
        <f aca="false">MAX(0,$A37-'1. Inputs'!$C$24-'1. Inputs'!$B$30+1)</f>
        <v>30</v>
      </c>
      <c r="C37" s="19" t="n">
        <f aca="false">MAX(0,$A37-'1. Inputs'!$C$25-'1. Inputs'!$B$30+1)</f>
        <v>25</v>
      </c>
      <c r="D37" s="19" t="n">
        <f aca="false">MAX(0,$A37-'1. Inputs'!$C$26-'1. Inputs'!$B$30+1)</f>
        <v>20</v>
      </c>
      <c r="E37" s="19" t="n">
        <f aca="false">MAX(0,$A37-'1. Inputs'!$C$27-'1. Inputs'!$B$30+1)</f>
        <v>19</v>
      </c>
      <c r="F37" s="20" t="n">
        <f aca="false">IF(B37&lt;=0,0,'1. Inputs'!$B$24*'1. Inputs'!$B$5*B37^'1. Inputs'!$B$7/('1. Inputs'!$B$6^'1. Inputs'!$B$7+B37^'1. Inputs'!$B$7))</f>
        <v>198.165137614679</v>
      </c>
      <c r="G37" s="20" t="n">
        <f aca="false">IF(C37&lt;=0,0,'1. Inputs'!$B$25*'1. Inputs'!$B$5*C37^'1. Inputs'!$B$7/('1. Inputs'!$B$6^'1. Inputs'!$B$7+C37^'1. Inputs'!$B$7))</f>
        <v>254.957507082153</v>
      </c>
      <c r="H37" s="20" t="n">
        <f aca="false">IF(D37&lt;=0,0,'1. Inputs'!$B$26*'1. Inputs'!$B$5*D37^'1. Inputs'!$B$7/('1. Inputs'!$B$6^'1. Inputs'!$B$7+D37^'1. Inputs'!$B$7))</f>
        <v>104.781704781705</v>
      </c>
      <c r="I37" s="20" t="n">
        <f aca="false">IF(E37&lt;=0,0,'1. Inputs'!$B$27*'1. Inputs'!$B$5*E37^'1. Inputs'!$B$7/('1. Inputs'!$B$6^'1. Inputs'!$B$7+E37^'1. Inputs'!$B$7))</f>
        <v>73.5067873303167</v>
      </c>
      <c r="J37" s="21" t="n">
        <f aca="false">IF(B37&lt;=0,0,'1. Inputs'!$B$9+'1. Inputs'!$B$10*B37/(B37+'1. Inputs'!$B$11))</f>
        <v>0.2</v>
      </c>
      <c r="K37" s="21" t="n">
        <f aca="false">IF(C37&lt;=0,0,'1. Inputs'!$B$9+'1. Inputs'!$B$10*C37/(C37+'1. Inputs'!$B$11))</f>
        <v>0.196774193548387</v>
      </c>
      <c r="L37" s="21" t="n">
        <f aca="false">IF(D37&lt;=0,0,'1. Inputs'!$B$9+'1. Inputs'!$B$10*D37/(D37+'1. Inputs'!$B$11))</f>
        <v>0.192307692307692</v>
      </c>
      <c r="M37" s="21" t="n">
        <f aca="false">IF(E37&lt;=0,0,'1. Inputs'!$B$9+'1. Inputs'!$B$10*E37/(E37+'1. Inputs'!$B$11))</f>
        <v>0.1912</v>
      </c>
      <c r="N37" s="22" t="n">
        <f aca="false">IF(B37&lt;=0,0,'1. Inputs'!$B$13*(1+'1. Inputs'!$B$14*MIN(B37,'1. Inputs'!$B$15))*'1. Inputs'!$B$31)</f>
        <v>95200</v>
      </c>
      <c r="O37" s="22" t="n">
        <f aca="false">IF(C37&lt;=0,0,'1. Inputs'!$B$13*(1+'1. Inputs'!$B$14*MIN(C37,'1. Inputs'!$B$15))*'1. Inputs'!$B$31)</f>
        <v>95200</v>
      </c>
      <c r="P37" s="22" t="n">
        <f aca="false">IF(D37&lt;=0,0,'1. Inputs'!$B$13*(1+'1. Inputs'!$B$14*MIN(D37,'1. Inputs'!$B$15))*'1. Inputs'!$B$31)</f>
        <v>95200</v>
      </c>
      <c r="Q37" s="22" t="n">
        <f aca="false">IF(E37&lt;=0,0,'1. Inputs'!$B$13*(1+'1. Inputs'!$B$14*MIN(E37,'1. Inputs'!$B$15))*'1. Inputs'!$B$31)</f>
        <v>95200</v>
      </c>
    </row>
    <row r="38" customFormat="false" ht="15" hidden="false" customHeight="false" outlineLevel="0" collapsed="false">
      <c r="A38" s="7" t="n">
        <v>37</v>
      </c>
      <c r="B38" s="19" t="n">
        <f aca="false">MAX(0,$A38-'1. Inputs'!$C$24-'1. Inputs'!$B$30+1)</f>
        <v>31</v>
      </c>
      <c r="C38" s="19" t="n">
        <f aca="false">MAX(0,$A38-'1. Inputs'!$C$25-'1. Inputs'!$B$30+1)</f>
        <v>26</v>
      </c>
      <c r="D38" s="19" t="n">
        <f aca="false">MAX(0,$A38-'1. Inputs'!$C$26-'1. Inputs'!$B$30+1)</f>
        <v>21</v>
      </c>
      <c r="E38" s="19" t="n">
        <f aca="false">MAX(0,$A38-'1. Inputs'!$C$27-'1. Inputs'!$B$30+1)</f>
        <v>20</v>
      </c>
      <c r="F38" s="20" t="n">
        <f aca="false">IF(B38&lt;=0,0,'1. Inputs'!$B$24*'1. Inputs'!$B$5*B38^'1. Inputs'!$B$7/('1. Inputs'!$B$6^'1. Inputs'!$B$7+B38^'1. Inputs'!$B$7))</f>
        <v>199.209213051823</v>
      </c>
      <c r="G38" s="20" t="n">
        <f aca="false">IF(C38&lt;=0,0,'1. Inputs'!$B$25*'1. Inputs'!$B$5*C38^'1. Inputs'!$B$7/('1. Inputs'!$B$6^'1. Inputs'!$B$7+C38^'1. Inputs'!$B$7))</f>
        <v>257.183619550859</v>
      </c>
      <c r="H38" s="20" t="n">
        <f aca="false">IF(D38&lt;=0,0,'1. Inputs'!$B$26*'1. Inputs'!$B$5*D38^'1. Inputs'!$B$7/('1. Inputs'!$B$6^'1. Inputs'!$B$7+D38^'1. Inputs'!$B$7))</f>
        <v>106.448275862069</v>
      </c>
      <c r="I38" s="20" t="n">
        <f aca="false">IF(E38&lt;=0,0,'1. Inputs'!$B$27*'1. Inputs'!$B$5*E38^'1. Inputs'!$B$7/('1. Inputs'!$B$6^'1. Inputs'!$B$7+E38^'1. Inputs'!$B$7))</f>
        <v>74.8440748440748</v>
      </c>
      <c r="J38" s="21" t="n">
        <f aca="false">IF(B38&lt;=0,0,'1. Inputs'!$B$9+'1. Inputs'!$B$10*B38/(B38+'1. Inputs'!$B$11))</f>
        <v>0.200540540540541</v>
      </c>
      <c r="K38" s="21" t="n">
        <f aca="false">IF(C38&lt;=0,0,'1. Inputs'!$B$9+'1. Inputs'!$B$10*C38/(C38+'1. Inputs'!$B$11))</f>
        <v>0.1975</v>
      </c>
      <c r="L38" s="21" t="n">
        <f aca="false">IF(D38&lt;=0,0,'1. Inputs'!$B$9+'1. Inputs'!$B$10*D38/(D38+'1. Inputs'!$B$11))</f>
        <v>0.193333333333333</v>
      </c>
      <c r="M38" s="21" t="n">
        <f aca="false">IF(E38&lt;=0,0,'1. Inputs'!$B$9+'1. Inputs'!$B$10*E38/(E38+'1. Inputs'!$B$11))</f>
        <v>0.192307692307692</v>
      </c>
      <c r="N38" s="22" t="n">
        <f aca="false">IF(B38&lt;=0,0,'1. Inputs'!$B$13*(1+'1. Inputs'!$B$14*MIN(B38,'1. Inputs'!$B$15))*'1. Inputs'!$B$31)</f>
        <v>95200</v>
      </c>
      <c r="O38" s="22" t="n">
        <f aca="false">IF(C38&lt;=0,0,'1. Inputs'!$B$13*(1+'1. Inputs'!$B$14*MIN(C38,'1. Inputs'!$B$15))*'1. Inputs'!$B$31)</f>
        <v>95200</v>
      </c>
      <c r="P38" s="22" t="n">
        <f aca="false">IF(D38&lt;=0,0,'1. Inputs'!$B$13*(1+'1. Inputs'!$B$14*MIN(D38,'1. Inputs'!$B$15))*'1. Inputs'!$B$31)</f>
        <v>95200</v>
      </c>
      <c r="Q38" s="22" t="n">
        <f aca="false">IF(E38&lt;=0,0,'1. Inputs'!$B$13*(1+'1. Inputs'!$B$14*MIN(E38,'1. Inputs'!$B$15))*'1. Inputs'!$B$31)</f>
        <v>95200</v>
      </c>
    </row>
    <row r="39" customFormat="false" ht="15" hidden="false" customHeight="false" outlineLevel="0" collapsed="false">
      <c r="A39" s="7" t="n">
        <v>38</v>
      </c>
      <c r="B39" s="19" t="n">
        <f aca="false">MAX(0,$A39-'1. Inputs'!$C$24-'1. Inputs'!$B$30+1)</f>
        <v>32</v>
      </c>
      <c r="C39" s="19" t="n">
        <f aca="false">MAX(0,$A39-'1. Inputs'!$C$25-'1. Inputs'!$B$30+1)</f>
        <v>27</v>
      </c>
      <c r="D39" s="19" t="n">
        <f aca="false">MAX(0,$A39-'1. Inputs'!$C$26-'1. Inputs'!$B$30+1)</f>
        <v>22</v>
      </c>
      <c r="E39" s="19" t="n">
        <f aca="false">MAX(0,$A39-'1. Inputs'!$C$27-'1. Inputs'!$B$30+1)</f>
        <v>21</v>
      </c>
      <c r="F39" s="20" t="n">
        <f aca="false">IF(B39&lt;=0,0,'1. Inputs'!$B$24*'1. Inputs'!$B$5*B39^'1. Inputs'!$B$7/('1. Inputs'!$B$6^'1. Inputs'!$B$7+B39^'1. Inputs'!$B$7))</f>
        <v>200.166515837104</v>
      </c>
      <c r="G39" s="20" t="n">
        <f aca="false">IF(C39&lt;=0,0,'1. Inputs'!$B$25*'1. Inputs'!$B$5*C39^'1. Inputs'!$B$7/('1. Inputs'!$B$6^'1. Inputs'!$B$7+C39^'1. Inputs'!$B$7))</f>
        <v>259.2</v>
      </c>
      <c r="H39" s="20" t="n">
        <f aca="false">IF(D39&lt;=0,0,'1. Inputs'!$B$26*'1. Inputs'!$B$5*D39^'1. Inputs'!$B$7/('1. Inputs'!$B$6^'1. Inputs'!$B$7+D39^'1. Inputs'!$B$7))</f>
        <v>107.936283185841</v>
      </c>
      <c r="I39" s="20" t="n">
        <f aca="false">IF(E39&lt;=0,0,'1. Inputs'!$B$27*'1. Inputs'!$B$5*E39^'1. Inputs'!$B$7/('1. Inputs'!$B$6^'1. Inputs'!$B$7+E39^'1. Inputs'!$B$7))</f>
        <v>76.0344827586207</v>
      </c>
      <c r="J39" s="21" t="n">
        <f aca="false">IF(B39&lt;=0,0,'1. Inputs'!$B$9+'1. Inputs'!$B$10*B39/(B39+'1. Inputs'!$B$11))</f>
        <v>0.201052631578947</v>
      </c>
      <c r="K39" s="21" t="n">
        <f aca="false">IF(C39&lt;=0,0,'1. Inputs'!$B$9+'1. Inputs'!$B$10*C39/(C39+'1. Inputs'!$B$11))</f>
        <v>0.198181818181818</v>
      </c>
      <c r="L39" s="21" t="n">
        <f aca="false">IF(D39&lt;=0,0,'1. Inputs'!$B$9+'1. Inputs'!$B$10*D39/(D39+'1. Inputs'!$B$11))</f>
        <v>0.194285714285714</v>
      </c>
      <c r="M39" s="21" t="n">
        <f aca="false">IF(E39&lt;=0,0,'1. Inputs'!$B$9+'1. Inputs'!$B$10*E39/(E39+'1. Inputs'!$B$11))</f>
        <v>0.193333333333333</v>
      </c>
      <c r="N39" s="22" t="n">
        <f aca="false">IF(B39&lt;=0,0,'1. Inputs'!$B$13*(1+'1. Inputs'!$B$14*MIN(B39,'1. Inputs'!$B$15))*'1. Inputs'!$B$31)</f>
        <v>95200</v>
      </c>
      <c r="O39" s="22" t="n">
        <f aca="false">IF(C39&lt;=0,0,'1. Inputs'!$B$13*(1+'1. Inputs'!$B$14*MIN(C39,'1. Inputs'!$B$15))*'1. Inputs'!$B$31)</f>
        <v>95200</v>
      </c>
      <c r="P39" s="22" t="n">
        <f aca="false">IF(D39&lt;=0,0,'1. Inputs'!$B$13*(1+'1. Inputs'!$B$14*MIN(D39,'1. Inputs'!$B$15))*'1. Inputs'!$B$31)</f>
        <v>95200</v>
      </c>
      <c r="Q39" s="22" t="n">
        <f aca="false">IF(E39&lt;=0,0,'1. Inputs'!$B$13*(1+'1. Inputs'!$B$14*MIN(E39,'1. Inputs'!$B$15))*'1. Inputs'!$B$31)</f>
        <v>95200</v>
      </c>
    </row>
    <row r="40" customFormat="false" ht="15" hidden="false" customHeight="false" outlineLevel="0" collapsed="false">
      <c r="A40" s="7" t="n">
        <v>39</v>
      </c>
      <c r="B40" s="19" t="n">
        <f aca="false">MAX(0,$A40-'1. Inputs'!$C$24-'1. Inputs'!$B$30+1)</f>
        <v>33</v>
      </c>
      <c r="C40" s="19" t="n">
        <f aca="false">MAX(0,$A40-'1. Inputs'!$C$25-'1. Inputs'!$B$30+1)</f>
        <v>28</v>
      </c>
      <c r="D40" s="19" t="n">
        <f aca="false">MAX(0,$A40-'1. Inputs'!$C$26-'1. Inputs'!$B$30+1)</f>
        <v>23</v>
      </c>
      <c r="E40" s="19" t="n">
        <f aca="false">MAX(0,$A40-'1. Inputs'!$C$27-'1. Inputs'!$B$30+1)</f>
        <v>22</v>
      </c>
      <c r="F40" s="20" t="n">
        <f aca="false">IF(B40&lt;=0,0,'1. Inputs'!$B$24*'1. Inputs'!$B$5*B40^'1. Inputs'!$B$7/('1. Inputs'!$B$6^'1. Inputs'!$B$7+B40^'1. Inputs'!$B$7))</f>
        <v>201.046153846154</v>
      </c>
      <c r="G40" s="20" t="n">
        <f aca="false">IF(C40&lt;=0,0,'1. Inputs'!$B$25*'1. Inputs'!$B$5*C40^'1. Inputs'!$B$7/('1. Inputs'!$B$6^'1. Inputs'!$B$7+C40^'1. Inputs'!$B$7))</f>
        <v>261.031213872832</v>
      </c>
      <c r="H40" s="20" t="n">
        <f aca="false">IF(D40&lt;=0,0,'1. Inputs'!$B$26*'1. Inputs'!$B$5*D40^'1. Inputs'!$B$7/('1. Inputs'!$B$6^'1. Inputs'!$B$7+D40^'1. Inputs'!$B$7))</f>
        <v>109.268852459016</v>
      </c>
      <c r="I40" s="20" t="n">
        <f aca="false">IF(E40&lt;=0,0,'1. Inputs'!$B$27*'1. Inputs'!$B$5*E40^'1. Inputs'!$B$7/('1. Inputs'!$B$6^'1. Inputs'!$B$7+E40^'1. Inputs'!$B$7))</f>
        <v>77.0973451327434</v>
      </c>
      <c r="J40" s="21" t="n">
        <f aca="false">IF(B40&lt;=0,0,'1. Inputs'!$B$9+'1. Inputs'!$B$10*B40/(B40+'1. Inputs'!$B$11))</f>
        <v>0.201538461538462</v>
      </c>
      <c r="K40" s="21" t="n">
        <f aca="false">IF(C40&lt;=0,0,'1. Inputs'!$B$9+'1. Inputs'!$B$10*C40/(C40+'1. Inputs'!$B$11))</f>
        <v>0.198823529411765</v>
      </c>
      <c r="L40" s="21" t="n">
        <f aca="false">IF(D40&lt;=0,0,'1. Inputs'!$B$9+'1. Inputs'!$B$10*D40/(D40+'1. Inputs'!$B$11))</f>
        <v>0.195172413793103</v>
      </c>
      <c r="M40" s="21" t="n">
        <f aca="false">IF(E40&lt;=0,0,'1. Inputs'!$B$9+'1. Inputs'!$B$10*E40/(E40+'1. Inputs'!$B$11))</f>
        <v>0.194285714285714</v>
      </c>
      <c r="N40" s="22" t="n">
        <f aca="false">IF(B40&lt;=0,0,'1. Inputs'!$B$13*(1+'1. Inputs'!$B$14*MIN(B40,'1. Inputs'!$B$15))*'1. Inputs'!$B$31)</f>
        <v>95200</v>
      </c>
      <c r="O40" s="22" t="n">
        <f aca="false">IF(C40&lt;=0,0,'1. Inputs'!$B$13*(1+'1. Inputs'!$B$14*MIN(C40,'1. Inputs'!$B$15))*'1. Inputs'!$B$31)</f>
        <v>95200</v>
      </c>
      <c r="P40" s="22" t="n">
        <f aca="false">IF(D40&lt;=0,0,'1. Inputs'!$B$13*(1+'1. Inputs'!$B$14*MIN(D40,'1. Inputs'!$B$15))*'1. Inputs'!$B$31)</f>
        <v>95200</v>
      </c>
      <c r="Q40" s="22" t="n">
        <f aca="false">IF(E40&lt;=0,0,'1. Inputs'!$B$13*(1+'1. Inputs'!$B$14*MIN(E40,'1. Inputs'!$B$15))*'1. Inputs'!$B$31)</f>
        <v>95200</v>
      </c>
    </row>
    <row r="41" customFormat="false" ht="15" hidden="false" customHeight="false" outlineLevel="0" collapsed="false">
      <c r="A41" s="7" t="n">
        <v>40</v>
      </c>
      <c r="B41" s="19" t="n">
        <f aca="false">MAX(0,$A41-'1. Inputs'!$C$24-'1. Inputs'!$B$30+1)</f>
        <v>34</v>
      </c>
      <c r="C41" s="19" t="n">
        <f aca="false">MAX(0,$A41-'1. Inputs'!$C$25-'1. Inputs'!$B$30+1)</f>
        <v>29</v>
      </c>
      <c r="D41" s="19" t="n">
        <f aca="false">MAX(0,$A41-'1. Inputs'!$C$26-'1. Inputs'!$B$30+1)</f>
        <v>24</v>
      </c>
      <c r="E41" s="19" t="n">
        <f aca="false">MAX(0,$A41-'1. Inputs'!$C$27-'1. Inputs'!$B$30+1)</f>
        <v>23</v>
      </c>
      <c r="F41" s="20" t="n">
        <f aca="false">IF(B41&lt;=0,0,'1. Inputs'!$B$24*'1. Inputs'!$B$5*B41^'1. Inputs'!$B$7/('1. Inputs'!$B$6^'1. Inputs'!$B$7+B41^'1. Inputs'!$B$7))</f>
        <v>201.856103476152</v>
      </c>
      <c r="G41" s="20" t="n">
        <f aca="false">IF(C41&lt;=0,0,'1. Inputs'!$B$25*'1. Inputs'!$B$5*C41^'1. Inputs'!$B$7/('1. Inputs'!$B$6^'1. Inputs'!$B$7+C41^'1. Inputs'!$B$7))</f>
        <v>262.698481561822</v>
      </c>
      <c r="H41" s="20" t="n">
        <f aca="false">IF(D41&lt;=0,0,'1. Inputs'!$B$26*'1. Inputs'!$B$5*D41^'1. Inputs'!$B$7/('1. Inputs'!$B$6^'1. Inputs'!$B$7+D41^'1. Inputs'!$B$7))</f>
        <v>110.465753424658</v>
      </c>
      <c r="I41" s="20" t="n">
        <f aca="false">IF(E41&lt;=0,0,'1. Inputs'!$B$27*'1. Inputs'!$B$5*E41^'1. Inputs'!$B$7/('1. Inputs'!$B$6^'1. Inputs'!$B$7+E41^'1. Inputs'!$B$7))</f>
        <v>78.0491803278689</v>
      </c>
      <c r="J41" s="21" t="n">
        <f aca="false">IF(B41&lt;=0,0,'1. Inputs'!$B$9+'1. Inputs'!$B$10*B41/(B41+'1. Inputs'!$B$11))</f>
        <v>0.202</v>
      </c>
      <c r="K41" s="21" t="n">
        <f aca="false">IF(C41&lt;=0,0,'1. Inputs'!$B$9+'1. Inputs'!$B$10*C41/(C41+'1. Inputs'!$B$11))</f>
        <v>0.199428571428571</v>
      </c>
      <c r="L41" s="21" t="n">
        <f aca="false">IF(D41&lt;=0,0,'1. Inputs'!$B$9+'1. Inputs'!$B$10*D41/(D41+'1. Inputs'!$B$11))</f>
        <v>0.196</v>
      </c>
      <c r="M41" s="21" t="n">
        <f aca="false">IF(E41&lt;=0,0,'1. Inputs'!$B$9+'1. Inputs'!$B$10*E41/(E41+'1. Inputs'!$B$11))</f>
        <v>0.195172413793103</v>
      </c>
      <c r="N41" s="22" t="n">
        <f aca="false">IF(B41&lt;=0,0,'1. Inputs'!$B$13*(1+'1. Inputs'!$B$14*MIN(B41,'1. Inputs'!$B$15))*'1. Inputs'!$B$31)</f>
        <v>95200</v>
      </c>
      <c r="O41" s="22" t="n">
        <f aca="false">IF(C41&lt;=0,0,'1. Inputs'!$B$13*(1+'1. Inputs'!$B$14*MIN(C41,'1. Inputs'!$B$15))*'1. Inputs'!$B$31)</f>
        <v>95200</v>
      </c>
      <c r="P41" s="22" t="n">
        <f aca="false">IF(D41&lt;=0,0,'1. Inputs'!$B$13*(1+'1. Inputs'!$B$14*MIN(D41,'1. Inputs'!$B$15))*'1. Inputs'!$B$31)</f>
        <v>95200</v>
      </c>
      <c r="Q41" s="22" t="n">
        <f aca="false">IF(E41&lt;=0,0,'1. Inputs'!$B$13*(1+'1. Inputs'!$B$14*MIN(E41,'1. Inputs'!$B$15))*'1. Inputs'!$B$31)</f>
        <v>95200</v>
      </c>
    </row>
    <row r="42" customFormat="false" ht="15" hidden="false" customHeight="false" outlineLevel="0" collapsed="false">
      <c r="A42" s="7" t="n">
        <v>41</v>
      </c>
      <c r="B42" s="19" t="n">
        <f aca="false">MAX(0,$A42-'1. Inputs'!$C$24-'1. Inputs'!$B$30+1)</f>
        <v>35</v>
      </c>
      <c r="C42" s="19" t="n">
        <f aca="false">MAX(0,$A42-'1. Inputs'!$C$25-'1. Inputs'!$B$30+1)</f>
        <v>30</v>
      </c>
      <c r="D42" s="19" t="n">
        <f aca="false">MAX(0,$A42-'1. Inputs'!$C$26-'1. Inputs'!$B$30+1)</f>
        <v>25</v>
      </c>
      <c r="E42" s="19" t="n">
        <f aca="false">MAX(0,$A42-'1. Inputs'!$C$27-'1. Inputs'!$B$30+1)</f>
        <v>24</v>
      </c>
      <c r="F42" s="20" t="n">
        <f aca="false">IF(B42&lt;=0,0,'1. Inputs'!$B$24*'1. Inputs'!$B$5*B42^'1. Inputs'!$B$7/('1. Inputs'!$B$6^'1. Inputs'!$B$7+B42^'1. Inputs'!$B$7))</f>
        <v>202.60336906585</v>
      </c>
      <c r="G42" s="20" t="n">
        <f aca="false">IF(C42&lt;=0,0,'1. Inputs'!$B$25*'1. Inputs'!$B$5*C42^'1. Inputs'!$B$7/('1. Inputs'!$B$6^'1. Inputs'!$B$7+C42^'1. Inputs'!$B$7))</f>
        <v>264.220183486239</v>
      </c>
      <c r="H42" s="20" t="n">
        <f aca="false">IF(D42&lt;=0,0,'1. Inputs'!$B$26*'1. Inputs'!$B$5*D42^'1. Inputs'!$B$7/('1. Inputs'!$B$6^'1. Inputs'!$B$7+D42^'1. Inputs'!$B$7))</f>
        <v>111.543909348442</v>
      </c>
      <c r="I42" s="20" t="n">
        <f aca="false">IF(E42&lt;=0,0,'1. Inputs'!$B$27*'1. Inputs'!$B$5*E42^'1. Inputs'!$B$7/('1. Inputs'!$B$6^'1. Inputs'!$B$7+E42^'1. Inputs'!$B$7))</f>
        <v>78.9041095890411</v>
      </c>
      <c r="J42" s="21" t="n">
        <f aca="false">IF(B42&lt;=0,0,'1. Inputs'!$B$9+'1. Inputs'!$B$10*B42/(B42+'1. Inputs'!$B$11))</f>
        <v>0.202439024390244</v>
      </c>
      <c r="K42" s="21" t="n">
        <f aca="false">IF(C42&lt;=0,0,'1. Inputs'!$B$9+'1. Inputs'!$B$10*C42/(C42+'1. Inputs'!$B$11))</f>
        <v>0.2</v>
      </c>
      <c r="L42" s="21" t="n">
        <f aca="false">IF(D42&lt;=0,0,'1. Inputs'!$B$9+'1. Inputs'!$B$10*D42/(D42+'1. Inputs'!$B$11))</f>
        <v>0.196774193548387</v>
      </c>
      <c r="M42" s="21" t="n">
        <f aca="false">IF(E42&lt;=0,0,'1. Inputs'!$B$9+'1. Inputs'!$B$10*E42/(E42+'1. Inputs'!$B$11))</f>
        <v>0.196</v>
      </c>
      <c r="N42" s="22" t="n">
        <f aca="false">IF(B42&lt;=0,0,'1. Inputs'!$B$13*(1+'1. Inputs'!$B$14*MIN(B42,'1. Inputs'!$B$15))*'1. Inputs'!$B$31)</f>
        <v>95200</v>
      </c>
      <c r="O42" s="22" t="n">
        <f aca="false">IF(C42&lt;=0,0,'1. Inputs'!$B$13*(1+'1. Inputs'!$B$14*MIN(C42,'1. Inputs'!$B$15))*'1. Inputs'!$B$31)</f>
        <v>95200</v>
      </c>
      <c r="P42" s="22" t="n">
        <f aca="false">IF(D42&lt;=0,0,'1. Inputs'!$B$13*(1+'1. Inputs'!$B$14*MIN(D42,'1. Inputs'!$B$15))*'1. Inputs'!$B$31)</f>
        <v>95200</v>
      </c>
      <c r="Q42" s="22" t="n">
        <f aca="false">IF(E42&lt;=0,0,'1. Inputs'!$B$13*(1+'1. Inputs'!$B$14*MIN(E42,'1. Inputs'!$B$15))*'1. Inputs'!$B$31)</f>
        <v>95200</v>
      </c>
    </row>
    <row r="43" customFormat="false" ht="15" hidden="false" customHeight="false" outlineLevel="0" collapsed="false">
      <c r="A43" s="7" t="n">
        <v>42</v>
      </c>
      <c r="B43" s="19" t="n">
        <f aca="false">MAX(0,$A43-'1. Inputs'!$C$24-'1. Inputs'!$B$30+1)</f>
        <v>36</v>
      </c>
      <c r="C43" s="19" t="n">
        <f aca="false">MAX(0,$A43-'1. Inputs'!$C$25-'1. Inputs'!$B$30+1)</f>
        <v>31</v>
      </c>
      <c r="D43" s="19" t="n">
        <f aca="false">MAX(0,$A43-'1. Inputs'!$C$26-'1. Inputs'!$B$30+1)</f>
        <v>26</v>
      </c>
      <c r="E43" s="19" t="n">
        <f aca="false">MAX(0,$A43-'1. Inputs'!$C$27-'1. Inputs'!$B$30+1)</f>
        <v>25</v>
      </c>
      <c r="F43" s="20" t="n">
        <f aca="false">IF(B43&lt;=0,0,'1. Inputs'!$B$24*'1. Inputs'!$B$5*B43^'1. Inputs'!$B$7/('1. Inputs'!$B$6^'1. Inputs'!$B$7+B43^'1. Inputs'!$B$7))</f>
        <v>203.294117647059</v>
      </c>
      <c r="G43" s="20" t="n">
        <f aca="false">IF(C43&lt;=0,0,'1. Inputs'!$B$25*'1. Inputs'!$B$5*C43^'1. Inputs'!$B$7/('1. Inputs'!$B$6^'1. Inputs'!$B$7+C43^'1. Inputs'!$B$7))</f>
        <v>265.612284069098</v>
      </c>
      <c r="H43" s="20" t="n">
        <f aca="false">IF(D43&lt;=0,0,'1. Inputs'!$B$26*'1. Inputs'!$B$5*D43^'1. Inputs'!$B$7/('1. Inputs'!$B$6^'1. Inputs'!$B$7+D43^'1. Inputs'!$B$7))</f>
        <v>112.517833553501</v>
      </c>
      <c r="I43" s="20" t="n">
        <f aca="false">IF(E43&lt;=0,0,'1. Inputs'!$B$27*'1. Inputs'!$B$5*E43^'1. Inputs'!$B$7/('1. Inputs'!$B$6^'1. Inputs'!$B$7+E43^'1. Inputs'!$B$7))</f>
        <v>79.6742209631728</v>
      </c>
      <c r="J43" s="21" t="n">
        <f aca="false">IF(B43&lt;=0,0,'1. Inputs'!$B$9+'1. Inputs'!$B$10*B43/(B43+'1. Inputs'!$B$11))</f>
        <v>0.202857142857143</v>
      </c>
      <c r="K43" s="21" t="n">
        <f aca="false">IF(C43&lt;=0,0,'1. Inputs'!$B$9+'1. Inputs'!$B$10*C43/(C43+'1. Inputs'!$B$11))</f>
        <v>0.200540540540541</v>
      </c>
      <c r="L43" s="21" t="n">
        <f aca="false">IF(D43&lt;=0,0,'1. Inputs'!$B$9+'1. Inputs'!$B$10*D43/(D43+'1. Inputs'!$B$11))</f>
        <v>0.1975</v>
      </c>
      <c r="M43" s="21" t="n">
        <f aca="false">IF(E43&lt;=0,0,'1. Inputs'!$B$9+'1. Inputs'!$B$10*E43/(E43+'1. Inputs'!$B$11))</f>
        <v>0.196774193548387</v>
      </c>
      <c r="N43" s="22" t="n">
        <f aca="false">IF(B43&lt;=0,0,'1. Inputs'!$B$13*(1+'1. Inputs'!$B$14*MIN(B43,'1. Inputs'!$B$15))*'1. Inputs'!$B$31)</f>
        <v>95200</v>
      </c>
      <c r="O43" s="22" t="n">
        <f aca="false">IF(C43&lt;=0,0,'1. Inputs'!$B$13*(1+'1. Inputs'!$B$14*MIN(C43,'1. Inputs'!$B$15))*'1. Inputs'!$B$31)</f>
        <v>95200</v>
      </c>
      <c r="P43" s="22" t="n">
        <f aca="false">IF(D43&lt;=0,0,'1. Inputs'!$B$13*(1+'1. Inputs'!$B$14*MIN(D43,'1. Inputs'!$B$15))*'1. Inputs'!$B$31)</f>
        <v>95200</v>
      </c>
      <c r="Q43" s="22" t="n">
        <f aca="false">IF(E43&lt;=0,0,'1. Inputs'!$B$13*(1+'1. Inputs'!$B$14*MIN(E43,'1. Inputs'!$B$15))*'1. Inputs'!$B$31)</f>
        <v>95200</v>
      </c>
    </row>
    <row r="44" customFormat="false" ht="15" hidden="false" customHeight="false" outlineLevel="0" collapsed="false">
      <c r="A44" s="7" t="n">
        <v>43</v>
      </c>
      <c r="B44" s="19" t="n">
        <f aca="false">MAX(0,$A44-'1. Inputs'!$C$24-'1. Inputs'!$B$30+1)</f>
        <v>37</v>
      </c>
      <c r="C44" s="19" t="n">
        <f aca="false">MAX(0,$A44-'1. Inputs'!$C$25-'1. Inputs'!$B$30+1)</f>
        <v>32</v>
      </c>
      <c r="D44" s="19" t="n">
        <f aca="false">MAX(0,$A44-'1. Inputs'!$C$26-'1. Inputs'!$B$30+1)</f>
        <v>27</v>
      </c>
      <c r="E44" s="19" t="n">
        <f aca="false">MAX(0,$A44-'1. Inputs'!$C$27-'1. Inputs'!$B$30+1)</f>
        <v>26</v>
      </c>
      <c r="F44" s="20" t="n">
        <f aca="false">IF(B44&lt;=0,0,'1. Inputs'!$B$24*'1. Inputs'!$B$5*B44^'1. Inputs'!$B$7/('1. Inputs'!$B$6^'1. Inputs'!$B$7+B44^'1. Inputs'!$B$7))</f>
        <v>203.933793103448</v>
      </c>
      <c r="G44" s="20" t="n">
        <f aca="false">IF(C44&lt;=0,0,'1. Inputs'!$B$25*'1. Inputs'!$B$5*C44^'1. Inputs'!$B$7/('1. Inputs'!$B$6^'1. Inputs'!$B$7+C44^'1. Inputs'!$B$7))</f>
        <v>266.888687782805</v>
      </c>
      <c r="H44" s="20" t="n">
        <f aca="false">IF(D44&lt;=0,0,'1. Inputs'!$B$26*'1. Inputs'!$B$5*D44^'1. Inputs'!$B$7/('1. Inputs'!$B$6^'1. Inputs'!$B$7+D44^'1. Inputs'!$B$7))</f>
        <v>113.4</v>
      </c>
      <c r="I44" s="20" t="n">
        <f aca="false">IF(E44&lt;=0,0,'1. Inputs'!$B$27*'1. Inputs'!$B$5*E44^'1. Inputs'!$B$7/('1. Inputs'!$B$6^'1. Inputs'!$B$7+E44^'1. Inputs'!$B$7))</f>
        <v>80.3698811096433</v>
      </c>
      <c r="J44" s="21" t="n">
        <f aca="false">IF(B44&lt;=0,0,'1. Inputs'!$B$9+'1. Inputs'!$B$10*B44/(B44+'1. Inputs'!$B$11))</f>
        <v>0.203255813953488</v>
      </c>
      <c r="K44" s="21" t="n">
        <f aca="false">IF(C44&lt;=0,0,'1. Inputs'!$B$9+'1. Inputs'!$B$10*C44/(C44+'1. Inputs'!$B$11))</f>
        <v>0.201052631578947</v>
      </c>
      <c r="L44" s="21" t="n">
        <f aca="false">IF(D44&lt;=0,0,'1. Inputs'!$B$9+'1. Inputs'!$B$10*D44/(D44+'1. Inputs'!$B$11))</f>
        <v>0.198181818181818</v>
      </c>
      <c r="M44" s="21" t="n">
        <f aca="false">IF(E44&lt;=0,0,'1. Inputs'!$B$9+'1. Inputs'!$B$10*E44/(E44+'1. Inputs'!$B$11))</f>
        <v>0.1975</v>
      </c>
      <c r="N44" s="22" t="n">
        <f aca="false">IF(B44&lt;=0,0,'1. Inputs'!$B$13*(1+'1. Inputs'!$B$14*MIN(B44,'1. Inputs'!$B$15))*'1. Inputs'!$B$31)</f>
        <v>95200</v>
      </c>
      <c r="O44" s="22" t="n">
        <f aca="false">IF(C44&lt;=0,0,'1. Inputs'!$B$13*(1+'1. Inputs'!$B$14*MIN(C44,'1. Inputs'!$B$15))*'1. Inputs'!$B$31)</f>
        <v>95200</v>
      </c>
      <c r="P44" s="22" t="n">
        <f aca="false">IF(D44&lt;=0,0,'1. Inputs'!$B$13*(1+'1. Inputs'!$B$14*MIN(D44,'1. Inputs'!$B$15))*'1. Inputs'!$B$31)</f>
        <v>95200</v>
      </c>
      <c r="Q44" s="22" t="n">
        <f aca="false">IF(E44&lt;=0,0,'1. Inputs'!$B$13*(1+'1. Inputs'!$B$14*MIN(E44,'1. Inputs'!$B$15))*'1. Inputs'!$B$31)</f>
        <v>95200</v>
      </c>
    </row>
    <row r="45" customFormat="false" ht="15" hidden="false" customHeight="false" outlineLevel="0" collapsed="false">
      <c r="A45" s="7" t="n">
        <v>44</v>
      </c>
      <c r="B45" s="19" t="n">
        <f aca="false">MAX(0,$A45-'1. Inputs'!$C$24-'1. Inputs'!$B$30+1)</f>
        <v>38</v>
      </c>
      <c r="C45" s="19" t="n">
        <f aca="false">MAX(0,$A45-'1. Inputs'!$C$25-'1. Inputs'!$B$30+1)</f>
        <v>33</v>
      </c>
      <c r="D45" s="19" t="n">
        <f aca="false">MAX(0,$A45-'1. Inputs'!$C$26-'1. Inputs'!$B$30+1)</f>
        <v>28</v>
      </c>
      <c r="E45" s="19" t="n">
        <f aca="false">MAX(0,$A45-'1. Inputs'!$C$27-'1. Inputs'!$B$30+1)</f>
        <v>27</v>
      </c>
      <c r="F45" s="20" t="n">
        <f aca="false">IF(B45&lt;=0,0,'1. Inputs'!$B$24*'1. Inputs'!$B$5*B45^'1. Inputs'!$B$7/('1. Inputs'!$B$6^'1. Inputs'!$B$7+B45^'1. Inputs'!$B$7))</f>
        <v>204.527213114754</v>
      </c>
      <c r="G45" s="20" t="n">
        <f aca="false">IF(C45&lt;=0,0,'1. Inputs'!$B$25*'1. Inputs'!$B$5*C45^'1. Inputs'!$B$7/('1. Inputs'!$B$6^'1. Inputs'!$B$7+C45^'1. Inputs'!$B$7))</f>
        <v>268.061538461539</v>
      </c>
      <c r="H45" s="20" t="n">
        <f aca="false">IF(D45&lt;=0,0,'1. Inputs'!$B$26*'1. Inputs'!$B$5*D45^'1. Inputs'!$B$7/('1. Inputs'!$B$6^'1. Inputs'!$B$7+D45^'1. Inputs'!$B$7))</f>
        <v>114.201156069364</v>
      </c>
      <c r="I45" s="20" t="n">
        <f aca="false">IF(E45&lt;=0,0,'1. Inputs'!$B$27*'1. Inputs'!$B$5*E45^'1. Inputs'!$B$7/('1. Inputs'!$B$6^'1. Inputs'!$B$7+E45^'1. Inputs'!$B$7))</f>
        <v>81</v>
      </c>
      <c r="J45" s="21" t="n">
        <f aca="false">IF(B45&lt;=0,0,'1. Inputs'!$B$9+'1. Inputs'!$B$10*B45/(B45+'1. Inputs'!$B$11))</f>
        <v>0.203636363636364</v>
      </c>
      <c r="K45" s="21" t="n">
        <f aca="false">IF(C45&lt;=0,0,'1. Inputs'!$B$9+'1. Inputs'!$B$10*C45/(C45+'1. Inputs'!$B$11))</f>
        <v>0.201538461538462</v>
      </c>
      <c r="L45" s="21" t="n">
        <f aca="false">IF(D45&lt;=0,0,'1. Inputs'!$B$9+'1. Inputs'!$B$10*D45/(D45+'1. Inputs'!$B$11))</f>
        <v>0.198823529411765</v>
      </c>
      <c r="M45" s="21" t="n">
        <f aca="false">IF(E45&lt;=0,0,'1. Inputs'!$B$9+'1. Inputs'!$B$10*E45/(E45+'1. Inputs'!$B$11))</f>
        <v>0.198181818181818</v>
      </c>
      <c r="N45" s="22" t="n">
        <f aca="false">IF(B45&lt;=0,0,'1. Inputs'!$B$13*(1+'1. Inputs'!$B$14*MIN(B45,'1. Inputs'!$B$15))*'1. Inputs'!$B$31)</f>
        <v>95200</v>
      </c>
      <c r="O45" s="22" t="n">
        <f aca="false">IF(C45&lt;=0,0,'1. Inputs'!$B$13*(1+'1. Inputs'!$B$14*MIN(C45,'1. Inputs'!$B$15))*'1. Inputs'!$B$31)</f>
        <v>95200</v>
      </c>
      <c r="P45" s="22" t="n">
        <f aca="false">IF(D45&lt;=0,0,'1. Inputs'!$B$13*(1+'1. Inputs'!$B$14*MIN(D45,'1. Inputs'!$B$15))*'1. Inputs'!$B$31)</f>
        <v>95200</v>
      </c>
      <c r="Q45" s="22" t="n">
        <f aca="false">IF(E45&lt;=0,0,'1. Inputs'!$B$13*(1+'1. Inputs'!$B$14*MIN(E45,'1. Inputs'!$B$15))*'1. Inputs'!$B$31)</f>
        <v>95200</v>
      </c>
    </row>
    <row r="46" customFormat="false" ht="15" hidden="false" customHeight="false" outlineLevel="0" collapsed="false">
      <c r="A46" s="7" t="n">
        <v>45</v>
      </c>
      <c r="B46" s="19" t="n">
        <f aca="false">MAX(0,$A46-'1. Inputs'!$C$24-'1. Inputs'!$B$30+1)</f>
        <v>39</v>
      </c>
      <c r="C46" s="19" t="n">
        <f aca="false">MAX(0,$A46-'1. Inputs'!$C$25-'1. Inputs'!$B$30+1)</f>
        <v>34</v>
      </c>
      <c r="D46" s="19" t="n">
        <f aca="false">MAX(0,$A46-'1. Inputs'!$C$26-'1. Inputs'!$B$30+1)</f>
        <v>29</v>
      </c>
      <c r="E46" s="19" t="n">
        <f aca="false">MAX(0,$A46-'1. Inputs'!$C$27-'1. Inputs'!$B$30+1)</f>
        <v>28</v>
      </c>
      <c r="F46" s="20" t="n">
        <f aca="false">IF(B46&lt;=0,0,'1. Inputs'!$B$24*'1. Inputs'!$B$5*B46^'1. Inputs'!$B$7/('1. Inputs'!$B$6^'1. Inputs'!$B$7+B46^'1. Inputs'!$B$7))</f>
        <v>205.078651685393</v>
      </c>
      <c r="G46" s="20" t="n">
        <f aca="false">IF(C46&lt;=0,0,'1. Inputs'!$B$25*'1. Inputs'!$B$5*C46^'1. Inputs'!$B$7/('1. Inputs'!$B$6^'1. Inputs'!$B$7+C46^'1. Inputs'!$B$7))</f>
        <v>269.141471301536</v>
      </c>
      <c r="H46" s="20" t="n">
        <f aca="false">IF(D46&lt;=0,0,'1. Inputs'!$B$26*'1. Inputs'!$B$5*D46^'1. Inputs'!$B$7/('1. Inputs'!$B$6^'1. Inputs'!$B$7+D46^'1. Inputs'!$B$7))</f>
        <v>114.930585683297</v>
      </c>
      <c r="I46" s="20" t="n">
        <f aca="false">IF(E46&lt;=0,0,'1. Inputs'!$B$27*'1. Inputs'!$B$5*E46^'1. Inputs'!$B$7/('1. Inputs'!$B$6^'1. Inputs'!$B$7+E46^'1. Inputs'!$B$7))</f>
        <v>81.5722543352601</v>
      </c>
      <c r="J46" s="21" t="n">
        <f aca="false">IF(B46&lt;=0,0,'1. Inputs'!$B$9+'1. Inputs'!$B$10*B46/(B46+'1. Inputs'!$B$11))</f>
        <v>0.204</v>
      </c>
      <c r="K46" s="21" t="n">
        <f aca="false">IF(C46&lt;=0,0,'1. Inputs'!$B$9+'1. Inputs'!$B$10*C46/(C46+'1. Inputs'!$B$11))</f>
        <v>0.202</v>
      </c>
      <c r="L46" s="21" t="n">
        <f aca="false">IF(D46&lt;=0,0,'1. Inputs'!$B$9+'1. Inputs'!$B$10*D46/(D46+'1. Inputs'!$B$11))</f>
        <v>0.199428571428571</v>
      </c>
      <c r="M46" s="21" t="n">
        <f aca="false">IF(E46&lt;=0,0,'1. Inputs'!$B$9+'1. Inputs'!$B$10*E46/(E46+'1. Inputs'!$B$11))</f>
        <v>0.198823529411765</v>
      </c>
      <c r="N46" s="22" t="n">
        <f aca="false">IF(B46&lt;=0,0,'1. Inputs'!$B$13*(1+'1. Inputs'!$B$14*MIN(B46,'1. Inputs'!$B$15))*'1. Inputs'!$B$31)</f>
        <v>95200</v>
      </c>
      <c r="O46" s="22" t="n">
        <f aca="false">IF(C46&lt;=0,0,'1. Inputs'!$B$13*(1+'1. Inputs'!$B$14*MIN(C46,'1. Inputs'!$B$15))*'1. Inputs'!$B$31)</f>
        <v>95200</v>
      </c>
      <c r="P46" s="22" t="n">
        <f aca="false">IF(D46&lt;=0,0,'1. Inputs'!$B$13*(1+'1. Inputs'!$B$14*MIN(D46,'1. Inputs'!$B$15))*'1. Inputs'!$B$31)</f>
        <v>95200</v>
      </c>
      <c r="Q46" s="22" t="n">
        <f aca="false">IF(E46&lt;=0,0,'1. Inputs'!$B$13*(1+'1. Inputs'!$B$14*MIN(E46,'1. Inputs'!$B$15))*'1. Inputs'!$B$31)</f>
        <v>95200</v>
      </c>
    </row>
    <row r="47" customFormat="false" ht="15" hidden="false" customHeight="false" outlineLevel="0" collapsed="false">
      <c r="A47" s="7" t="n">
        <v>46</v>
      </c>
      <c r="B47" s="19" t="n">
        <f aca="false">MAX(0,$A47-'1. Inputs'!$C$24-'1. Inputs'!$B$30+1)</f>
        <v>40</v>
      </c>
      <c r="C47" s="19" t="n">
        <f aca="false">MAX(0,$A47-'1. Inputs'!$C$25-'1. Inputs'!$B$30+1)</f>
        <v>35</v>
      </c>
      <c r="D47" s="19" t="n">
        <f aca="false">MAX(0,$A47-'1. Inputs'!$C$26-'1. Inputs'!$B$30+1)</f>
        <v>30</v>
      </c>
      <c r="E47" s="19" t="n">
        <f aca="false">MAX(0,$A47-'1. Inputs'!$C$27-'1. Inputs'!$B$30+1)</f>
        <v>29</v>
      </c>
      <c r="F47" s="20" t="n">
        <f aca="false">IF(B47&lt;=0,0,'1. Inputs'!$B$24*'1. Inputs'!$B$5*B47^'1. Inputs'!$B$7/('1. Inputs'!$B$6^'1. Inputs'!$B$7+B47^'1. Inputs'!$B$7))</f>
        <v>205.591909577632</v>
      </c>
      <c r="G47" s="20" t="n">
        <f aca="false">IF(C47&lt;=0,0,'1. Inputs'!$B$25*'1. Inputs'!$B$5*C47^'1. Inputs'!$B$7/('1. Inputs'!$B$6^'1. Inputs'!$B$7+C47^'1. Inputs'!$B$7))</f>
        <v>270.137825421133</v>
      </c>
      <c r="H47" s="20" t="n">
        <f aca="false">IF(D47&lt;=0,0,'1. Inputs'!$B$26*'1. Inputs'!$B$5*D47^'1. Inputs'!$B$7/('1. Inputs'!$B$6^'1. Inputs'!$B$7+D47^'1. Inputs'!$B$7))</f>
        <v>115.596330275229</v>
      </c>
      <c r="I47" s="20" t="n">
        <f aca="false">IF(E47&lt;=0,0,'1. Inputs'!$B$27*'1. Inputs'!$B$5*E47^'1. Inputs'!$B$7/('1. Inputs'!$B$6^'1. Inputs'!$B$7+E47^'1. Inputs'!$B$7))</f>
        <v>82.0932754880694</v>
      </c>
      <c r="J47" s="21" t="n">
        <f aca="false">IF(B47&lt;=0,0,'1. Inputs'!$B$9+'1. Inputs'!$B$10*B47/(B47+'1. Inputs'!$B$11))</f>
        <v>0.204347826086957</v>
      </c>
      <c r="K47" s="21" t="n">
        <f aca="false">IF(C47&lt;=0,0,'1. Inputs'!$B$9+'1. Inputs'!$B$10*C47/(C47+'1. Inputs'!$B$11))</f>
        <v>0.202439024390244</v>
      </c>
      <c r="L47" s="21" t="n">
        <f aca="false">IF(D47&lt;=0,0,'1. Inputs'!$B$9+'1. Inputs'!$B$10*D47/(D47+'1. Inputs'!$B$11))</f>
        <v>0.2</v>
      </c>
      <c r="M47" s="21" t="n">
        <f aca="false">IF(E47&lt;=0,0,'1. Inputs'!$B$9+'1. Inputs'!$B$10*E47/(E47+'1. Inputs'!$B$11))</f>
        <v>0.199428571428571</v>
      </c>
      <c r="N47" s="22" t="n">
        <f aca="false">IF(B47&lt;=0,0,'1. Inputs'!$B$13*(1+'1. Inputs'!$B$14*MIN(B47,'1. Inputs'!$B$15))*'1. Inputs'!$B$31)</f>
        <v>95200</v>
      </c>
      <c r="O47" s="22" t="n">
        <f aca="false">IF(C47&lt;=0,0,'1. Inputs'!$B$13*(1+'1. Inputs'!$B$14*MIN(C47,'1. Inputs'!$B$15))*'1. Inputs'!$B$31)</f>
        <v>95200</v>
      </c>
      <c r="P47" s="22" t="n">
        <f aca="false">IF(D47&lt;=0,0,'1. Inputs'!$B$13*(1+'1. Inputs'!$B$14*MIN(D47,'1. Inputs'!$B$15))*'1. Inputs'!$B$31)</f>
        <v>95200</v>
      </c>
      <c r="Q47" s="22" t="n">
        <f aca="false">IF(E47&lt;=0,0,'1. Inputs'!$B$13*(1+'1. Inputs'!$B$14*MIN(E47,'1. Inputs'!$B$15))*'1. Inputs'!$B$31)</f>
        <v>95200</v>
      </c>
    </row>
    <row r="48" customFormat="false" ht="15" hidden="false" customHeight="false" outlineLevel="0" collapsed="false">
      <c r="A48" s="7" t="n">
        <v>47</v>
      </c>
      <c r="B48" s="19" t="n">
        <f aca="false">MAX(0,$A48-'1. Inputs'!$C$24-'1. Inputs'!$B$30+1)</f>
        <v>41</v>
      </c>
      <c r="C48" s="19" t="n">
        <f aca="false">MAX(0,$A48-'1. Inputs'!$C$25-'1. Inputs'!$B$30+1)</f>
        <v>36</v>
      </c>
      <c r="D48" s="19" t="n">
        <f aca="false">MAX(0,$A48-'1. Inputs'!$C$26-'1. Inputs'!$B$30+1)</f>
        <v>31</v>
      </c>
      <c r="E48" s="19" t="n">
        <f aca="false">MAX(0,$A48-'1. Inputs'!$C$27-'1. Inputs'!$B$30+1)</f>
        <v>30</v>
      </c>
      <c r="F48" s="20" t="n">
        <f aca="false">IF(B48&lt;=0,0,'1. Inputs'!$B$24*'1. Inputs'!$B$5*B48^'1. Inputs'!$B$7/('1. Inputs'!$B$6^'1. Inputs'!$B$7+B48^'1. Inputs'!$B$7))</f>
        <v>206.070374574347</v>
      </c>
      <c r="G48" s="20" t="n">
        <f aca="false">IF(C48&lt;=0,0,'1. Inputs'!$B$25*'1. Inputs'!$B$5*C48^'1. Inputs'!$B$7/('1. Inputs'!$B$6^'1. Inputs'!$B$7+C48^'1. Inputs'!$B$7))</f>
        <v>271.058823529412</v>
      </c>
      <c r="H48" s="20" t="n">
        <f aca="false">IF(D48&lt;=0,0,'1. Inputs'!$B$26*'1. Inputs'!$B$5*D48^'1. Inputs'!$B$7/('1. Inputs'!$B$6^'1. Inputs'!$B$7+D48^'1. Inputs'!$B$7))</f>
        <v>116.20537428023</v>
      </c>
      <c r="I48" s="20" t="n">
        <f aca="false">IF(E48&lt;=0,0,'1. Inputs'!$B$27*'1. Inputs'!$B$5*E48^'1. Inputs'!$B$7/('1. Inputs'!$B$6^'1. Inputs'!$B$7+E48^'1. Inputs'!$B$7))</f>
        <v>82.5688073394495</v>
      </c>
      <c r="J48" s="21" t="n">
        <f aca="false">IF(B48&lt;=0,0,'1. Inputs'!$B$9+'1. Inputs'!$B$10*B48/(B48+'1. Inputs'!$B$11))</f>
        <v>0.20468085106383</v>
      </c>
      <c r="K48" s="21" t="n">
        <f aca="false">IF(C48&lt;=0,0,'1. Inputs'!$B$9+'1. Inputs'!$B$10*C48/(C48+'1. Inputs'!$B$11))</f>
        <v>0.202857142857143</v>
      </c>
      <c r="L48" s="21" t="n">
        <f aca="false">IF(D48&lt;=0,0,'1. Inputs'!$B$9+'1. Inputs'!$B$10*D48/(D48+'1. Inputs'!$B$11))</f>
        <v>0.200540540540541</v>
      </c>
      <c r="M48" s="21" t="n">
        <f aca="false">IF(E48&lt;=0,0,'1. Inputs'!$B$9+'1. Inputs'!$B$10*E48/(E48+'1. Inputs'!$B$11))</f>
        <v>0.2</v>
      </c>
      <c r="N48" s="22" t="n">
        <f aca="false">IF(B48&lt;=0,0,'1. Inputs'!$B$13*(1+'1. Inputs'!$B$14*MIN(B48,'1. Inputs'!$B$15))*'1. Inputs'!$B$31)</f>
        <v>95200</v>
      </c>
      <c r="O48" s="22" t="n">
        <f aca="false">IF(C48&lt;=0,0,'1. Inputs'!$B$13*(1+'1. Inputs'!$B$14*MIN(C48,'1. Inputs'!$B$15))*'1. Inputs'!$B$31)</f>
        <v>95200</v>
      </c>
      <c r="P48" s="22" t="n">
        <f aca="false">IF(D48&lt;=0,0,'1. Inputs'!$B$13*(1+'1. Inputs'!$B$14*MIN(D48,'1. Inputs'!$B$15))*'1. Inputs'!$B$31)</f>
        <v>95200</v>
      </c>
      <c r="Q48" s="22" t="n">
        <f aca="false">IF(E48&lt;=0,0,'1. Inputs'!$B$13*(1+'1. Inputs'!$B$14*MIN(E48,'1. Inputs'!$B$15))*'1. Inputs'!$B$31)</f>
        <v>95200</v>
      </c>
    </row>
    <row r="49" customFormat="false" ht="15" hidden="false" customHeight="false" outlineLevel="0" collapsed="false">
      <c r="A49" s="7" t="n">
        <v>48</v>
      </c>
      <c r="B49" s="19" t="n">
        <f aca="false">MAX(0,$A49-'1. Inputs'!$C$24-'1. Inputs'!$B$30+1)</f>
        <v>42</v>
      </c>
      <c r="C49" s="19" t="n">
        <f aca="false">MAX(0,$A49-'1. Inputs'!$C$25-'1. Inputs'!$B$30+1)</f>
        <v>37</v>
      </c>
      <c r="D49" s="19" t="n">
        <f aca="false">MAX(0,$A49-'1. Inputs'!$C$26-'1. Inputs'!$B$30+1)</f>
        <v>32</v>
      </c>
      <c r="E49" s="19" t="n">
        <f aca="false">MAX(0,$A49-'1. Inputs'!$C$27-'1. Inputs'!$B$30+1)</f>
        <v>31</v>
      </c>
      <c r="F49" s="20" t="n">
        <f aca="false">IF(B49&lt;=0,0,'1. Inputs'!$B$24*'1. Inputs'!$B$5*B49^'1. Inputs'!$B$7/('1. Inputs'!$B$6^'1. Inputs'!$B$7+B49^'1. Inputs'!$B$7))</f>
        <v>206.517073170732</v>
      </c>
      <c r="G49" s="20" t="n">
        <f aca="false">IF(C49&lt;=0,0,'1. Inputs'!$B$25*'1. Inputs'!$B$5*C49^'1. Inputs'!$B$7/('1. Inputs'!$B$6^'1. Inputs'!$B$7+C49^'1. Inputs'!$B$7))</f>
        <v>271.911724137931</v>
      </c>
      <c r="H49" s="20" t="n">
        <f aca="false">IF(D49&lt;=0,0,'1. Inputs'!$B$26*'1. Inputs'!$B$5*D49^'1. Inputs'!$B$7/('1. Inputs'!$B$6^'1. Inputs'!$B$7+D49^'1. Inputs'!$B$7))</f>
        <v>116.763800904977</v>
      </c>
      <c r="I49" s="20" t="n">
        <f aca="false">IF(E49&lt;=0,0,'1. Inputs'!$B$27*'1. Inputs'!$B$5*E49^'1. Inputs'!$B$7/('1. Inputs'!$B$6^'1. Inputs'!$B$7+E49^'1. Inputs'!$B$7))</f>
        <v>83.0038387715931</v>
      </c>
      <c r="J49" s="21" t="n">
        <f aca="false">IF(B49&lt;=0,0,'1. Inputs'!$B$9+'1. Inputs'!$B$10*B49/(B49+'1. Inputs'!$B$11))</f>
        <v>0.205</v>
      </c>
      <c r="K49" s="21" t="n">
        <f aca="false">IF(C49&lt;=0,0,'1. Inputs'!$B$9+'1. Inputs'!$B$10*C49/(C49+'1. Inputs'!$B$11))</f>
        <v>0.203255813953488</v>
      </c>
      <c r="L49" s="21" t="n">
        <f aca="false">IF(D49&lt;=0,0,'1. Inputs'!$B$9+'1. Inputs'!$B$10*D49/(D49+'1. Inputs'!$B$11))</f>
        <v>0.201052631578947</v>
      </c>
      <c r="M49" s="21" t="n">
        <f aca="false">IF(E49&lt;=0,0,'1. Inputs'!$B$9+'1. Inputs'!$B$10*E49/(E49+'1. Inputs'!$B$11))</f>
        <v>0.200540540540541</v>
      </c>
      <c r="N49" s="22" t="n">
        <f aca="false">IF(B49&lt;=0,0,'1. Inputs'!$B$13*(1+'1. Inputs'!$B$14*MIN(B49,'1. Inputs'!$B$15))*'1. Inputs'!$B$31)</f>
        <v>95200</v>
      </c>
      <c r="O49" s="22" t="n">
        <f aca="false">IF(C49&lt;=0,0,'1. Inputs'!$B$13*(1+'1. Inputs'!$B$14*MIN(C49,'1. Inputs'!$B$15))*'1. Inputs'!$B$31)</f>
        <v>95200</v>
      </c>
      <c r="P49" s="22" t="n">
        <f aca="false">IF(D49&lt;=0,0,'1. Inputs'!$B$13*(1+'1. Inputs'!$B$14*MIN(D49,'1. Inputs'!$B$15))*'1. Inputs'!$B$31)</f>
        <v>95200</v>
      </c>
      <c r="Q49" s="22" t="n">
        <f aca="false">IF(E49&lt;=0,0,'1. Inputs'!$B$13*(1+'1. Inputs'!$B$14*MIN(E49,'1. Inputs'!$B$15))*'1. Inputs'!$B$31)</f>
        <v>95200</v>
      </c>
    </row>
    <row r="50" customFormat="false" ht="15" hidden="false" customHeight="false" outlineLevel="0" collapsed="false">
      <c r="A50" s="7" t="n">
        <v>49</v>
      </c>
      <c r="B50" s="19" t="n">
        <f aca="false">MAX(0,$A50-'1. Inputs'!$C$24-'1. Inputs'!$B$30+1)</f>
        <v>43</v>
      </c>
      <c r="C50" s="19" t="n">
        <f aca="false">MAX(0,$A50-'1. Inputs'!$C$25-'1. Inputs'!$B$30+1)</f>
        <v>38</v>
      </c>
      <c r="D50" s="19" t="n">
        <f aca="false">MAX(0,$A50-'1. Inputs'!$C$26-'1. Inputs'!$B$30+1)</f>
        <v>33</v>
      </c>
      <c r="E50" s="19" t="n">
        <f aca="false">MAX(0,$A50-'1. Inputs'!$C$27-'1. Inputs'!$B$30+1)</f>
        <v>32</v>
      </c>
      <c r="F50" s="20" t="n">
        <f aca="false">IF(B50&lt;=0,0,'1. Inputs'!$B$24*'1. Inputs'!$B$5*B50^'1. Inputs'!$B$7/('1. Inputs'!$B$6^'1. Inputs'!$B$7+B50^'1. Inputs'!$B$7))</f>
        <v>206.934715025907</v>
      </c>
      <c r="G50" s="20" t="n">
        <f aca="false">IF(C50&lt;=0,0,'1. Inputs'!$B$25*'1. Inputs'!$B$5*C50^'1. Inputs'!$B$7/('1. Inputs'!$B$6^'1. Inputs'!$B$7+C50^'1. Inputs'!$B$7))</f>
        <v>272.702950819672</v>
      </c>
      <c r="H50" s="20" t="n">
        <f aca="false">IF(D50&lt;=0,0,'1. Inputs'!$B$26*'1. Inputs'!$B$5*D50^'1. Inputs'!$B$7/('1. Inputs'!$B$6^'1. Inputs'!$B$7+D50^'1. Inputs'!$B$7))</f>
        <v>117.276923076923</v>
      </c>
      <c r="I50" s="20" t="n">
        <f aca="false">IF(E50&lt;=0,0,'1. Inputs'!$B$27*'1. Inputs'!$B$5*E50^'1. Inputs'!$B$7/('1. Inputs'!$B$6^'1. Inputs'!$B$7+E50^'1. Inputs'!$B$7))</f>
        <v>83.4027149321267</v>
      </c>
      <c r="J50" s="21" t="n">
        <f aca="false">IF(B50&lt;=0,0,'1. Inputs'!$B$9+'1. Inputs'!$B$10*B50/(B50+'1. Inputs'!$B$11))</f>
        <v>0.20530612244898</v>
      </c>
      <c r="K50" s="21" t="n">
        <f aca="false">IF(C50&lt;=0,0,'1. Inputs'!$B$9+'1. Inputs'!$B$10*C50/(C50+'1. Inputs'!$B$11))</f>
        <v>0.203636363636364</v>
      </c>
      <c r="L50" s="21" t="n">
        <f aca="false">IF(D50&lt;=0,0,'1. Inputs'!$B$9+'1. Inputs'!$B$10*D50/(D50+'1. Inputs'!$B$11))</f>
        <v>0.201538461538462</v>
      </c>
      <c r="M50" s="21" t="n">
        <f aca="false">IF(E50&lt;=0,0,'1. Inputs'!$B$9+'1. Inputs'!$B$10*E50/(E50+'1. Inputs'!$B$11))</f>
        <v>0.201052631578947</v>
      </c>
      <c r="N50" s="22" t="n">
        <f aca="false">IF(B50&lt;=0,0,'1. Inputs'!$B$13*(1+'1. Inputs'!$B$14*MIN(B50,'1. Inputs'!$B$15))*'1. Inputs'!$B$31)</f>
        <v>95200</v>
      </c>
      <c r="O50" s="22" t="n">
        <f aca="false">IF(C50&lt;=0,0,'1. Inputs'!$B$13*(1+'1. Inputs'!$B$14*MIN(C50,'1. Inputs'!$B$15))*'1. Inputs'!$B$31)</f>
        <v>95200</v>
      </c>
      <c r="P50" s="22" t="n">
        <f aca="false">IF(D50&lt;=0,0,'1. Inputs'!$B$13*(1+'1. Inputs'!$B$14*MIN(D50,'1. Inputs'!$B$15))*'1. Inputs'!$B$31)</f>
        <v>95200</v>
      </c>
      <c r="Q50" s="22" t="n">
        <f aca="false">IF(E50&lt;=0,0,'1. Inputs'!$B$13*(1+'1. Inputs'!$B$14*MIN(E50,'1. Inputs'!$B$15))*'1. Inputs'!$B$31)</f>
        <v>95200</v>
      </c>
    </row>
    <row r="51" customFormat="false" ht="15" hidden="false" customHeight="false" outlineLevel="0" collapsed="false">
      <c r="A51" s="7" t="n">
        <v>50</v>
      </c>
      <c r="B51" s="19" t="n">
        <f aca="false">MAX(0,$A51-'1. Inputs'!$C$24-'1. Inputs'!$B$30+1)</f>
        <v>44</v>
      </c>
      <c r="C51" s="19" t="n">
        <f aca="false">MAX(0,$A51-'1. Inputs'!$C$25-'1. Inputs'!$B$30+1)</f>
        <v>39</v>
      </c>
      <c r="D51" s="19" t="n">
        <f aca="false">MAX(0,$A51-'1. Inputs'!$C$26-'1. Inputs'!$B$30+1)</f>
        <v>34</v>
      </c>
      <c r="E51" s="19" t="n">
        <f aca="false">MAX(0,$A51-'1. Inputs'!$C$27-'1. Inputs'!$B$30+1)</f>
        <v>33</v>
      </c>
      <c r="F51" s="20" t="n">
        <f aca="false">IF(B51&lt;=0,0,'1. Inputs'!$B$24*'1. Inputs'!$B$5*B51^'1. Inputs'!$B$7/('1. Inputs'!$B$6^'1. Inputs'!$B$7+B51^'1. Inputs'!$B$7))</f>
        <v>207.325731284085</v>
      </c>
      <c r="G51" s="20" t="n">
        <f aca="false">IF(C51&lt;=0,0,'1. Inputs'!$B$25*'1. Inputs'!$B$5*C51^'1. Inputs'!$B$7/('1. Inputs'!$B$6^'1. Inputs'!$B$7+C51^'1. Inputs'!$B$7))</f>
        <v>273.438202247191</v>
      </c>
      <c r="H51" s="20" t="n">
        <f aca="false">IF(D51&lt;=0,0,'1. Inputs'!$B$26*'1. Inputs'!$B$5*D51^'1. Inputs'!$B$7/('1. Inputs'!$B$6^'1. Inputs'!$B$7+D51^'1. Inputs'!$B$7))</f>
        <v>117.749393694422</v>
      </c>
      <c r="I51" s="20" t="n">
        <f aca="false">IF(E51&lt;=0,0,'1. Inputs'!$B$27*'1. Inputs'!$B$5*E51^'1. Inputs'!$B$7/('1. Inputs'!$B$6^'1. Inputs'!$B$7+E51^'1. Inputs'!$B$7))</f>
        <v>83.7692307692308</v>
      </c>
      <c r="J51" s="21" t="n">
        <f aca="false">IF(B51&lt;=0,0,'1. Inputs'!$B$9+'1. Inputs'!$B$10*B51/(B51+'1. Inputs'!$B$11))</f>
        <v>0.2056</v>
      </c>
      <c r="K51" s="21" t="n">
        <f aca="false">IF(C51&lt;=0,0,'1. Inputs'!$B$9+'1. Inputs'!$B$10*C51/(C51+'1. Inputs'!$B$11))</f>
        <v>0.204</v>
      </c>
      <c r="L51" s="21" t="n">
        <f aca="false">IF(D51&lt;=0,0,'1. Inputs'!$B$9+'1. Inputs'!$B$10*D51/(D51+'1. Inputs'!$B$11))</f>
        <v>0.202</v>
      </c>
      <c r="M51" s="21" t="n">
        <f aca="false">IF(E51&lt;=0,0,'1. Inputs'!$B$9+'1. Inputs'!$B$10*E51/(E51+'1. Inputs'!$B$11))</f>
        <v>0.201538461538462</v>
      </c>
      <c r="N51" s="22" t="n">
        <f aca="false">IF(B51&lt;=0,0,'1. Inputs'!$B$13*(1+'1. Inputs'!$B$14*MIN(B51,'1. Inputs'!$B$15))*'1. Inputs'!$B$31)</f>
        <v>95200</v>
      </c>
      <c r="O51" s="22" t="n">
        <f aca="false">IF(C51&lt;=0,0,'1. Inputs'!$B$13*(1+'1. Inputs'!$B$14*MIN(C51,'1. Inputs'!$B$15))*'1. Inputs'!$B$31)</f>
        <v>95200</v>
      </c>
      <c r="P51" s="22" t="n">
        <f aca="false">IF(D51&lt;=0,0,'1. Inputs'!$B$13*(1+'1. Inputs'!$B$14*MIN(D51,'1. Inputs'!$B$15))*'1. Inputs'!$B$31)</f>
        <v>95200</v>
      </c>
      <c r="Q51" s="22" t="n">
        <f aca="false">IF(E51&lt;=0,0,'1. Inputs'!$B$13*(1+'1. Inputs'!$B$14*MIN(E51,'1. Inputs'!$B$15))*'1. Inputs'!$B$31)</f>
        <v>95200</v>
      </c>
    </row>
    <row r="52" customFormat="false" ht="15" hidden="false" customHeight="false" outlineLevel="0" collapsed="false">
      <c r="A52" s="7" t="n">
        <v>51</v>
      </c>
      <c r="B52" s="19" t="n">
        <f aca="false">MAX(0,$A52-'1. Inputs'!$C$24-'1. Inputs'!$B$30+1)</f>
        <v>45</v>
      </c>
      <c r="C52" s="19" t="n">
        <f aca="false">MAX(0,$A52-'1. Inputs'!$C$25-'1. Inputs'!$B$30+1)</f>
        <v>40</v>
      </c>
      <c r="D52" s="19" t="n">
        <f aca="false">MAX(0,$A52-'1. Inputs'!$C$26-'1. Inputs'!$B$30+1)</f>
        <v>35</v>
      </c>
      <c r="E52" s="19" t="n">
        <f aca="false">MAX(0,$A52-'1. Inputs'!$C$27-'1. Inputs'!$B$30+1)</f>
        <v>34</v>
      </c>
      <c r="F52" s="20" t="n">
        <f aca="false">IF(B52&lt;=0,0,'1. Inputs'!$B$24*'1. Inputs'!$B$5*B52^'1. Inputs'!$B$7/('1. Inputs'!$B$6^'1. Inputs'!$B$7+B52^'1. Inputs'!$B$7))</f>
        <v>207.692307692308</v>
      </c>
      <c r="G52" s="20" t="n">
        <f aca="false">IF(C52&lt;=0,0,'1. Inputs'!$B$25*'1. Inputs'!$B$5*C52^'1. Inputs'!$B$7/('1. Inputs'!$B$6^'1. Inputs'!$B$7+C52^'1. Inputs'!$B$7))</f>
        <v>274.12254610351</v>
      </c>
      <c r="H52" s="20" t="n">
        <f aca="false">IF(D52&lt;=0,0,'1. Inputs'!$B$26*'1. Inputs'!$B$5*D52^'1. Inputs'!$B$7/('1. Inputs'!$B$6^'1. Inputs'!$B$7+D52^'1. Inputs'!$B$7))</f>
        <v>118.185298621746</v>
      </c>
      <c r="I52" s="20" t="n">
        <f aca="false">IF(E52&lt;=0,0,'1. Inputs'!$B$27*'1. Inputs'!$B$5*E52^'1. Inputs'!$B$7/('1. Inputs'!$B$6^'1. Inputs'!$B$7+E52^'1. Inputs'!$B$7))</f>
        <v>84.10670978173</v>
      </c>
      <c r="J52" s="21" t="n">
        <f aca="false">IF(B52&lt;=0,0,'1. Inputs'!$B$9+'1. Inputs'!$B$10*B52/(B52+'1. Inputs'!$B$11))</f>
        <v>0.205882352941176</v>
      </c>
      <c r="K52" s="21" t="n">
        <f aca="false">IF(C52&lt;=0,0,'1. Inputs'!$B$9+'1. Inputs'!$B$10*C52/(C52+'1. Inputs'!$B$11))</f>
        <v>0.204347826086957</v>
      </c>
      <c r="L52" s="21" t="n">
        <f aca="false">IF(D52&lt;=0,0,'1. Inputs'!$B$9+'1. Inputs'!$B$10*D52/(D52+'1. Inputs'!$B$11))</f>
        <v>0.202439024390244</v>
      </c>
      <c r="M52" s="21" t="n">
        <f aca="false">IF(E52&lt;=0,0,'1. Inputs'!$B$9+'1. Inputs'!$B$10*E52/(E52+'1. Inputs'!$B$11))</f>
        <v>0.202</v>
      </c>
      <c r="N52" s="22" t="n">
        <f aca="false">IF(B52&lt;=0,0,'1. Inputs'!$B$13*(1+'1. Inputs'!$B$14*MIN(B52,'1. Inputs'!$B$15))*'1. Inputs'!$B$31)</f>
        <v>95200</v>
      </c>
      <c r="O52" s="22" t="n">
        <f aca="false">IF(C52&lt;=0,0,'1. Inputs'!$B$13*(1+'1. Inputs'!$B$14*MIN(C52,'1. Inputs'!$B$15))*'1. Inputs'!$B$31)</f>
        <v>95200</v>
      </c>
      <c r="P52" s="22" t="n">
        <f aca="false">IF(D52&lt;=0,0,'1. Inputs'!$B$13*(1+'1. Inputs'!$B$14*MIN(D52,'1. Inputs'!$B$15))*'1. Inputs'!$B$31)</f>
        <v>95200</v>
      </c>
      <c r="Q52" s="22" t="n">
        <f aca="false">IF(E52&lt;=0,0,'1. Inputs'!$B$13*(1+'1. Inputs'!$B$14*MIN(E52,'1. Inputs'!$B$15))*'1. Inputs'!$B$31)</f>
        <v>95200</v>
      </c>
    </row>
    <row r="53" customFormat="false" ht="15" hidden="false" customHeight="false" outlineLevel="0" collapsed="false">
      <c r="A53" s="7" t="n">
        <v>52</v>
      </c>
      <c r="B53" s="19" t="n">
        <f aca="false">MAX(0,$A53-'1. Inputs'!$C$24-'1. Inputs'!$B$30+1)</f>
        <v>46</v>
      </c>
      <c r="C53" s="19" t="n">
        <f aca="false">MAX(0,$A53-'1. Inputs'!$C$25-'1. Inputs'!$B$30+1)</f>
        <v>41</v>
      </c>
      <c r="D53" s="19" t="n">
        <f aca="false">MAX(0,$A53-'1. Inputs'!$C$26-'1. Inputs'!$B$30+1)</f>
        <v>36</v>
      </c>
      <c r="E53" s="19" t="n">
        <f aca="false">MAX(0,$A53-'1. Inputs'!$C$27-'1. Inputs'!$B$30+1)</f>
        <v>35</v>
      </c>
      <c r="F53" s="20" t="n">
        <f aca="false">IF(B53&lt;=0,0,'1. Inputs'!$B$24*'1. Inputs'!$B$5*B53^'1. Inputs'!$B$7/('1. Inputs'!$B$6^'1. Inputs'!$B$7+B53^'1. Inputs'!$B$7))</f>
        <v>208.036413290851</v>
      </c>
      <c r="G53" s="20" t="n">
        <f aca="false">IF(C53&lt;=0,0,'1. Inputs'!$B$25*'1. Inputs'!$B$5*C53^'1. Inputs'!$B$7/('1. Inputs'!$B$6^'1. Inputs'!$B$7+C53^'1. Inputs'!$B$7))</f>
        <v>274.760499432463</v>
      </c>
      <c r="H53" s="20" t="n">
        <f aca="false">IF(D53&lt;=0,0,'1. Inputs'!$B$26*'1. Inputs'!$B$5*D53^'1. Inputs'!$B$7/('1. Inputs'!$B$6^'1. Inputs'!$B$7+D53^'1. Inputs'!$B$7))</f>
        <v>118.588235294118</v>
      </c>
      <c r="I53" s="20" t="n">
        <f aca="false">IF(E53&lt;=0,0,'1. Inputs'!$B$27*'1. Inputs'!$B$5*E53^'1. Inputs'!$B$7/('1. Inputs'!$B$6^'1. Inputs'!$B$7+E53^'1. Inputs'!$B$7))</f>
        <v>84.4180704441041</v>
      </c>
      <c r="J53" s="21" t="n">
        <f aca="false">IF(B53&lt;=0,0,'1. Inputs'!$B$9+'1. Inputs'!$B$10*B53/(B53+'1. Inputs'!$B$11))</f>
        <v>0.206153846153846</v>
      </c>
      <c r="K53" s="21" t="n">
        <f aca="false">IF(C53&lt;=0,0,'1. Inputs'!$B$9+'1. Inputs'!$B$10*C53/(C53+'1. Inputs'!$B$11))</f>
        <v>0.20468085106383</v>
      </c>
      <c r="L53" s="21" t="n">
        <f aca="false">IF(D53&lt;=0,0,'1. Inputs'!$B$9+'1. Inputs'!$B$10*D53/(D53+'1. Inputs'!$B$11))</f>
        <v>0.202857142857143</v>
      </c>
      <c r="M53" s="21" t="n">
        <f aca="false">IF(E53&lt;=0,0,'1. Inputs'!$B$9+'1. Inputs'!$B$10*E53/(E53+'1. Inputs'!$B$11))</f>
        <v>0.202439024390244</v>
      </c>
      <c r="N53" s="22" t="n">
        <f aca="false">IF(B53&lt;=0,0,'1. Inputs'!$B$13*(1+'1. Inputs'!$B$14*MIN(B53,'1. Inputs'!$B$15))*'1. Inputs'!$B$31)</f>
        <v>95200</v>
      </c>
      <c r="O53" s="22" t="n">
        <f aca="false">IF(C53&lt;=0,0,'1. Inputs'!$B$13*(1+'1. Inputs'!$B$14*MIN(C53,'1. Inputs'!$B$15))*'1. Inputs'!$B$31)</f>
        <v>95200</v>
      </c>
      <c r="P53" s="22" t="n">
        <f aca="false">IF(D53&lt;=0,0,'1. Inputs'!$B$13*(1+'1. Inputs'!$B$14*MIN(D53,'1. Inputs'!$B$15))*'1. Inputs'!$B$31)</f>
        <v>95200</v>
      </c>
      <c r="Q53" s="22" t="n">
        <f aca="false">IF(E53&lt;=0,0,'1. Inputs'!$B$13*(1+'1. Inputs'!$B$14*MIN(E53,'1. Inputs'!$B$15))*'1. Inputs'!$B$31)</f>
        <v>95200</v>
      </c>
    </row>
    <row r="54" customFormat="false" ht="15" hidden="false" customHeight="false" outlineLevel="0" collapsed="false">
      <c r="A54" s="7" t="n">
        <v>53</v>
      </c>
      <c r="B54" s="19" t="n">
        <f aca="false">MAX(0,$A54-'1. Inputs'!$C$24-'1. Inputs'!$B$30+1)</f>
        <v>47</v>
      </c>
      <c r="C54" s="19" t="n">
        <f aca="false">MAX(0,$A54-'1. Inputs'!$C$25-'1. Inputs'!$B$30+1)</f>
        <v>42</v>
      </c>
      <c r="D54" s="19" t="n">
        <f aca="false">MAX(0,$A54-'1. Inputs'!$C$26-'1. Inputs'!$B$30+1)</f>
        <v>37</v>
      </c>
      <c r="E54" s="19" t="n">
        <f aca="false">MAX(0,$A54-'1. Inputs'!$C$27-'1. Inputs'!$B$30+1)</f>
        <v>36</v>
      </c>
      <c r="F54" s="20" t="n">
        <f aca="false">IF(B54&lt;=0,0,'1. Inputs'!$B$24*'1. Inputs'!$B$5*B54^'1. Inputs'!$B$7/('1. Inputs'!$B$6^'1. Inputs'!$B$7+B54^'1. Inputs'!$B$7))</f>
        <v>208.359825327511</v>
      </c>
      <c r="G54" s="20" t="n">
        <f aca="false">IF(C54&lt;=0,0,'1. Inputs'!$B$25*'1. Inputs'!$B$5*C54^'1. Inputs'!$B$7/('1. Inputs'!$B$6^'1. Inputs'!$B$7+C54^'1. Inputs'!$B$7))</f>
        <v>275.356097560976</v>
      </c>
      <c r="H54" s="20" t="n">
        <f aca="false">IF(D54&lt;=0,0,'1. Inputs'!$B$26*'1. Inputs'!$B$5*D54^'1. Inputs'!$B$7/('1. Inputs'!$B$6^'1. Inputs'!$B$7+D54^'1. Inputs'!$B$7))</f>
        <v>118.961379310345</v>
      </c>
      <c r="I54" s="20" t="n">
        <f aca="false">IF(E54&lt;=0,0,'1. Inputs'!$B$27*'1. Inputs'!$B$5*E54^'1. Inputs'!$B$7/('1. Inputs'!$B$6^'1. Inputs'!$B$7+E54^'1. Inputs'!$B$7))</f>
        <v>84.7058823529412</v>
      </c>
      <c r="J54" s="21" t="n">
        <f aca="false">IF(B54&lt;=0,0,'1. Inputs'!$B$9+'1. Inputs'!$B$10*B54/(B54+'1. Inputs'!$B$11))</f>
        <v>0.206415094339623</v>
      </c>
      <c r="K54" s="21" t="n">
        <f aca="false">IF(C54&lt;=0,0,'1. Inputs'!$B$9+'1. Inputs'!$B$10*C54/(C54+'1. Inputs'!$B$11))</f>
        <v>0.205</v>
      </c>
      <c r="L54" s="21" t="n">
        <f aca="false">IF(D54&lt;=0,0,'1. Inputs'!$B$9+'1. Inputs'!$B$10*D54/(D54+'1. Inputs'!$B$11))</f>
        <v>0.203255813953488</v>
      </c>
      <c r="M54" s="21" t="n">
        <f aca="false">IF(E54&lt;=0,0,'1. Inputs'!$B$9+'1. Inputs'!$B$10*E54/(E54+'1. Inputs'!$B$11))</f>
        <v>0.202857142857143</v>
      </c>
      <c r="N54" s="22" t="n">
        <f aca="false">IF(B54&lt;=0,0,'1. Inputs'!$B$13*(1+'1. Inputs'!$B$14*MIN(B54,'1. Inputs'!$B$15))*'1. Inputs'!$B$31)</f>
        <v>95200</v>
      </c>
      <c r="O54" s="22" t="n">
        <f aca="false">IF(C54&lt;=0,0,'1. Inputs'!$B$13*(1+'1. Inputs'!$B$14*MIN(C54,'1. Inputs'!$B$15))*'1. Inputs'!$B$31)</f>
        <v>95200</v>
      </c>
      <c r="P54" s="22" t="n">
        <f aca="false">IF(D54&lt;=0,0,'1. Inputs'!$B$13*(1+'1. Inputs'!$B$14*MIN(D54,'1. Inputs'!$B$15))*'1. Inputs'!$B$31)</f>
        <v>95200</v>
      </c>
      <c r="Q54" s="22" t="n">
        <f aca="false">IF(E54&lt;=0,0,'1. Inputs'!$B$13*(1+'1. Inputs'!$B$14*MIN(E54,'1. Inputs'!$B$15))*'1. Inputs'!$B$31)</f>
        <v>95200</v>
      </c>
    </row>
    <row r="55" customFormat="false" ht="15" hidden="false" customHeight="false" outlineLevel="0" collapsed="false">
      <c r="A55" s="7" t="n">
        <v>54</v>
      </c>
      <c r="B55" s="19" t="n">
        <f aca="false">MAX(0,$A55-'1. Inputs'!$C$24-'1. Inputs'!$B$30+1)</f>
        <v>48</v>
      </c>
      <c r="C55" s="19" t="n">
        <f aca="false">MAX(0,$A55-'1. Inputs'!$C$25-'1. Inputs'!$B$30+1)</f>
        <v>43</v>
      </c>
      <c r="D55" s="19" t="n">
        <f aca="false">MAX(0,$A55-'1. Inputs'!$C$26-'1. Inputs'!$B$30+1)</f>
        <v>38</v>
      </c>
      <c r="E55" s="19" t="n">
        <f aca="false">MAX(0,$A55-'1. Inputs'!$C$27-'1. Inputs'!$B$30+1)</f>
        <v>37</v>
      </c>
      <c r="F55" s="20" t="n">
        <f aca="false">IF(B55&lt;=0,0,'1. Inputs'!$B$24*'1. Inputs'!$B$5*B55^'1. Inputs'!$B$7/('1. Inputs'!$B$6^'1. Inputs'!$B$7+B55^'1. Inputs'!$B$7))</f>
        <v>208.664150943396</v>
      </c>
      <c r="G55" s="20" t="n">
        <f aca="false">IF(C55&lt;=0,0,'1. Inputs'!$B$25*'1. Inputs'!$B$5*C55^'1. Inputs'!$B$7/('1. Inputs'!$B$6^'1. Inputs'!$B$7+C55^'1. Inputs'!$B$7))</f>
        <v>275.912953367876</v>
      </c>
      <c r="H55" s="20" t="n">
        <f aca="false">IF(D55&lt;=0,0,'1. Inputs'!$B$26*'1. Inputs'!$B$5*D55^'1. Inputs'!$B$7/('1. Inputs'!$B$6^'1. Inputs'!$B$7+D55^'1. Inputs'!$B$7))</f>
        <v>119.307540983607</v>
      </c>
      <c r="I55" s="20" t="n">
        <f aca="false">IF(E55&lt;=0,0,'1. Inputs'!$B$27*'1. Inputs'!$B$5*E55^'1. Inputs'!$B$7/('1. Inputs'!$B$6^'1. Inputs'!$B$7+E55^'1. Inputs'!$B$7))</f>
        <v>84.9724137931034</v>
      </c>
      <c r="J55" s="21" t="n">
        <f aca="false">IF(B55&lt;=0,0,'1. Inputs'!$B$9+'1. Inputs'!$B$10*B55/(B55+'1. Inputs'!$B$11))</f>
        <v>0.206666666666667</v>
      </c>
      <c r="K55" s="21" t="n">
        <f aca="false">IF(C55&lt;=0,0,'1. Inputs'!$B$9+'1. Inputs'!$B$10*C55/(C55+'1. Inputs'!$B$11))</f>
        <v>0.20530612244898</v>
      </c>
      <c r="L55" s="21" t="n">
        <f aca="false">IF(D55&lt;=0,0,'1. Inputs'!$B$9+'1. Inputs'!$B$10*D55/(D55+'1. Inputs'!$B$11))</f>
        <v>0.203636363636364</v>
      </c>
      <c r="M55" s="21" t="n">
        <f aca="false">IF(E55&lt;=0,0,'1. Inputs'!$B$9+'1. Inputs'!$B$10*E55/(E55+'1. Inputs'!$B$11))</f>
        <v>0.203255813953488</v>
      </c>
      <c r="N55" s="22" t="n">
        <f aca="false">IF(B55&lt;=0,0,'1. Inputs'!$B$13*(1+'1. Inputs'!$B$14*MIN(B55,'1. Inputs'!$B$15))*'1. Inputs'!$B$31)</f>
        <v>95200</v>
      </c>
      <c r="O55" s="22" t="n">
        <f aca="false">IF(C55&lt;=0,0,'1. Inputs'!$B$13*(1+'1. Inputs'!$B$14*MIN(C55,'1. Inputs'!$B$15))*'1. Inputs'!$B$31)</f>
        <v>95200</v>
      </c>
      <c r="P55" s="22" t="n">
        <f aca="false">IF(D55&lt;=0,0,'1. Inputs'!$B$13*(1+'1. Inputs'!$B$14*MIN(D55,'1. Inputs'!$B$15))*'1. Inputs'!$B$31)</f>
        <v>95200</v>
      </c>
      <c r="Q55" s="22" t="n">
        <f aca="false">IF(E55&lt;=0,0,'1. Inputs'!$B$13*(1+'1. Inputs'!$B$14*MIN(E55,'1. Inputs'!$B$15))*'1. Inputs'!$B$31)</f>
        <v>95200</v>
      </c>
    </row>
    <row r="56" customFormat="false" ht="15" hidden="false" customHeight="false" outlineLevel="0" collapsed="false">
      <c r="A56" s="7" t="n">
        <v>55</v>
      </c>
      <c r="B56" s="19" t="n">
        <f aca="false">MAX(0,$A56-'1. Inputs'!$C$24-'1. Inputs'!$B$30+1)</f>
        <v>49</v>
      </c>
      <c r="C56" s="19" t="n">
        <f aca="false">MAX(0,$A56-'1. Inputs'!$C$25-'1. Inputs'!$B$30+1)</f>
        <v>44</v>
      </c>
      <c r="D56" s="19" t="n">
        <f aca="false">MAX(0,$A56-'1. Inputs'!$C$26-'1. Inputs'!$B$30+1)</f>
        <v>39</v>
      </c>
      <c r="E56" s="19" t="n">
        <f aca="false">MAX(0,$A56-'1. Inputs'!$C$27-'1. Inputs'!$B$30+1)</f>
        <v>38</v>
      </c>
      <c r="F56" s="20" t="n">
        <f aca="false">IF(B56&lt;=0,0,'1. Inputs'!$B$24*'1. Inputs'!$B$5*B56^'1. Inputs'!$B$7/('1. Inputs'!$B$6^'1. Inputs'!$B$7+B56^'1. Inputs'!$B$7))</f>
        <v>208.950846091861</v>
      </c>
      <c r="G56" s="20" t="n">
        <f aca="false">IF(C56&lt;=0,0,'1. Inputs'!$B$25*'1. Inputs'!$B$5*C56^'1. Inputs'!$B$7/('1. Inputs'!$B$6^'1. Inputs'!$B$7+C56^'1. Inputs'!$B$7))</f>
        <v>276.43430837878</v>
      </c>
      <c r="H56" s="20" t="n">
        <f aca="false">IF(D56&lt;=0,0,'1. Inputs'!$B$26*'1. Inputs'!$B$5*D56^'1. Inputs'!$B$7/('1. Inputs'!$B$6^'1. Inputs'!$B$7+D56^'1. Inputs'!$B$7))</f>
        <v>119.629213483146</v>
      </c>
      <c r="I56" s="20" t="n">
        <f aca="false">IF(E56&lt;=0,0,'1. Inputs'!$B$27*'1. Inputs'!$B$5*E56^'1. Inputs'!$B$7/('1. Inputs'!$B$6^'1. Inputs'!$B$7+E56^'1. Inputs'!$B$7))</f>
        <v>85.2196721311476</v>
      </c>
      <c r="J56" s="21" t="n">
        <f aca="false">IF(B56&lt;=0,0,'1. Inputs'!$B$9+'1. Inputs'!$B$10*B56/(B56+'1. Inputs'!$B$11))</f>
        <v>0.206909090909091</v>
      </c>
      <c r="K56" s="21" t="n">
        <f aca="false">IF(C56&lt;=0,0,'1. Inputs'!$B$9+'1. Inputs'!$B$10*C56/(C56+'1. Inputs'!$B$11))</f>
        <v>0.2056</v>
      </c>
      <c r="L56" s="21" t="n">
        <f aca="false">IF(D56&lt;=0,0,'1. Inputs'!$B$9+'1. Inputs'!$B$10*D56/(D56+'1. Inputs'!$B$11))</f>
        <v>0.204</v>
      </c>
      <c r="M56" s="21" t="n">
        <f aca="false">IF(E56&lt;=0,0,'1. Inputs'!$B$9+'1. Inputs'!$B$10*E56/(E56+'1. Inputs'!$B$11))</f>
        <v>0.203636363636364</v>
      </c>
      <c r="N56" s="22" t="n">
        <f aca="false">IF(B56&lt;=0,0,'1. Inputs'!$B$13*(1+'1. Inputs'!$B$14*MIN(B56,'1. Inputs'!$B$15))*'1. Inputs'!$B$31)</f>
        <v>95200</v>
      </c>
      <c r="O56" s="22" t="n">
        <f aca="false">IF(C56&lt;=0,0,'1. Inputs'!$B$13*(1+'1. Inputs'!$B$14*MIN(C56,'1. Inputs'!$B$15))*'1. Inputs'!$B$31)</f>
        <v>95200</v>
      </c>
      <c r="P56" s="22" t="n">
        <f aca="false">IF(D56&lt;=0,0,'1. Inputs'!$B$13*(1+'1. Inputs'!$B$14*MIN(D56,'1. Inputs'!$B$15))*'1. Inputs'!$B$31)</f>
        <v>95200</v>
      </c>
      <c r="Q56" s="22" t="n">
        <f aca="false">IF(E56&lt;=0,0,'1. Inputs'!$B$13*(1+'1. Inputs'!$B$14*MIN(E56,'1. Inputs'!$B$15))*'1. Inputs'!$B$31)</f>
        <v>95200</v>
      </c>
    </row>
    <row r="57" customFormat="false" ht="15" hidden="false" customHeight="false" outlineLevel="0" collapsed="false">
      <c r="A57" s="7" t="n">
        <v>56</v>
      </c>
      <c r="B57" s="19" t="n">
        <f aca="false">MAX(0,$A57-'1. Inputs'!$C$24-'1. Inputs'!$B$30+1)</f>
        <v>50</v>
      </c>
      <c r="C57" s="19" t="n">
        <f aca="false">MAX(0,$A57-'1. Inputs'!$C$25-'1. Inputs'!$B$30+1)</f>
        <v>45</v>
      </c>
      <c r="D57" s="19" t="n">
        <f aca="false">MAX(0,$A57-'1. Inputs'!$C$26-'1. Inputs'!$B$30+1)</f>
        <v>40</v>
      </c>
      <c r="E57" s="19" t="n">
        <f aca="false">MAX(0,$A57-'1. Inputs'!$C$27-'1. Inputs'!$B$30+1)</f>
        <v>39</v>
      </c>
      <c r="F57" s="20" t="n">
        <f aca="false">IF(B57&lt;=0,0,'1. Inputs'!$B$24*'1. Inputs'!$B$5*B57^'1. Inputs'!$B$7/('1. Inputs'!$B$6^'1. Inputs'!$B$7+B57^'1. Inputs'!$B$7))</f>
        <v>209.221232080589</v>
      </c>
      <c r="G57" s="20" t="n">
        <f aca="false">IF(C57&lt;=0,0,'1. Inputs'!$B$25*'1. Inputs'!$B$5*C57^'1. Inputs'!$B$7/('1. Inputs'!$B$6^'1. Inputs'!$B$7+C57^'1. Inputs'!$B$7))</f>
        <v>276.923076923077</v>
      </c>
      <c r="H57" s="20" t="n">
        <f aca="false">IF(D57&lt;=0,0,'1. Inputs'!$B$26*'1. Inputs'!$B$5*D57^'1. Inputs'!$B$7/('1. Inputs'!$B$6^'1. Inputs'!$B$7+D57^'1. Inputs'!$B$7))</f>
        <v>119.928613920286</v>
      </c>
      <c r="I57" s="20" t="n">
        <f aca="false">IF(E57&lt;=0,0,'1. Inputs'!$B$27*'1. Inputs'!$B$5*E57^'1. Inputs'!$B$7/('1. Inputs'!$B$6^'1. Inputs'!$B$7+E57^'1. Inputs'!$B$7))</f>
        <v>85.4494382022472</v>
      </c>
      <c r="J57" s="21" t="n">
        <f aca="false">IF(B57&lt;=0,0,'1. Inputs'!$B$9+'1. Inputs'!$B$10*B57/(B57+'1. Inputs'!$B$11))</f>
        <v>0.207142857142857</v>
      </c>
      <c r="K57" s="21" t="n">
        <f aca="false">IF(C57&lt;=0,0,'1. Inputs'!$B$9+'1. Inputs'!$B$10*C57/(C57+'1. Inputs'!$B$11))</f>
        <v>0.205882352941176</v>
      </c>
      <c r="L57" s="21" t="n">
        <f aca="false">IF(D57&lt;=0,0,'1. Inputs'!$B$9+'1. Inputs'!$B$10*D57/(D57+'1. Inputs'!$B$11))</f>
        <v>0.204347826086957</v>
      </c>
      <c r="M57" s="21" t="n">
        <f aca="false">IF(E57&lt;=0,0,'1. Inputs'!$B$9+'1. Inputs'!$B$10*E57/(E57+'1. Inputs'!$B$11))</f>
        <v>0.204</v>
      </c>
      <c r="N57" s="22" t="n">
        <f aca="false">IF(B57&lt;=0,0,'1. Inputs'!$B$13*(1+'1. Inputs'!$B$14*MIN(B57,'1. Inputs'!$B$15))*'1. Inputs'!$B$31)</f>
        <v>95200</v>
      </c>
      <c r="O57" s="22" t="n">
        <f aca="false">IF(C57&lt;=0,0,'1. Inputs'!$B$13*(1+'1. Inputs'!$B$14*MIN(C57,'1. Inputs'!$B$15))*'1. Inputs'!$B$31)</f>
        <v>95200</v>
      </c>
      <c r="P57" s="22" t="n">
        <f aca="false">IF(D57&lt;=0,0,'1. Inputs'!$B$13*(1+'1. Inputs'!$B$14*MIN(D57,'1. Inputs'!$B$15))*'1. Inputs'!$B$31)</f>
        <v>95200</v>
      </c>
      <c r="Q57" s="22" t="n">
        <f aca="false">IF(E57&lt;=0,0,'1. Inputs'!$B$13*(1+'1. Inputs'!$B$14*MIN(E57,'1. Inputs'!$B$15))*'1. Inputs'!$B$31)</f>
        <v>95200</v>
      </c>
    </row>
    <row r="58" customFormat="false" ht="15" hidden="false" customHeight="false" outlineLevel="0" collapsed="false">
      <c r="A58" s="7" t="n">
        <v>57</v>
      </c>
      <c r="B58" s="19" t="n">
        <f aca="false">MAX(0,$A58-'1. Inputs'!$C$24-'1. Inputs'!$B$30+1)</f>
        <v>51</v>
      </c>
      <c r="C58" s="19" t="n">
        <f aca="false">MAX(0,$A58-'1. Inputs'!$C$25-'1. Inputs'!$B$30+1)</f>
        <v>46</v>
      </c>
      <c r="D58" s="19" t="n">
        <f aca="false">MAX(0,$A58-'1. Inputs'!$C$26-'1. Inputs'!$B$30+1)</f>
        <v>41</v>
      </c>
      <c r="E58" s="19" t="n">
        <f aca="false">MAX(0,$A58-'1. Inputs'!$C$27-'1. Inputs'!$B$30+1)</f>
        <v>40</v>
      </c>
      <c r="F58" s="20" t="n">
        <f aca="false">IF(B58&lt;=0,0,'1. Inputs'!$B$24*'1. Inputs'!$B$5*B58^'1. Inputs'!$B$7/('1. Inputs'!$B$6^'1. Inputs'!$B$7+B58^'1. Inputs'!$B$7))</f>
        <v>209.476510067114</v>
      </c>
      <c r="G58" s="20" t="n">
        <f aca="false">IF(C58&lt;=0,0,'1. Inputs'!$B$25*'1. Inputs'!$B$5*C58^'1. Inputs'!$B$7/('1. Inputs'!$B$6^'1. Inputs'!$B$7+C58^'1. Inputs'!$B$7))</f>
        <v>277.381884387802</v>
      </c>
      <c r="H58" s="20" t="n">
        <f aca="false">IF(D58&lt;=0,0,'1. Inputs'!$B$26*'1. Inputs'!$B$5*D58^'1. Inputs'!$B$7/('1. Inputs'!$B$6^'1. Inputs'!$B$7+D58^'1. Inputs'!$B$7))</f>
        <v>120.207718501703</v>
      </c>
      <c r="I58" s="20" t="n">
        <f aca="false">IF(E58&lt;=0,0,'1. Inputs'!$B$27*'1. Inputs'!$B$5*E58^'1. Inputs'!$B$7/('1. Inputs'!$B$6^'1. Inputs'!$B$7+E58^'1. Inputs'!$B$7))</f>
        <v>85.6632956573468</v>
      </c>
      <c r="J58" s="21" t="n">
        <f aca="false">IF(B58&lt;=0,0,'1. Inputs'!$B$9+'1. Inputs'!$B$10*B58/(B58+'1. Inputs'!$B$11))</f>
        <v>0.207368421052632</v>
      </c>
      <c r="K58" s="21" t="n">
        <f aca="false">IF(C58&lt;=0,0,'1. Inputs'!$B$9+'1. Inputs'!$B$10*C58/(C58+'1. Inputs'!$B$11))</f>
        <v>0.206153846153846</v>
      </c>
      <c r="L58" s="21" t="n">
        <f aca="false">IF(D58&lt;=0,0,'1. Inputs'!$B$9+'1. Inputs'!$B$10*D58/(D58+'1. Inputs'!$B$11))</f>
        <v>0.20468085106383</v>
      </c>
      <c r="M58" s="21" t="n">
        <f aca="false">IF(E58&lt;=0,0,'1. Inputs'!$B$9+'1. Inputs'!$B$10*E58/(E58+'1. Inputs'!$B$11))</f>
        <v>0.204347826086957</v>
      </c>
      <c r="N58" s="22" t="n">
        <f aca="false">IF(B58&lt;=0,0,'1. Inputs'!$B$13*(1+'1. Inputs'!$B$14*MIN(B58,'1. Inputs'!$B$15))*'1. Inputs'!$B$31)</f>
        <v>95200</v>
      </c>
      <c r="O58" s="22" t="n">
        <f aca="false">IF(C58&lt;=0,0,'1. Inputs'!$B$13*(1+'1. Inputs'!$B$14*MIN(C58,'1. Inputs'!$B$15))*'1. Inputs'!$B$31)</f>
        <v>95200</v>
      </c>
      <c r="P58" s="22" t="n">
        <f aca="false">IF(D58&lt;=0,0,'1. Inputs'!$B$13*(1+'1. Inputs'!$B$14*MIN(D58,'1. Inputs'!$B$15))*'1. Inputs'!$B$31)</f>
        <v>95200</v>
      </c>
      <c r="Q58" s="22" t="n">
        <f aca="false">IF(E58&lt;=0,0,'1. Inputs'!$B$13*(1+'1. Inputs'!$B$14*MIN(E58,'1. Inputs'!$B$15))*'1. Inputs'!$B$31)</f>
        <v>95200</v>
      </c>
    </row>
    <row r="59" customFormat="false" ht="15" hidden="false" customHeight="false" outlineLevel="0" collapsed="false">
      <c r="A59" s="7" t="n">
        <v>58</v>
      </c>
      <c r="B59" s="19" t="n">
        <f aca="false">MAX(0,$A59-'1. Inputs'!$C$24-'1. Inputs'!$B$30+1)</f>
        <v>52</v>
      </c>
      <c r="C59" s="19" t="n">
        <f aca="false">MAX(0,$A59-'1. Inputs'!$C$25-'1. Inputs'!$B$30+1)</f>
        <v>47</v>
      </c>
      <c r="D59" s="19" t="n">
        <f aca="false">MAX(0,$A59-'1. Inputs'!$C$26-'1. Inputs'!$B$30+1)</f>
        <v>42</v>
      </c>
      <c r="E59" s="19" t="n">
        <f aca="false">MAX(0,$A59-'1. Inputs'!$C$27-'1. Inputs'!$B$30+1)</f>
        <v>41</v>
      </c>
      <c r="F59" s="20" t="n">
        <f aca="false">IF(B59&lt;=0,0,'1. Inputs'!$B$24*'1. Inputs'!$B$5*B59^'1. Inputs'!$B$7/('1. Inputs'!$B$6^'1. Inputs'!$B$7+B59^'1. Inputs'!$B$7))</f>
        <v>209.717773788151</v>
      </c>
      <c r="G59" s="20" t="n">
        <f aca="false">IF(C59&lt;=0,0,'1. Inputs'!$B$25*'1. Inputs'!$B$5*C59^'1. Inputs'!$B$7/('1. Inputs'!$B$6^'1. Inputs'!$B$7+C59^'1. Inputs'!$B$7))</f>
        <v>277.813100436681</v>
      </c>
      <c r="H59" s="20" t="n">
        <f aca="false">IF(D59&lt;=0,0,'1. Inputs'!$B$26*'1. Inputs'!$B$5*D59^'1. Inputs'!$B$7/('1. Inputs'!$B$6^'1. Inputs'!$B$7+D59^'1. Inputs'!$B$7))</f>
        <v>120.468292682927</v>
      </c>
      <c r="I59" s="20" t="n">
        <f aca="false">IF(E59&lt;=0,0,'1. Inputs'!$B$27*'1. Inputs'!$B$5*E59^'1. Inputs'!$B$7/('1. Inputs'!$B$6^'1. Inputs'!$B$7+E59^'1. Inputs'!$B$7))</f>
        <v>85.8626560726447</v>
      </c>
      <c r="J59" s="21" t="n">
        <f aca="false">IF(B59&lt;=0,0,'1. Inputs'!$B$9+'1. Inputs'!$B$10*B59/(B59+'1. Inputs'!$B$11))</f>
        <v>0.207586206896552</v>
      </c>
      <c r="K59" s="21" t="n">
        <f aca="false">IF(C59&lt;=0,0,'1. Inputs'!$B$9+'1. Inputs'!$B$10*C59/(C59+'1. Inputs'!$B$11))</f>
        <v>0.206415094339623</v>
      </c>
      <c r="L59" s="21" t="n">
        <f aca="false">IF(D59&lt;=0,0,'1. Inputs'!$B$9+'1. Inputs'!$B$10*D59/(D59+'1. Inputs'!$B$11))</f>
        <v>0.205</v>
      </c>
      <c r="M59" s="21" t="n">
        <f aca="false">IF(E59&lt;=0,0,'1. Inputs'!$B$9+'1. Inputs'!$B$10*E59/(E59+'1. Inputs'!$B$11))</f>
        <v>0.20468085106383</v>
      </c>
      <c r="N59" s="22" t="n">
        <f aca="false">IF(B59&lt;=0,0,'1. Inputs'!$B$13*(1+'1. Inputs'!$B$14*MIN(B59,'1. Inputs'!$B$15))*'1. Inputs'!$B$31)</f>
        <v>95200</v>
      </c>
      <c r="O59" s="22" t="n">
        <f aca="false">IF(C59&lt;=0,0,'1. Inputs'!$B$13*(1+'1. Inputs'!$B$14*MIN(C59,'1. Inputs'!$B$15))*'1. Inputs'!$B$31)</f>
        <v>95200</v>
      </c>
      <c r="P59" s="22" t="n">
        <f aca="false">IF(D59&lt;=0,0,'1. Inputs'!$B$13*(1+'1. Inputs'!$B$14*MIN(D59,'1. Inputs'!$B$15))*'1. Inputs'!$B$31)</f>
        <v>95200</v>
      </c>
      <c r="Q59" s="22" t="n">
        <f aca="false">IF(E59&lt;=0,0,'1. Inputs'!$B$13*(1+'1. Inputs'!$B$14*MIN(E59,'1. Inputs'!$B$15))*'1. Inputs'!$B$31)</f>
        <v>95200</v>
      </c>
    </row>
    <row r="60" customFormat="false" ht="15" hidden="false" customHeight="false" outlineLevel="0" collapsed="false">
      <c r="A60" s="7" t="n">
        <v>59</v>
      </c>
      <c r="B60" s="19" t="n">
        <f aca="false">MAX(0,$A60-'1. Inputs'!$C$24-'1. Inputs'!$B$30+1)</f>
        <v>53</v>
      </c>
      <c r="C60" s="19" t="n">
        <f aca="false">MAX(0,$A60-'1. Inputs'!$C$25-'1. Inputs'!$B$30+1)</f>
        <v>48</v>
      </c>
      <c r="D60" s="19" t="n">
        <f aca="false">MAX(0,$A60-'1. Inputs'!$C$26-'1. Inputs'!$B$30+1)</f>
        <v>43</v>
      </c>
      <c r="E60" s="19" t="n">
        <f aca="false">MAX(0,$A60-'1. Inputs'!$C$27-'1. Inputs'!$B$30+1)</f>
        <v>42</v>
      </c>
      <c r="F60" s="20" t="n">
        <f aca="false">IF(B60&lt;=0,0,'1. Inputs'!$B$24*'1. Inputs'!$B$5*B60^'1. Inputs'!$B$7/('1. Inputs'!$B$6^'1. Inputs'!$B$7+B60^'1. Inputs'!$B$7))</f>
        <v>209.946020761246</v>
      </c>
      <c r="G60" s="20" t="n">
        <f aca="false">IF(C60&lt;=0,0,'1. Inputs'!$B$25*'1. Inputs'!$B$5*C60^'1. Inputs'!$B$7/('1. Inputs'!$B$6^'1. Inputs'!$B$7+C60^'1. Inputs'!$B$7))</f>
        <v>278.218867924528</v>
      </c>
      <c r="H60" s="20" t="n">
        <f aca="false">IF(D60&lt;=0,0,'1. Inputs'!$B$26*'1. Inputs'!$B$5*D60^'1. Inputs'!$B$7/('1. Inputs'!$B$6^'1. Inputs'!$B$7+D60^'1. Inputs'!$B$7))</f>
        <v>120.711917098446</v>
      </c>
      <c r="I60" s="20" t="n">
        <f aca="false">IF(E60&lt;=0,0,'1. Inputs'!$B$27*'1. Inputs'!$B$5*E60^'1. Inputs'!$B$7/('1. Inputs'!$B$6^'1. Inputs'!$B$7+E60^'1. Inputs'!$B$7))</f>
        <v>86.0487804878049</v>
      </c>
      <c r="J60" s="21" t="n">
        <f aca="false">IF(B60&lt;=0,0,'1. Inputs'!$B$9+'1. Inputs'!$B$10*B60/(B60+'1. Inputs'!$B$11))</f>
        <v>0.207796610169492</v>
      </c>
      <c r="K60" s="21" t="n">
        <f aca="false">IF(C60&lt;=0,0,'1. Inputs'!$B$9+'1. Inputs'!$B$10*C60/(C60+'1. Inputs'!$B$11))</f>
        <v>0.206666666666667</v>
      </c>
      <c r="L60" s="21" t="n">
        <f aca="false">IF(D60&lt;=0,0,'1. Inputs'!$B$9+'1. Inputs'!$B$10*D60/(D60+'1. Inputs'!$B$11))</f>
        <v>0.20530612244898</v>
      </c>
      <c r="M60" s="21" t="n">
        <f aca="false">IF(E60&lt;=0,0,'1. Inputs'!$B$9+'1. Inputs'!$B$10*E60/(E60+'1. Inputs'!$B$11))</f>
        <v>0.205</v>
      </c>
      <c r="N60" s="22" t="n">
        <f aca="false">IF(B60&lt;=0,0,'1. Inputs'!$B$13*(1+'1. Inputs'!$B$14*MIN(B60,'1. Inputs'!$B$15))*'1. Inputs'!$B$31)</f>
        <v>95200</v>
      </c>
      <c r="O60" s="22" t="n">
        <f aca="false">IF(C60&lt;=0,0,'1. Inputs'!$B$13*(1+'1. Inputs'!$B$14*MIN(C60,'1. Inputs'!$B$15))*'1. Inputs'!$B$31)</f>
        <v>95200</v>
      </c>
      <c r="P60" s="22" t="n">
        <f aca="false">IF(D60&lt;=0,0,'1. Inputs'!$B$13*(1+'1. Inputs'!$B$14*MIN(D60,'1. Inputs'!$B$15))*'1. Inputs'!$B$31)</f>
        <v>95200</v>
      </c>
      <c r="Q60" s="22" t="n">
        <f aca="false">IF(E60&lt;=0,0,'1. Inputs'!$B$13*(1+'1. Inputs'!$B$14*MIN(E60,'1. Inputs'!$B$15))*'1. Inputs'!$B$31)</f>
        <v>95200</v>
      </c>
    </row>
    <row r="61" customFormat="false" ht="15" hidden="false" customHeight="false" outlineLevel="0" collapsed="false">
      <c r="A61" s="7" t="n">
        <v>60</v>
      </c>
      <c r="B61" s="19" t="n">
        <f aca="false">MAX(0,$A61-'1. Inputs'!$C$24-'1. Inputs'!$B$30+1)</f>
        <v>54</v>
      </c>
      <c r="C61" s="19" t="n">
        <f aca="false">MAX(0,$A61-'1. Inputs'!$C$25-'1. Inputs'!$B$30+1)</f>
        <v>49</v>
      </c>
      <c r="D61" s="19" t="n">
        <f aca="false">MAX(0,$A61-'1. Inputs'!$C$26-'1. Inputs'!$B$30+1)</f>
        <v>44</v>
      </c>
      <c r="E61" s="19" t="n">
        <f aca="false">MAX(0,$A61-'1. Inputs'!$C$27-'1. Inputs'!$B$30+1)</f>
        <v>43</v>
      </c>
      <c r="F61" s="20" t="n">
        <f aca="false">IF(B61&lt;=0,0,'1. Inputs'!$B$24*'1. Inputs'!$B$5*B61^'1. Inputs'!$B$7/('1. Inputs'!$B$6^'1. Inputs'!$B$7+B61^'1. Inputs'!$B$7))</f>
        <v>210.162162162162</v>
      </c>
      <c r="G61" s="20" t="n">
        <f aca="false">IF(C61&lt;=0,0,'1. Inputs'!$B$25*'1. Inputs'!$B$5*C61^'1. Inputs'!$B$7/('1. Inputs'!$B$6^'1. Inputs'!$B$7+C61^'1. Inputs'!$B$7))</f>
        <v>278.601128122482</v>
      </c>
      <c r="H61" s="20" t="n">
        <f aca="false">IF(D61&lt;=0,0,'1. Inputs'!$B$26*'1. Inputs'!$B$5*D61^'1. Inputs'!$B$7/('1. Inputs'!$B$6^'1. Inputs'!$B$7+D61^'1. Inputs'!$B$7))</f>
        <v>120.940009915716</v>
      </c>
      <c r="I61" s="20" t="n">
        <f aca="false">IF(E61&lt;=0,0,'1. Inputs'!$B$27*'1. Inputs'!$B$5*E61^'1. Inputs'!$B$7/('1. Inputs'!$B$6^'1. Inputs'!$B$7+E61^'1. Inputs'!$B$7))</f>
        <v>86.2227979274611</v>
      </c>
      <c r="J61" s="21" t="n">
        <f aca="false">IF(B61&lt;=0,0,'1. Inputs'!$B$9+'1. Inputs'!$B$10*B61/(B61+'1. Inputs'!$B$11))</f>
        <v>0.208</v>
      </c>
      <c r="K61" s="21" t="n">
        <f aca="false">IF(C61&lt;=0,0,'1. Inputs'!$B$9+'1. Inputs'!$B$10*C61/(C61+'1. Inputs'!$B$11))</f>
        <v>0.206909090909091</v>
      </c>
      <c r="L61" s="21" t="n">
        <f aca="false">IF(D61&lt;=0,0,'1. Inputs'!$B$9+'1. Inputs'!$B$10*D61/(D61+'1. Inputs'!$B$11))</f>
        <v>0.2056</v>
      </c>
      <c r="M61" s="21" t="n">
        <f aca="false">IF(E61&lt;=0,0,'1. Inputs'!$B$9+'1. Inputs'!$B$10*E61/(E61+'1. Inputs'!$B$11))</f>
        <v>0.20530612244898</v>
      </c>
      <c r="N61" s="22" t="n">
        <f aca="false">IF(B61&lt;=0,0,'1. Inputs'!$B$13*(1+'1. Inputs'!$B$14*MIN(B61,'1. Inputs'!$B$15))*'1. Inputs'!$B$31)</f>
        <v>95200</v>
      </c>
      <c r="O61" s="22" t="n">
        <f aca="false">IF(C61&lt;=0,0,'1. Inputs'!$B$13*(1+'1. Inputs'!$B$14*MIN(C61,'1. Inputs'!$B$15))*'1. Inputs'!$B$31)</f>
        <v>95200</v>
      </c>
      <c r="P61" s="22" t="n">
        <f aca="false">IF(D61&lt;=0,0,'1. Inputs'!$B$13*(1+'1. Inputs'!$B$14*MIN(D61,'1. Inputs'!$B$15))*'1. Inputs'!$B$31)</f>
        <v>95200</v>
      </c>
      <c r="Q61" s="22" t="n">
        <f aca="false">IF(E61&lt;=0,0,'1. Inputs'!$B$13*(1+'1. Inputs'!$B$14*MIN(E61,'1. Inputs'!$B$15))*'1. Inputs'!$B$31)</f>
        <v>95200</v>
      </c>
    </row>
    <row r="62" customFormat="false" ht="15" hidden="false" customHeight="false" outlineLevel="0" collapsed="false">
      <c r="A62" s="7" t="n">
        <v>61</v>
      </c>
      <c r="B62" s="19" t="n">
        <f aca="false">MAX(0,$A62-'1. Inputs'!$C$24-'1. Inputs'!$B$30+1)</f>
        <v>55</v>
      </c>
      <c r="C62" s="19" t="n">
        <f aca="false">MAX(0,$A62-'1. Inputs'!$C$25-'1. Inputs'!$B$30+1)</f>
        <v>50</v>
      </c>
      <c r="D62" s="19" t="n">
        <f aca="false">MAX(0,$A62-'1. Inputs'!$C$26-'1. Inputs'!$B$30+1)</f>
        <v>45</v>
      </c>
      <c r="E62" s="19" t="n">
        <f aca="false">MAX(0,$A62-'1. Inputs'!$C$27-'1. Inputs'!$B$30+1)</f>
        <v>44</v>
      </c>
      <c r="F62" s="20" t="n">
        <f aca="false">IF(B62&lt;=0,0,'1. Inputs'!$B$24*'1. Inputs'!$B$5*B62^'1. Inputs'!$B$7/('1. Inputs'!$B$6^'1. Inputs'!$B$7+B62^'1. Inputs'!$B$7))</f>
        <v>210.367031551835</v>
      </c>
      <c r="G62" s="20" t="n">
        <f aca="false">IF(C62&lt;=0,0,'1. Inputs'!$B$25*'1. Inputs'!$B$5*C62^'1. Inputs'!$B$7/('1. Inputs'!$B$6^'1. Inputs'!$B$7+C62^'1. Inputs'!$B$7))</f>
        <v>278.961642774119</v>
      </c>
      <c r="H62" s="20" t="n">
        <f aca="false">IF(D62&lt;=0,0,'1. Inputs'!$B$26*'1. Inputs'!$B$5*D62^'1. Inputs'!$B$7/('1. Inputs'!$B$6^'1. Inputs'!$B$7+D62^'1. Inputs'!$B$7))</f>
        <v>121.153846153846</v>
      </c>
      <c r="I62" s="20" t="n">
        <f aca="false">IF(E62&lt;=0,0,'1. Inputs'!$B$27*'1. Inputs'!$B$5*E62^'1. Inputs'!$B$7/('1. Inputs'!$B$6^'1. Inputs'!$B$7+E62^'1. Inputs'!$B$7))</f>
        <v>86.3857213683689</v>
      </c>
      <c r="J62" s="21" t="n">
        <f aca="false">IF(B62&lt;=0,0,'1. Inputs'!$B$9+'1. Inputs'!$B$10*B62/(B62+'1. Inputs'!$B$11))</f>
        <v>0.208196721311475</v>
      </c>
      <c r="K62" s="21" t="n">
        <f aca="false">IF(C62&lt;=0,0,'1. Inputs'!$B$9+'1. Inputs'!$B$10*C62/(C62+'1. Inputs'!$B$11))</f>
        <v>0.207142857142857</v>
      </c>
      <c r="L62" s="21" t="n">
        <f aca="false">IF(D62&lt;=0,0,'1. Inputs'!$B$9+'1. Inputs'!$B$10*D62/(D62+'1. Inputs'!$B$11))</f>
        <v>0.205882352941176</v>
      </c>
      <c r="M62" s="21" t="n">
        <f aca="false">IF(E62&lt;=0,0,'1. Inputs'!$B$9+'1. Inputs'!$B$10*E62/(E62+'1. Inputs'!$B$11))</f>
        <v>0.2056</v>
      </c>
      <c r="N62" s="22" t="n">
        <f aca="false">IF(B62&lt;=0,0,'1. Inputs'!$B$13*(1+'1. Inputs'!$B$14*MIN(B62,'1. Inputs'!$B$15))*'1. Inputs'!$B$31)</f>
        <v>95200</v>
      </c>
      <c r="O62" s="22" t="n">
        <f aca="false">IF(C62&lt;=0,0,'1. Inputs'!$B$13*(1+'1. Inputs'!$B$14*MIN(C62,'1. Inputs'!$B$15))*'1. Inputs'!$B$31)</f>
        <v>95200</v>
      </c>
      <c r="P62" s="22" t="n">
        <f aca="false">IF(D62&lt;=0,0,'1. Inputs'!$B$13*(1+'1. Inputs'!$B$14*MIN(D62,'1. Inputs'!$B$15))*'1. Inputs'!$B$31)</f>
        <v>95200</v>
      </c>
      <c r="Q62" s="22" t="n">
        <f aca="false">IF(E62&lt;=0,0,'1. Inputs'!$B$13*(1+'1. Inputs'!$B$14*MIN(E62,'1. Inputs'!$B$15))*'1. Inputs'!$B$31)</f>
        <v>95200</v>
      </c>
    </row>
    <row r="63" customFormat="false" ht="15" hidden="false" customHeight="false" outlineLevel="0" collapsed="false">
      <c r="A63" s="7" t="n">
        <v>62</v>
      </c>
      <c r="B63" s="19" t="n">
        <f aca="false">MAX(0,$A63-'1. Inputs'!$C$24-'1. Inputs'!$B$30+1)</f>
        <v>56</v>
      </c>
      <c r="C63" s="19" t="n">
        <f aca="false">MAX(0,$A63-'1. Inputs'!$C$25-'1. Inputs'!$B$30+1)</f>
        <v>51</v>
      </c>
      <c r="D63" s="19" t="n">
        <f aca="false">MAX(0,$A63-'1. Inputs'!$C$26-'1. Inputs'!$B$30+1)</f>
        <v>46</v>
      </c>
      <c r="E63" s="19" t="n">
        <f aca="false">MAX(0,$A63-'1. Inputs'!$C$27-'1. Inputs'!$B$30+1)</f>
        <v>45</v>
      </c>
      <c r="F63" s="20" t="n">
        <f aca="false">IF(B63&lt;=0,0,'1. Inputs'!$B$24*'1. Inputs'!$B$5*B63^'1. Inputs'!$B$7/('1. Inputs'!$B$6^'1. Inputs'!$B$7+B63^'1. Inputs'!$B$7))</f>
        <v>210.561392601803</v>
      </c>
      <c r="G63" s="20" t="n">
        <f aca="false">IF(C63&lt;=0,0,'1. Inputs'!$B$25*'1. Inputs'!$B$5*C63^'1. Inputs'!$B$7/('1. Inputs'!$B$6^'1. Inputs'!$B$7+C63^'1. Inputs'!$B$7))</f>
        <v>279.302013422819</v>
      </c>
      <c r="H63" s="20" t="n">
        <f aca="false">IF(D63&lt;=0,0,'1. Inputs'!$B$26*'1. Inputs'!$B$5*D63^'1. Inputs'!$B$7/('1. Inputs'!$B$6^'1. Inputs'!$B$7+D63^'1. Inputs'!$B$7))</f>
        <v>121.354574419663</v>
      </c>
      <c r="I63" s="20" t="n">
        <f aca="false">IF(E63&lt;=0,0,'1. Inputs'!$B$27*'1. Inputs'!$B$5*E63^'1. Inputs'!$B$7/('1. Inputs'!$B$6^'1. Inputs'!$B$7+E63^'1. Inputs'!$B$7))</f>
        <v>86.5384615384615</v>
      </c>
      <c r="J63" s="21" t="n">
        <f aca="false">IF(B63&lt;=0,0,'1. Inputs'!$B$9+'1. Inputs'!$B$10*B63/(B63+'1. Inputs'!$B$11))</f>
        <v>0.208387096774194</v>
      </c>
      <c r="K63" s="21" t="n">
        <f aca="false">IF(C63&lt;=0,0,'1. Inputs'!$B$9+'1. Inputs'!$B$10*C63/(C63+'1. Inputs'!$B$11))</f>
        <v>0.207368421052632</v>
      </c>
      <c r="L63" s="21" t="n">
        <f aca="false">IF(D63&lt;=0,0,'1. Inputs'!$B$9+'1. Inputs'!$B$10*D63/(D63+'1. Inputs'!$B$11))</f>
        <v>0.206153846153846</v>
      </c>
      <c r="M63" s="21" t="n">
        <f aca="false">IF(E63&lt;=0,0,'1. Inputs'!$B$9+'1. Inputs'!$B$10*E63/(E63+'1. Inputs'!$B$11))</f>
        <v>0.205882352941176</v>
      </c>
      <c r="N63" s="22" t="n">
        <f aca="false">IF(B63&lt;=0,0,'1. Inputs'!$B$13*(1+'1. Inputs'!$B$14*MIN(B63,'1. Inputs'!$B$15))*'1. Inputs'!$B$31)</f>
        <v>95200</v>
      </c>
      <c r="O63" s="22" t="n">
        <f aca="false">IF(C63&lt;=0,0,'1. Inputs'!$B$13*(1+'1. Inputs'!$B$14*MIN(C63,'1. Inputs'!$B$15))*'1. Inputs'!$B$31)</f>
        <v>95200</v>
      </c>
      <c r="P63" s="22" t="n">
        <f aca="false">IF(D63&lt;=0,0,'1. Inputs'!$B$13*(1+'1. Inputs'!$B$14*MIN(D63,'1. Inputs'!$B$15))*'1. Inputs'!$B$31)</f>
        <v>95200</v>
      </c>
      <c r="Q63" s="22" t="n">
        <f aca="false">IF(E63&lt;=0,0,'1. Inputs'!$B$13*(1+'1. Inputs'!$B$14*MIN(E63,'1. Inputs'!$B$15))*'1. Inputs'!$B$31)</f>
        <v>95200</v>
      </c>
    </row>
    <row r="64" customFormat="false" ht="15" hidden="false" customHeight="false" outlineLevel="0" collapsed="false">
      <c r="A64" s="7" t="n">
        <v>63</v>
      </c>
      <c r="B64" s="19" t="n">
        <f aca="false">MAX(0,$A64-'1. Inputs'!$C$24-'1. Inputs'!$B$30+1)</f>
        <v>57</v>
      </c>
      <c r="C64" s="19" t="n">
        <f aca="false">MAX(0,$A64-'1. Inputs'!$C$25-'1. Inputs'!$B$30+1)</f>
        <v>52</v>
      </c>
      <c r="D64" s="19" t="n">
        <f aca="false">MAX(0,$A64-'1. Inputs'!$C$26-'1. Inputs'!$B$30+1)</f>
        <v>47</v>
      </c>
      <c r="E64" s="19" t="n">
        <f aca="false">MAX(0,$A64-'1. Inputs'!$C$27-'1. Inputs'!$B$30+1)</f>
        <v>46</v>
      </c>
      <c r="F64" s="20" t="n">
        <f aca="false">IF(B64&lt;=0,0,'1. Inputs'!$B$24*'1. Inputs'!$B$5*B64^'1. Inputs'!$B$7/('1. Inputs'!$B$6^'1. Inputs'!$B$7+B64^'1. Inputs'!$B$7))</f>
        <v>210.745945945946</v>
      </c>
      <c r="G64" s="20" t="n">
        <f aca="false">IF(C64&lt;=0,0,'1. Inputs'!$B$25*'1. Inputs'!$B$5*C64^'1. Inputs'!$B$7/('1. Inputs'!$B$6^'1. Inputs'!$B$7+C64^'1. Inputs'!$B$7))</f>
        <v>279.623698384201</v>
      </c>
      <c r="H64" s="20" t="n">
        <f aca="false">IF(D64&lt;=0,0,'1. Inputs'!$B$26*'1. Inputs'!$B$5*D64^'1. Inputs'!$B$7/('1. Inputs'!$B$6^'1. Inputs'!$B$7+D64^'1. Inputs'!$B$7))</f>
        <v>121.543231441048</v>
      </c>
      <c r="I64" s="20" t="n">
        <f aca="false">IF(E64&lt;=0,0,'1. Inputs'!$B$27*'1. Inputs'!$B$5*E64^'1. Inputs'!$B$7/('1. Inputs'!$B$6^'1. Inputs'!$B$7+E64^'1. Inputs'!$B$7))</f>
        <v>86.681838871188</v>
      </c>
      <c r="J64" s="21" t="n">
        <f aca="false">IF(B64&lt;=0,0,'1. Inputs'!$B$9+'1. Inputs'!$B$10*B64/(B64+'1. Inputs'!$B$11))</f>
        <v>0.208571428571429</v>
      </c>
      <c r="K64" s="21" t="n">
        <f aca="false">IF(C64&lt;=0,0,'1. Inputs'!$B$9+'1. Inputs'!$B$10*C64/(C64+'1. Inputs'!$B$11))</f>
        <v>0.207586206896552</v>
      </c>
      <c r="L64" s="21" t="n">
        <f aca="false">IF(D64&lt;=0,0,'1. Inputs'!$B$9+'1. Inputs'!$B$10*D64/(D64+'1. Inputs'!$B$11))</f>
        <v>0.206415094339623</v>
      </c>
      <c r="M64" s="21" t="n">
        <f aca="false">IF(E64&lt;=0,0,'1. Inputs'!$B$9+'1. Inputs'!$B$10*E64/(E64+'1. Inputs'!$B$11))</f>
        <v>0.206153846153846</v>
      </c>
      <c r="N64" s="22" t="n">
        <f aca="false">IF(B64&lt;=0,0,'1. Inputs'!$B$13*(1+'1. Inputs'!$B$14*MIN(B64,'1. Inputs'!$B$15))*'1. Inputs'!$B$31)</f>
        <v>95200</v>
      </c>
      <c r="O64" s="22" t="n">
        <f aca="false">IF(C64&lt;=0,0,'1. Inputs'!$B$13*(1+'1. Inputs'!$B$14*MIN(C64,'1. Inputs'!$B$15))*'1. Inputs'!$B$31)</f>
        <v>95200</v>
      </c>
      <c r="P64" s="22" t="n">
        <f aca="false">IF(D64&lt;=0,0,'1. Inputs'!$B$13*(1+'1. Inputs'!$B$14*MIN(D64,'1. Inputs'!$B$15))*'1. Inputs'!$B$31)</f>
        <v>95200</v>
      </c>
      <c r="Q64" s="22" t="n">
        <f aca="false">IF(E64&lt;=0,0,'1. Inputs'!$B$13*(1+'1. Inputs'!$B$14*MIN(E64,'1. Inputs'!$B$15))*'1. Inputs'!$B$31)</f>
        <v>95200</v>
      </c>
    </row>
    <row r="65" customFormat="false" ht="15" hidden="false" customHeight="false" outlineLevel="0" collapsed="false">
      <c r="A65" s="7" t="n">
        <v>64</v>
      </c>
      <c r="B65" s="19" t="n">
        <f aca="false">MAX(0,$A65-'1. Inputs'!$C$24-'1. Inputs'!$B$30+1)</f>
        <v>58</v>
      </c>
      <c r="C65" s="19" t="n">
        <f aca="false">MAX(0,$A65-'1. Inputs'!$C$25-'1. Inputs'!$B$30+1)</f>
        <v>53</v>
      </c>
      <c r="D65" s="19" t="n">
        <f aca="false">MAX(0,$A65-'1. Inputs'!$C$26-'1. Inputs'!$B$30+1)</f>
        <v>48</v>
      </c>
      <c r="E65" s="19" t="n">
        <f aca="false">MAX(0,$A65-'1. Inputs'!$C$27-'1. Inputs'!$B$30+1)</f>
        <v>47</v>
      </c>
      <c r="F65" s="20" t="n">
        <f aca="false">IF(B65&lt;=0,0,'1. Inputs'!$B$24*'1. Inputs'!$B$5*B65^'1. Inputs'!$B$7/('1. Inputs'!$B$6^'1. Inputs'!$B$7+B65^'1. Inputs'!$B$7))</f>
        <v>210.921335268505</v>
      </c>
      <c r="G65" s="20" t="n">
        <f aca="false">IF(C65&lt;=0,0,'1. Inputs'!$B$25*'1. Inputs'!$B$5*C65^'1. Inputs'!$B$7/('1. Inputs'!$B$6^'1. Inputs'!$B$7+C65^'1. Inputs'!$B$7))</f>
        <v>279.928027681661</v>
      </c>
      <c r="H65" s="20" t="n">
        <f aca="false">IF(D65&lt;=0,0,'1. Inputs'!$B$26*'1. Inputs'!$B$5*D65^'1. Inputs'!$B$7/('1. Inputs'!$B$6^'1. Inputs'!$B$7+D65^'1. Inputs'!$B$7))</f>
        <v>121.720754716981</v>
      </c>
      <c r="I65" s="20" t="n">
        <f aca="false">IF(E65&lt;=0,0,'1. Inputs'!$B$27*'1. Inputs'!$B$5*E65^'1. Inputs'!$B$7/('1. Inputs'!$B$6^'1. Inputs'!$B$7+E65^'1. Inputs'!$B$7))</f>
        <v>86.8165938864629</v>
      </c>
      <c r="J65" s="21" t="n">
        <f aca="false">IF(B65&lt;=0,0,'1. Inputs'!$B$9+'1. Inputs'!$B$10*B65/(B65+'1. Inputs'!$B$11))</f>
        <v>0.20875</v>
      </c>
      <c r="K65" s="21" t="n">
        <f aca="false">IF(C65&lt;=0,0,'1. Inputs'!$B$9+'1. Inputs'!$B$10*C65/(C65+'1. Inputs'!$B$11))</f>
        <v>0.207796610169492</v>
      </c>
      <c r="L65" s="21" t="n">
        <f aca="false">IF(D65&lt;=0,0,'1. Inputs'!$B$9+'1. Inputs'!$B$10*D65/(D65+'1. Inputs'!$B$11))</f>
        <v>0.206666666666667</v>
      </c>
      <c r="M65" s="21" t="n">
        <f aca="false">IF(E65&lt;=0,0,'1. Inputs'!$B$9+'1. Inputs'!$B$10*E65/(E65+'1. Inputs'!$B$11))</f>
        <v>0.206415094339623</v>
      </c>
      <c r="N65" s="22" t="n">
        <f aca="false">IF(B65&lt;=0,0,'1. Inputs'!$B$13*(1+'1. Inputs'!$B$14*MIN(B65,'1. Inputs'!$B$15))*'1. Inputs'!$B$31)</f>
        <v>95200</v>
      </c>
      <c r="O65" s="22" t="n">
        <f aca="false">IF(C65&lt;=0,0,'1. Inputs'!$B$13*(1+'1. Inputs'!$B$14*MIN(C65,'1. Inputs'!$B$15))*'1. Inputs'!$B$31)</f>
        <v>95200</v>
      </c>
      <c r="P65" s="22" t="n">
        <f aca="false">IF(D65&lt;=0,0,'1. Inputs'!$B$13*(1+'1. Inputs'!$B$14*MIN(D65,'1. Inputs'!$B$15))*'1. Inputs'!$B$31)</f>
        <v>95200</v>
      </c>
      <c r="Q65" s="22" t="n">
        <f aca="false">IF(E65&lt;=0,0,'1. Inputs'!$B$13*(1+'1. Inputs'!$B$14*MIN(E65,'1. Inputs'!$B$15))*'1. Inputs'!$B$31)</f>
        <v>95200</v>
      </c>
    </row>
    <row r="66" customFormat="false" ht="15" hidden="false" customHeight="false" outlineLevel="0" collapsed="false">
      <c r="A66" s="7" t="n">
        <v>65</v>
      </c>
      <c r="B66" s="19" t="n">
        <f aca="false">MAX(0,$A66-'1. Inputs'!$C$24-'1. Inputs'!$B$30+1)</f>
        <v>59</v>
      </c>
      <c r="C66" s="19" t="n">
        <f aca="false">MAX(0,$A66-'1. Inputs'!$C$25-'1. Inputs'!$B$30+1)</f>
        <v>54</v>
      </c>
      <c r="D66" s="19" t="n">
        <f aca="false">MAX(0,$A66-'1. Inputs'!$C$26-'1. Inputs'!$B$30+1)</f>
        <v>49</v>
      </c>
      <c r="E66" s="19" t="n">
        <f aca="false">MAX(0,$A66-'1. Inputs'!$C$27-'1. Inputs'!$B$30+1)</f>
        <v>48</v>
      </c>
      <c r="F66" s="20" t="n">
        <f aca="false">IF(B66&lt;=0,0,'1. Inputs'!$B$24*'1. Inputs'!$B$5*B66^'1. Inputs'!$B$7/('1. Inputs'!$B$6^'1. Inputs'!$B$7+B66^'1. Inputs'!$B$7))</f>
        <v>211.088152723189</v>
      </c>
      <c r="G66" s="20" t="n">
        <f aca="false">IF(C66&lt;=0,0,'1. Inputs'!$B$25*'1. Inputs'!$B$5*C66^'1. Inputs'!$B$7/('1. Inputs'!$B$6^'1. Inputs'!$B$7+C66^'1. Inputs'!$B$7))</f>
        <v>280.216216216216</v>
      </c>
      <c r="H66" s="20" t="n">
        <f aca="false">IF(D66&lt;=0,0,'1. Inputs'!$B$26*'1. Inputs'!$B$5*D66^'1. Inputs'!$B$7/('1. Inputs'!$B$6^'1. Inputs'!$B$7+D66^'1. Inputs'!$B$7))</f>
        <v>121.887993553586</v>
      </c>
      <c r="I66" s="20" t="n">
        <f aca="false">IF(E66&lt;=0,0,'1. Inputs'!$B$27*'1. Inputs'!$B$5*E66^'1. Inputs'!$B$7/('1. Inputs'!$B$6^'1. Inputs'!$B$7+E66^'1. Inputs'!$B$7))</f>
        <v>86.9433962264151</v>
      </c>
      <c r="J66" s="21" t="n">
        <f aca="false">IF(B66&lt;=0,0,'1. Inputs'!$B$9+'1. Inputs'!$B$10*B66/(B66+'1. Inputs'!$B$11))</f>
        <v>0.208923076923077</v>
      </c>
      <c r="K66" s="21" t="n">
        <f aca="false">IF(C66&lt;=0,0,'1. Inputs'!$B$9+'1. Inputs'!$B$10*C66/(C66+'1. Inputs'!$B$11))</f>
        <v>0.208</v>
      </c>
      <c r="L66" s="21" t="n">
        <f aca="false">IF(D66&lt;=0,0,'1. Inputs'!$B$9+'1. Inputs'!$B$10*D66/(D66+'1. Inputs'!$B$11))</f>
        <v>0.206909090909091</v>
      </c>
      <c r="M66" s="21" t="n">
        <f aca="false">IF(E66&lt;=0,0,'1. Inputs'!$B$9+'1. Inputs'!$B$10*E66/(E66+'1. Inputs'!$B$11))</f>
        <v>0.206666666666667</v>
      </c>
      <c r="N66" s="22" t="n">
        <f aca="false">IF(B66&lt;=0,0,'1. Inputs'!$B$13*(1+'1. Inputs'!$B$14*MIN(B66,'1. Inputs'!$B$15))*'1. Inputs'!$B$31)</f>
        <v>95200</v>
      </c>
      <c r="O66" s="22" t="n">
        <f aca="false">IF(C66&lt;=0,0,'1. Inputs'!$B$13*(1+'1. Inputs'!$B$14*MIN(C66,'1. Inputs'!$B$15))*'1. Inputs'!$B$31)</f>
        <v>95200</v>
      </c>
      <c r="P66" s="22" t="n">
        <f aca="false">IF(D66&lt;=0,0,'1. Inputs'!$B$13*(1+'1. Inputs'!$B$14*MIN(D66,'1. Inputs'!$B$15))*'1. Inputs'!$B$31)</f>
        <v>95200</v>
      </c>
      <c r="Q66" s="22" t="n">
        <f aca="false">IF(E66&lt;=0,0,'1. Inputs'!$B$13*(1+'1. Inputs'!$B$14*MIN(E66,'1. Inputs'!$B$15))*'1. Inputs'!$B$31)</f>
        <v>95200</v>
      </c>
    </row>
    <row r="67" customFormat="false" ht="15" hidden="false" customHeight="false" outlineLevel="0" collapsed="false">
      <c r="A67" s="7" t="n">
        <v>66</v>
      </c>
      <c r="B67" s="19" t="n">
        <f aca="false">MAX(0,$A67-'1. Inputs'!$C$24-'1. Inputs'!$B$30+1)</f>
        <v>60</v>
      </c>
      <c r="C67" s="19" t="n">
        <f aca="false">MAX(0,$A67-'1. Inputs'!$C$25-'1. Inputs'!$B$30+1)</f>
        <v>55</v>
      </c>
      <c r="D67" s="19" t="n">
        <f aca="false">MAX(0,$A67-'1. Inputs'!$C$26-'1. Inputs'!$B$30+1)</f>
        <v>50</v>
      </c>
      <c r="E67" s="19" t="n">
        <f aca="false">MAX(0,$A67-'1. Inputs'!$C$27-'1. Inputs'!$B$30+1)</f>
        <v>49</v>
      </c>
      <c r="F67" s="20" t="n">
        <f aca="false">IF(B67&lt;=0,0,'1. Inputs'!$B$24*'1. Inputs'!$B$5*B67^'1. Inputs'!$B$7/('1. Inputs'!$B$6^'1. Inputs'!$B$7+B67^'1. Inputs'!$B$7))</f>
        <v>211.246943765281</v>
      </c>
      <c r="G67" s="20" t="n">
        <f aca="false">IF(C67&lt;=0,0,'1. Inputs'!$B$25*'1. Inputs'!$B$5*C67^'1. Inputs'!$B$7/('1. Inputs'!$B$6^'1. Inputs'!$B$7+C67^'1. Inputs'!$B$7))</f>
        <v>280.489375402447</v>
      </c>
      <c r="H67" s="20" t="n">
        <f aca="false">IF(D67&lt;=0,0,'1. Inputs'!$B$26*'1. Inputs'!$B$5*D67^'1. Inputs'!$B$7/('1. Inputs'!$B$6^'1. Inputs'!$B$7+D67^'1. Inputs'!$B$7))</f>
        <v>122.045718713677</v>
      </c>
      <c r="I67" s="20" t="n">
        <f aca="false">IF(E67&lt;=0,0,'1. Inputs'!$B$27*'1. Inputs'!$B$5*E67^'1. Inputs'!$B$7/('1. Inputs'!$B$6^'1. Inputs'!$B$7+E67^'1. Inputs'!$B$7))</f>
        <v>87.0628525382756</v>
      </c>
      <c r="J67" s="21" t="n">
        <f aca="false">IF(B67&lt;=0,0,'1. Inputs'!$B$9+'1. Inputs'!$B$10*B67/(B67+'1. Inputs'!$B$11))</f>
        <v>0.209090909090909</v>
      </c>
      <c r="K67" s="21" t="n">
        <f aca="false">IF(C67&lt;=0,0,'1. Inputs'!$B$9+'1. Inputs'!$B$10*C67/(C67+'1. Inputs'!$B$11))</f>
        <v>0.208196721311475</v>
      </c>
      <c r="L67" s="21" t="n">
        <f aca="false">IF(D67&lt;=0,0,'1. Inputs'!$B$9+'1. Inputs'!$B$10*D67/(D67+'1. Inputs'!$B$11))</f>
        <v>0.207142857142857</v>
      </c>
      <c r="M67" s="21" t="n">
        <f aca="false">IF(E67&lt;=0,0,'1. Inputs'!$B$9+'1. Inputs'!$B$10*E67/(E67+'1. Inputs'!$B$11))</f>
        <v>0.206909090909091</v>
      </c>
      <c r="N67" s="22" t="n">
        <f aca="false">IF(B67&lt;=0,0,'1. Inputs'!$B$13*(1+'1. Inputs'!$B$14*MIN(B67,'1. Inputs'!$B$15))*'1. Inputs'!$B$31)</f>
        <v>95200</v>
      </c>
      <c r="O67" s="22" t="n">
        <f aca="false">IF(C67&lt;=0,0,'1. Inputs'!$B$13*(1+'1. Inputs'!$B$14*MIN(C67,'1. Inputs'!$B$15))*'1. Inputs'!$B$31)</f>
        <v>95200</v>
      </c>
      <c r="P67" s="22" t="n">
        <f aca="false">IF(D67&lt;=0,0,'1. Inputs'!$B$13*(1+'1. Inputs'!$B$14*MIN(D67,'1. Inputs'!$B$15))*'1. Inputs'!$B$31)</f>
        <v>95200</v>
      </c>
      <c r="Q67" s="22" t="n">
        <f aca="false">IF(E67&lt;=0,0,'1. Inputs'!$B$13*(1+'1. Inputs'!$B$14*MIN(E67,'1. Inputs'!$B$15))*'1. Inputs'!$B$31)</f>
        <v>95200</v>
      </c>
    </row>
    <row r="68" customFormat="false" ht="15" hidden="false" customHeight="false" outlineLevel="0" collapsed="false">
      <c r="A68" s="7" t="n">
        <v>67</v>
      </c>
      <c r="B68" s="19" t="n">
        <f aca="false">MAX(0,$A68-'1. Inputs'!$C$24-'1. Inputs'!$B$30+1)</f>
        <v>61</v>
      </c>
      <c r="C68" s="19" t="n">
        <f aca="false">MAX(0,$A68-'1. Inputs'!$C$25-'1. Inputs'!$B$30+1)</f>
        <v>56</v>
      </c>
      <c r="D68" s="19" t="n">
        <f aca="false">MAX(0,$A68-'1. Inputs'!$C$26-'1. Inputs'!$B$30+1)</f>
        <v>51</v>
      </c>
      <c r="E68" s="19" t="n">
        <f aca="false">MAX(0,$A68-'1. Inputs'!$C$27-'1. Inputs'!$B$30+1)</f>
        <v>50</v>
      </c>
      <c r="F68" s="20" t="n">
        <f aca="false">IF(B68&lt;=0,0,'1. Inputs'!$B$24*'1. Inputs'!$B$5*B68^'1. Inputs'!$B$7/('1. Inputs'!$B$6^'1. Inputs'!$B$7+B68^'1. Inputs'!$B$7))</f>
        <v>211.398211467649</v>
      </c>
      <c r="G68" s="20" t="n">
        <f aca="false">IF(C68&lt;=0,0,'1. Inputs'!$B$25*'1. Inputs'!$B$5*C68^'1. Inputs'!$B$7/('1. Inputs'!$B$6^'1. Inputs'!$B$7+C68^'1. Inputs'!$B$7))</f>
        <v>280.748523469071</v>
      </c>
      <c r="H68" s="20" t="n">
        <f aca="false">IF(D68&lt;=0,0,'1. Inputs'!$B$26*'1. Inputs'!$B$5*D68^'1. Inputs'!$B$7/('1. Inputs'!$B$6^'1. Inputs'!$B$7+D68^'1. Inputs'!$B$7))</f>
        <v>122.194630872483</v>
      </c>
      <c r="I68" s="20" t="n">
        <f aca="false">IF(E68&lt;=0,0,'1. Inputs'!$B$27*'1. Inputs'!$B$5*E68^'1. Inputs'!$B$7/('1. Inputs'!$B$6^'1. Inputs'!$B$7+E68^'1. Inputs'!$B$7))</f>
        <v>87.175513366912</v>
      </c>
      <c r="J68" s="21" t="n">
        <f aca="false">IF(B68&lt;=0,0,'1. Inputs'!$B$9+'1. Inputs'!$B$10*B68/(B68+'1. Inputs'!$B$11))</f>
        <v>0.209253731343284</v>
      </c>
      <c r="K68" s="21" t="n">
        <f aca="false">IF(C68&lt;=0,0,'1. Inputs'!$B$9+'1. Inputs'!$B$10*C68/(C68+'1. Inputs'!$B$11))</f>
        <v>0.208387096774194</v>
      </c>
      <c r="L68" s="21" t="n">
        <f aca="false">IF(D68&lt;=0,0,'1. Inputs'!$B$9+'1. Inputs'!$B$10*D68/(D68+'1. Inputs'!$B$11))</f>
        <v>0.207368421052632</v>
      </c>
      <c r="M68" s="21" t="n">
        <f aca="false">IF(E68&lt;=0,0,'1. Inputs'!$B$9+'1. Inputs'!$B$10*E68/(E68+'1. Inputs'!$B$11))</f>
        <v>0.207142857142857</v>
      </c>
      <c r="N68" s="22" t="n">
        <f aca="false">IF(B68&lt;=0,0,'1. Inputs'!$B$13*(1+'1. Inputs'!$B$14*MIN(B68,'1. Inputs'!$B$15))*'1. Inputs'!$B$31)</f>
        <v>95200</v>
      </c>
      <c r="O68" s="22" t="n">
        <f aca="false">IF(C68&lt;=0,0,'1. Inputs'!$B$13*(1+'1. Inputs'!$B$14*MIN(C68,'1. Inputs'!$B$15))*'1. Inputs'!$B$31)</f>
        <v>95200</v>
      </c>
      <c r="P68" s="22" t="n">
        <f aca="false">IF(D68&lt;=0,0,'1. Inputs'!$B$13*(1+'1. Inputs'!$B$14*MIN(D68,'1. Inputs'!$B$15))*'1. Inputs'!$B$31)</f>
        <v>95200</v>
      </c>
      <c r="Q68" s="22" t="n">
        <f aca="false">IF(E68&lt;=0,0,'1. Inputs'!$B$13*(1+'1. Inputs'!$B$14*MIN(E68,'1. Inputs'!$B$15))*'1. Inputs'!$B$31)</f>
        <v>95200</v>
      </c>
    </row>
    <row r="69" customFormat="false" ht="15" hidden="false" customHeight="false" outlineLevel="0" collapsed="false">
      <c r="A69" s="7" t="n">
        <v>68</v>
      </c>
      <c r="B69" s="19" t="n">
        <f aca="false">MAX(0,$A69-'1. Inputs'!$C$24-'1. Inputs'!$B$30+1)</f>
        <v>62</v>
      </c>
      <c r="C69" s="19" t="n">
        <f aca="false">MAX(0,$A69-'1. Inputs'!$C$25-'1. Inputs'!$B$30+1)</f>
        <v>57</v>
      </c>
      <c r="D69" s="19" t="n">
        <f aca="false">MAX(0,$A69-'1. Inputs'!$C$26-'1. Inputs'!$B$30+1)</f>
        <v>52</v>
      </c>
      <c r="E69" s="19" t="n">
        <f aca="false">MAX(0,$A69-'1. Inputs'!$C$27-'1. Inputs'!$B$30+1)</f>
        <v>51</v>
      </c>
      <c r="F69" s="20" t="n">
        <f aca="false">IF(B69&lt;=0,0,'1. Inputs'!$B$24*'1. Inputs'!$B$5*B69^'1. Inputs'!$B$7/('1. Inputs'!$B$6^'1. Inputs'!$B$7+B69^'1. Inputs'!$B$7))</f>
        <v>211.542420382166</v>
      </c>
      <c r="G69" s="20" t="n">
        <f aca="false">IF(C69&lt;=0,0,'1. Inputs'!$B$25*'1. Inputs'!$B$5*C69^'1. Inputs'!$B$7/('1. Inputs'!$B$6^'1. Inputs'!$B$7+C69^'1. Inputs'!$B$7))</f>
        <v>280.994594594595</v>
      </c>
      <c r="H69" s="20" t="n">
        <f aca="false">IF(D69&lt;=0,0,'1. Inputs'!$B$26*'1. Inputs'!$B$5*D69^'1. Inputs'!$B$7/('1. Inputs'!$B$6^'1. Inputs'!$B$7+D69^'1. Inputs'!$B$7))</f>
        <v>122.335368043088</v>
      </c>
      <c r="I69" s="20" t="n">
        <f aca="false">IF(E69&lt;=0,0,'1. Inputs'!$B$27*'1. Inputs'!$B$5*E69^'1. Inputs'!$B$7/('1. Inputs'!$B$6^'1. Inputs'!$B$7+E69^'1. Inputs'!$B$7))</f>
        <v>87.2818791946309</v>
      </c>
      <c r="J69" s="21" t="n">
        <f aca="false">IF(B69&lt;=0,0,'1. Inputs'!$B$9+'1. Inputs'!$B$10*B69/(B69+'1. Inputs'!$B$11))</f>
        <v>0.209411764705882</v>
      </c>
      <c r="K69" s="21" t="n">
        <f aca="false">IF(C69&lt;=0,0,'1. Inputs'!$B$9+'1. Inputs'!$B$10*C69/(C69+'1. Inputs'!$B$11))</f>
        <v>0.208571428571429</v>
      </c>
      <c r="L69" s="21" t="n">
        <f aca="false">IF(D69&lt;=0,0,'1. Inputs'!$B$9+'1. Inputs'!$B$10*D69/(D69+'1. Inputs'!$B$11))</f>
        <v>0.207586206896552</v>
      </c>
      <c r="M69" s="21" t="n">
        <f aca="false">IF(E69&lt;=0,0,'1. Inputs'!$B$9+'1. Inputs'!$B$10*E69/(E69+'1. Inputs'!$B$11))</f>
        <v>0.207368421052632</v>
      </c>
      <c r="N69" s="22" t="n">
        <f aca="false">IF(B69&lt;=0,0,'1. Inputs'!$B$13*(1+'1. Inputs'!$B$14*MIN(B69,'1. Inputs'!$B$15))*'1. Inputs'!$B$31)</f>
        <v>95200</v>
      </c>
      <c r="O69" s="22" t="n">
        <f aca="false">IF(C69&lt;=0,0,'1. Inputs'!$B$13*(1+'1. Inputs'!$B$14*MIN(C69,'1. Inputs'!$B$15))*'1. Inputs'!$B$31)</f>
        <v>95200</v>
      </c>
      <c r="P69" s="22" t="n">
        <f aca="false">IF(D69&lt;=0,0,'1. Inputs'!$B$13*(1+'1. Inputs'!$B$14*MIN(D69,'1. Inputs'!$B$15))*'1. Inputs'!$B$31)</f>
        <v>95200</v>
      </c>
      <c r="Q69" s="22" t="n">
        <f aca="false">IF(E69&lt;=0,0,'1. Inputs'!$B$13*(1+'1. Inputs'!$B$14*MIN(E69,'1. Inputs'!$B$15))*'1. Inputs'!$B$31)</f>
        <v>95200</v>
      </c>
    </row>
    <row r="70" customFormat="false" ht="15" hidden="false" customHeight="false" outlineLevel="0" collapsed="false">
      <c r="A70" s="7" t="n">
        <v>69</v>
      </c>
      <c r="B70" s="19" t="n">
        <f aca="false">MAX(0,$A70-'1. Inputs'!$C$24-'1. Inputs'!$B$30+1)</f>
        <v>63</v>
      </c>
      <c r="C70" s="19" t="n">
        <f aca="false">MAX(0,$A70-'1. Inputs'!$C$25-'1. Inputs'!$B$30+1)</f>
        <v>58</v>
      </c>
      <c r="D70" s="19" t="n">
        <f aca="false">MAX(0,$A70-'1. Inputs'!$C$26-'1. Inputs'!$B$30+1)</f>
        <v>53</v>
      </c>
      <c r="E70" s="19" t="n">
        <f aca="false">MAX(0,$A70-'1. Inputs'!$C$27-'1. Inputs'!$B$30+1)</f>
        <v>52</v>
      </c>
      <c r="F70" s="20" t="n">
        <f aca="false">IF(B70&lt;=0,0,'1. Inputs'!$B$24*'1. Inputs'!$B$5*B70^'1. Inputs'!$B$7/('1. Inputs'!$B$6^'1. Inputs'!$B$7+B70^'1. Inputs'!$B$7))</f>
        <v>211.68</v>
      </c>
      <c r="G70" s="20" t="n">
        <f aca="false">IF(C70&lt;=0,0,'1. Inputs'!$B$25*'1. Inputs'!$B$5*C70^'1. Inputs'!$B$7/('1. Inputs'!$B$6^'1. Inputs'!$B$7+C70^'1. Inputs'!$B$7))</f>
        <v>281.228447024673</v>
      </c>
      <c r="H70" s="20" t="n">
        <f aca="false">IF(D70&lt;=0,0,'1. Inputs'!$B$26*'1. Inputs'!$B$5*D70^'1. Inputs'!$B$7/('1. Inputs'!$B$6^'1. Inputs'!$B$7+D70^'1. Inputs'!$B$7))</f>
        <v>122.468512110727</v>
      </c>
      <c r="I70" s="20" t="n">
        <f aca="false">IF(E70&lt;=0,0,'1. Inputs'!$B$27*'1. Inputs'!$B$5*E70^'1. Inputs'!$B$7/('1. Inputs'!$B$6^'1. Inputs'!$B$7+E70^'1. Inputs'!$B$7))</f>
        <v>87.3824057450628</v>
      </c>
      <c r="J70" s="21" t="n">
        <f aca="false">IF(B70&lt;=0,0,'1. Inputs'!$B$9+'1. Inputs'!$B$10*B70/(B70+'1. Inputs'!$B$11))</f>
        <v>0.209565217391304</v>
      </c>
      <c r="K70" s="21" t="n">
        <f aca="false">IF(C70&lt;=0,0,'1. Inputs'!$B$9+'1. Inputs'!$B$10*C70/(C70+'1. Inputs'!$B$11))</f>
        <v>0.20875</v>
      </c>
      <c r="L70" s="21" t="n">
        <f aca="false">IF(D70&lt;=0,0,'1. Inputs'!$B$9+'1. Inputs'!$B$10*D70/(D70+'1. Inputs'!$B$11))</f>
        <v>0.207796610169492</v>
      </c>
      <c r="M70" s="21" t="n">
        <f aca="false">IF(E70&lt;=0,0,'1. Inputs'!$B$9+'1. Inputs'!$B$10*E70/(E70+'1. Inputs'!$B$11))</f>
        <v>0.207586206896552</v>
      </c>
      <c r="N70" s="22" t="n">
        <f aca="false">IF(B70&lt;=0,0,'1. Inputs'!$B$13*(1+'1. Inputs'!$B$14*MIN(B70,'1. Inputs'!$B$15))*'1. Inputs'!$B$31)</f>
        <v>95200</v>
      </c>
      <c r="O70" s="22" t="n">
        <f aca="false">IF(C70&lt;=0,0,'1. Inputs'!$B$13*(1+'1. Inputs'!$B$14*MIN(C70,'1. Inputs'!$B$15))*'1. Inputs'!$B$31)</f>
        <v>95200</v>
      </c>
      <c r="P70" s="22" t="n">
        <f aca="false">IF(D70&lt;=0,0,'1. Inputs'!$B$13*(1+'1. Inputs'!$B$14*MIN(D70,'1. Inputs'!$B$15))*'1. Inputs'!$B$31)</f>
        <v>95200</v>
      </c>
      <c r="Q70" s="22" t="n">
        <f aca="false">IF(E70&lt;=0,0,'1. Inputs'!$B$13*(1+'1. Inputs'!$B$14*MIN(E70,'1. Inputs'!$B$15))*'1. Inputs'!$B$31)</f>
        <v>95200</v>
      </c>
    </row>
    <row r="71" customFormat="false" ht="15" hidden="false" customHeight="false" outlineLevel="0" collapsed="false">
      <c r="A71" s="7" t="n">
        <v>70</v>
      </c>
      <c r="B71" s="19" t="n">
        <f aca="false">MAX(0,$A71-'1. Inputs'!$C$24-'1. Inputs'!$B$30+1)</f>
        <v>64</v>
      </c>
      <c r="C71" s="19" t="n">
        <f aca="false">MAX(0,$A71-'1. Inputs'!$C$25-'1. Inputs'!$B$30+1)</f>
        <v>59</v>
      </c>
      <c r="D71" s="19" t="n">
        <f aca="false">MAX(0,$A71-'1. Inputs'!$C$26-'1. Inputs'!$B$30+1)</f>
        <v>54</v>
      </c>
      <c r="E71" s="19" t="n">
        <f aca="false">MAX(0,$A71-'1. Inputs'!$C$27-'1. Inputs'!$B$30+1)</f>
        <v>53</v>
      </c>
      <c r="F71" s="20" t="n">
        <f aca="false">IF(B71&lt;=0,0,'1. Inputs'!$B$24*'1. Inputs'!$B$5*B71^'1. Inputs'!$B$7/('1. Inputs'!$B$6^'1. Inputs'!$B$7+B71^'1. Inputs'!$B$7))</f>
        <v>211.811347857314</v>
      </c>
      <c r="G71" s="20" t="n">
        <f aca="false">IF(C71&lt;=0,0,'1. Inputs'!$B$25*'1. Inputs'!$B$5*C71^'1. Inputs'!$B$7/('1. Inputs'!$B$6^'1. Inputs'!$B$7+C71^'1. Inputs'!$B$7))</f>
        <v>281.450870297586</v>
      </c>
      <c r="H71" s="20" t="n">
        <f aca="false">IF(D71&lt;=0,0,'1. Inputs'!$B$26*'1. Inputs'!$B$5*D71^'1. Inputs'!$B$7/('1. Inputs'!$B$6^'1. Inputs'!$B$7+D71^'1. Inputs'!$B$7))</f>
        <v>122.594594594595</v>
      </c>
      <c r="I71" s="20" t="n">
        <f aca="false">IF(E71&lt;=0,0,'1. Inputs'!$B$27*'1. Inputs'!$B$5*E71^'1. Inputs'!$B$7/('1. Inputs'!$B$6^'1. Inputs'!$B$7+E71^'1. Inputs'!$B$7))</f>
        <v>87.477508650519</v>
      </c>
      <c r="J71" s="21" t="n">
        <f aca="false">IF(B71&lt;=0,0,'1. Inputs'!$B$9+'1. Inputs'!$B$10*B71/(B71+'1. Inputs'!$B$11))</f>
        <v>0.209714285714286</v>
      </c>
      <c r="K71" s="21" t="n">
        <f aca="false">IF(C71&lt;=0,0,'1. Inputs'!$B$9+'1. Inputs'!$B$10*C71/(C71+'1. Inputs'!$B$11))</f>
        <v>0.208923076923077</v>
      </c>
      <c r="L71" s="21" t="n">
        <f aca="false">IF(D71&lt;=0,0,'1. Inputs'!$B$9+'1. Inputs'!$B$10*D71/(D71+'1. Inputs'!$B$11))</f>
        <v>0.208</v>
      </c>
      <c r="M71" s="21" t="n">
        <f aca="false">IF(E71&lt;=0,0,'1. Inputs'!$B$9+'1. Inputs'!$B$10*E71/(E71+'1. Inputs'!$B$11))</f>
        <v>0.207796610169492</v>
      </c>
      <c r="N71" s="22" t="n">
        <f aca="false">IF(B71&lt;=0,0,'1. Inputs'!$B$13*(1+'1. Inputs'!$B$14*MIN(B71,'1. Inputs'!$B$15))*'1. Inputs'!$B$31)</f>
        <v>95200</v>
      </c>
      <c r="O71" s="22" t="n">
        <f aca="false">IF(C71&lt;=0,0,'1. Inputs'!$B$13*(1+'1. Inputs'!$B$14*MIN(C71,'1. Inputs'!$B$15))*'1. Inputs'!$B$31)</f>
        <v>95200</v>
      </c>
      <c r="P71" s="22" t="n">
        <f aca="false">IF(D71&lt;=0,0,'1. Inputs'!$B$13*(1+'1. Inputs'!$B$14*MIN(D71,'1. Inputs'!$B$15))*'1. Inputs'!$B$31)</f>
        <v>95200</v>
      </c>
      <c r="Q71" s="22" t="n">
        <f aca="false">IF(E71&lt;=0,0,'1. Inputs'!$B$13*(1+'1. Inputs'!$B$14*MIN(E71,'1. Inputs'!$B$15))*'1. Inputs'!$B$31)</f>
        <v>95200</v>
      </c>
    </row>
    <row r="72" customFormat="false" ht="15" hidden="false" customHeight="false" outlineLevel="0" collapsed="false">
      <c r="A72" s="7" t="n">
        <v>71</v>
      </c>
      <c r="B72" s="19" t="n">
        <f aca="false">MAX(0,$A72-'1. Inputs'!$C$24-'1. Inputs'!$B$30+1)</f>
        <v>65</v>
      </c>
      <c r="C72" s="19" t="n">
        <f aca="false">MAX(0,$A72-'1. Inputs'!$C$25-'1. Inputs'!$B$30+1)</f>
        <v>60</v>
      </c>
      <c r="D72" s="19" t="n">
        <f aca="false">MAX(0,$A72-'1. Inputs'!$C$26-'1. Inputs'!$B$30+1)</f>
        <v>55</v>
      </c>
      <c r="E72" s="19" t="n">
        <f aca="false">MAX(0,$A72-'1. Inputs'!$C$27-'1. Inputs'!$B$30+1)</f>
        <v>54</v>
      </c>
      <c r="F72" s="20" t="n">
        <f aca="false">IF(B72&lt;=0,0,'1. Inputs'!$B$24*'1. Inputs'!$B$5*B72^'1. Inputs'!$B$7/('1. Inputs'!$B$6^'1. Inputs'!$B$7+B72^'1. Inputs'!$B$7))</f>
        <v>211.936832326986</v>
      </c>
      <c r="G72" s="20" t="n">
        <f aca="false">IF(C72&lt;=0,0,'1. Inputs'!$B$25*'1. Inputs'!$B$5*C72^'1. Inputs'!$B$7/('1. Inputs'!$B$6^'1. Inputs'!$B$7+C72^'1. Inputs'!$B$7))</f>
        <v>281.662591687042</v>
      </c>
      <c r="H72" s="20" t="n">
        <f aca="false">IF(D72&lt;=0,0,'1. Inputs'!$B$26*'1. Inputs'!$B$5*D72^'1. Inputs'!$B$7/('1. Inputs'!$B$6^'1. Inputs'!$B$7+D72^'1. Inputs'!$B$7))</f>
        <v>122.714101738571</v>
      </c>
      <c r="I72" s="20" t="n">
        <f aca="false">IF(E72&lt;=0,0,'1. Inputs'!$B$27*'1. Inputs'!$B$5*E72^'1. Inputs'!$B$7/('1. Inputs'!$B$6^'1. Inputs'!$B$7+E72^'1. Inputs'!$B$7))</f>
        <v>87.5675675675676</v>
      </c>
      <c r="J72" s="21" t="n">
        <f aca="false">IF(B72&lt;=0,0,'1. Inputs'!$B$9+'1. Inputs'!$B$10*B72/(B72+'1. Inputs'!$B$11))</f>
        <v>0.209859154929577</v>
      </c>
      <c r="K72" s="21" t="n">
        <f aca="false">IF(C72&lt;=0,0,'1. Inputs'!$B$9+'1. Inputs'!$B$10*C72/(C72+'1. Inputs'!$B$11))</f>
        <v>0.209090909090909</v>
      </c>
      <c r="L72" s="21" t="n">
        <f aca="false">IF(D72&lt;=0,0,'1. Inputs'!$B$9+'1. Inputs'!$B$10*D72/(D72+'1. Inputs'!$B$11))</f>
        <v>0.208196721311475</v>
      </c>
      <c r="M72" s="21" t="n">
        <f aca="false">IF(E72&lt;=0,0,'1. Inputs'!$B$9+'1. Inputs'!$B$10*E72/(E72+'1. Inputs'!$B$11))</f>
        <v>0.208</v>
      </c>
      <c r="N72" s="22" t="n">
        <f aca="false">IF(B72&lt;=0,0,'1. Inputs'!$B$13*(1+'1. Inputs'!$B$14*MIN(B72,'1. Inputs'!$B$15))*'1. Inputs'!$B$31)</f>
        <v>95200</v>
      </c>
      <c r="O72" s="22" t="n">
        <f aca="false">IF(C72&lt;=0,0,'1. Inputs'!$B$13*(1+'1. Inputs'!$B$14*MIN(C72,'1. Inputs'!$B$15))*'1. Inputs'!$B$31)</f>
        <v>95200</v>
      </c>
      <c r="P72" s="22" t="n">
        <f aca="false">IF(D72&lt;=0,0,'1. Inputs'!$B$13*(1+'1. Inputs'!$B$14*MIN(D72,'1. Inputs'!$B$15))*'1. Inputs'!$B$31)</f>
        <v>95200</v>
      </c>
      <c r="Q72" s="22" t="n">
        <f aca="false">IF(E72&lt;=0,0,'1. Inputs'!$B$13*(1+'1. Inputs'!$B$14*MIN(E72,'1. Inputs'!$B$15))*'1. Inputs'!$B$31)</f>
        <v>95200</v>
      </c>
    </row>
    <row r="73" customFormat="false" ht="15" hidden="false" customHeight="false" outlineLevel="0" collapsed="false">
      <c r="A73" s="7" t="n">
        <v>72</v>
      </c>
      <c r="B73" s="19" t="n">
        <f aca="false">MAX(0,$A73-'1. Inputs'!$C$24-'1. Inputs'!$B$30+1)</f>
        <v>66</v>
      </c>
      <c r="C73" s="19" t="n">
        <f aca="false">MAX(0,$A73-'1. Inputs'!$C$25-'1. Inputs'!$B$30+1)</f>
        <v>61</v>
      </c>
      <c r="D73" s="19" t="n">
        <f aca="false">MAX(0,$A73-'1. Inputs'!$C$26-'1. Inputs'!$B$30+1)</f>
        <v>56</v>
      </c>
      <c r="E73" s="19" t="n">
        <f aca="false">MAX(0,$A73-'1. Inputs'!$C$27-'1. Inputs'!$B$30+1)</f>
        <v>55</v>
      </c>
      <c r="F73" s="20" t="n">
        <f aca="false">IF(B73&lt;=0,0,'1. Inputs'!$B$24*'1. Inputs'!$B$5*B73^'1. Inputs'!$B$7/('1. Inputs'!$B$6^'1. Inputs'!$B$7+B73^'1. Inputs'!$B$7))</f>
        <v>212.056795131846</v>
      </c>
      <c r="G73" s="20" t="n">
        <f aca="false">IF(C73&lt;=0,0,'1. Inputs'!$B$25*'1. Inputs'!$B$5*C73^'1. Inputs'!$B$7/('1. Inputs'!$B$6^'1. Inputs'!$B$7+C73^'1. Inputs'!$B$7))</f>
        <v>281.864281956865</v>
      </c>
      <c r="H73" s="20" t="n">
        <f aca="false">IF(D73&lt;=0,0,'1. Inputs'!$B$26*'1. Inputs'!$B$5*D73^'1. Inputs'!$B$7/('1. Inputs'!$B$6^'1. Inputs'!$B$7+D73^'1. Inputs'!$B$7))</f>
        <v>122.827479017718</v>
      </c>
      <c r="I73" s="20" t="n">
        <f aca="false">IF(E73&lt;=0,0,'1. Inputs'!$B$27*'1. Inputs'!$B$5*E73^'1. Inputs'!$B$7/('1. Inputs'!$B$6^'1. Inputs'!$B$7+E73^'1. Inputs'!$B$7))</f>
        <v>87.6529298132647</v>
      </c>
      <c r="J73" s="21" t="n">
        <f aca="false">IF(B73&lt;=0,0,'1. Inputs'!$B$9+'1. Inputs'!$B$10*B73/(B73+'1. Inputs'!$B$11))</f>
        <v>0.21</v>
      </c>
      <c r="K73" s="21" t="n">
        <f aca="false">IF(C73&lt;=0,0,'1. Inputs'!$B$9+'1. Inputs'!$B$10*C73/(C73+'1. Inputs'!$B$11))</f>
        <v>0.209253731343284</v>
      </c>
      <c r="L73" s="21" t="n">
        <f aca="false">IF(D73&lt;=0,0,'1. Inputs'!$B$9+'1. Inputs'!$B$10*D73/(D73+'1. Inputs'!$B$11))</f>
        <v>0.208387096774194</v>
      </c>
      <c r="M73" s="21" t="n">
        <f aca="false">IF(E73&lt;=0,0,'1. Inputs'!$B$9+'1. Inputs'!$B$10*E73/(E73+'1. Inputs'!$B$11))</f>
        <v>0.208196721311475</v>
      </c>
      <c r="N73" s="22" t="n">
        <f aca="false">IF(B73&lt;=0,0,'1. Inputs'!$B$13*(1+'1. Inputs'!$B$14*MIN(B73,'1. Inputs'!$B$15))*'1. Inputs'!$B$31)</f>
        <v>95200</v>
      </c>
      <c r="O73" s="22" t="n">
        <f aca="false">IF(C73&lt;=0,0,'1. Inputs'!$B$13*(1+'1. Inputs'!$B$14*MIN(C73,'1. Inputs'!$B$15))*'1. Inputs'!$B$31)</f>
        <v>95200</v>
      </c>
      <c r="P73" s="22" t="n">
        <f aca="false">IF(D73&lt;=0,0,'1. Inputs'!$B$13*(1+'1. Inputs'!$B$14*MIN(D73,'1. Inputs'!$B$15))*'1. Inputs'!$B$31)</f>
        <v>95200</v>
      </c>
      <c r="Q73" s="22" t="n">
        <f aca="false">IF(E73&lt;=0,0,'1. Inputs'!$B$13*(1+'1. Inputs'!$B$14*MIN(E73,'1. Inputs'!$B$15))*'1. Inputs'!$B$31)</f>
        <v>95200</v>
      </c>
    </row>
    <row r="74" customFormat="false" ht="15" hidden="false" customHeight="false" outlineLevel="0" collapsed="false">
      <c r="A74" s="7" t="n">
        <v>73</v>
      </c>
      <c r="B74" s="19" t="n">
        <f aca="false">MAX(0,$A74-'1. Inputs'!$C$24-'1. Inputs'!$B$30+1)</f>
        <v>67</v>
      </c>
      <c r="C74" s="19" t="n">
        <f aca="false">MAX(0,$A74-'1. Inputs'!$C$25-'1. Inputs'!$B$30+1)</f>
        <v>62</v>
      </c>
      <c r="D74" s="19" t="n">
        <f aca="false">MAX(0,$A74-'1. Inputs'!$C$26-'1. Inputs'!$B$30+1)</f>
        <v>57</v>
      </c>
      <c r="E74" s="19" t="n">
        <f aca="false">MAX(0,$A74-'1. Inputs'!$C$27-'1. Inputs'!$B$30+1)</f>
        <v>56</v>
      </c>
      <c r="F74" s="20" t="n">
        <f aca="false">IF(B74&lt;=0,0,'1. Inputs'!$B$24*'1. Inputs'!$B$5*B74^'1. Inputs'!$B$7/('1. Inputs'!$B$6^'1. Inputs'!$B$7+B74^'1. Inputs'!$B$7))</f>
        <v>212.171553610503</v>
      </c>
      <c r="G74" s="20" t="n">
        <f aca="false">IF(C74&lt;=0,0,'1. Inputs'!$B$25*'1. Inputs'!$B$5*C74^'1. Inputs'!$B$7/('1. Inputs'!$B$6^'1. Inputs'!$B$7+C74^'1. Inputs'!$B$7))</f>
        <v>282.056560509554</v>
      </c>
      <c r="H74" s="20" t="n">
        <f aca="false">IF(D74&lt;=0,0,'1. Inputs'!$B$26*'1. Inputs'!$B$5*D74^'1. Inputs'!$B$7/('1. Inputs'!$B$6^'1. Inputs'!$B$7+D74^'1. Inputs'!$B$7))</f>
        <v>122.935135135135</v>
      </c>
      <c r="I74" s="20" t="n">
        <f aca="false">IF(E74&lt;=0,0,'1. Inputs'!$B$27*'1. Inputs'!$B$5*E74^'1. Inputs'!$B$7/('1. Inputs'!$B$6^'1. Inputs'!$B$7+E74^'1. Inputs'!$B$7))</f>
        <v>87.7339135840846</v>
      </c>
      <c r="J74" s="21" t="n">
        <f aca="false">IF(B74&lt;=0,0,'1. Inputs'!$B$9+'1. Inputs'!$B$10*B74/(B74+'1. Inputs'!$B$11))</f>
        <v>0.21013698630137</v>
      </c>
      <c r="K74" s="21" t="n">
        <f aca="false">IF(C74&lt;=0,0,'1. Inputs'!$B$9+'1. Inputs'!$B$10*C74/(C74+'1. Inputs'!$B$11))</f>
        <v>0.209411764705882</v>
      </c>
      <c r="L74" s="21" t="n">
        <f aca="false">IF(D74&lt;=0,0,'1. Inputs'!$B$9+'1. Inputs'!$B$10*D74/(D74+'1. Inputs'!$B$11))</f>
        <v>0.208571428571429</v>
      </c>
      <c r="M74" s="21" t="n">
        <f aca="false">IF(E74&lt;=0,0,'1. Inputs'!$B$9+'1. Inputs'!$B$10*E74/(E74+'1. Inputs'!$B$11))</f>
        <v>0.208387096774194</v>
      </c>
      <c r="N74" s="22" t="n">
        <f aca="false">IF(B74&lt;=0,0,'1. Inputs'!$B$13*(1+'1. Inputs'!$B$14*MIN(B74,'1. Inputs'!$B$15))*'1. Inputs'!$B$31)</f>
        <v>95200</v>
      </c>
      <c r="O74" s="22" t="n">
        <f aca="false">IF(C74&lt;=0,0,'1. Inputs'!$B$13*(1+'1. Inputs'!$B$14*MIN(C74,'1. Inputs'!$B$15))*'1. Inputs'!$B$31)</f>
        <v>95200</v>
      </c>
      <c r="P74" s="22" t="n">
        <f aca="false">IF(D74&lt;=0,0,'1. Inputs'!$B$13*(1+'1. Inputs'!$B$14*MIN(D74,'1. Inputs'!$B$15))*'1. Inputs'!$B$31)</f>
        <v>95200</v>
      </c>
      <c r="Q74" s="22" t="n">
        <f aca="false">IF(E74&lt;=0,0,'1. Inputs'!$B$13*(1+'1. Inputs'!$B$14*MIN(E74,'1. Inputs'!$B$15))*'1. Inputs'!$B$31)</f>
        <v>95200</v>
      </c>
    </row>
    <row r="75" customFormat="false" ht="15" hidden="false" customHeight="false" outlineLevel="0" collapsed="false">
      <c r="A75" s="7" t="n">
        <v>74</v>
      </c>
      <c r="B75" s="19" t="n">
        <f aca="false">MAX(0,$A75-'1. Inputs'!$C$24-'1. Inputs'!$B$30+1)</f>
        <v>68</v>
      </c>
      <c r="C75" s="19" t="n">
        <f aca="false">MAX(0,$A75-'1. Inputs'!$C$25-'1. Inputs'!$B$30+1)</f>
        <v>63</v>
      </c>
      <c r="D75" s="19" t="n">
        <f aca="false">MAX(0,$A75-'1. Inputs'!$C$26-'1. Inputs'!$B$30+1)</f>
        <v>58</v>
      </c>
      <c r="E75" s="19" t="n">
        <f aca="false">MAX(0,$A75-'1. Inputs'!$C$27-'1. Inputs'!$B$30+1)</f>
        <v>57</v>
      </c>
      <c r="F75" s="20" t="n">
        <f aca="false">IF(B75&lt;=0,0,'1. Inputs'!$B$24*'1. Inputs'!$B$5*B75^'1. Inputs'!$B$7/('1. Inputs'!$B$6^'1. Inputs'!$B$7+B75^'1. Inputs'!$B$7))</f>
        <v>212.281402763018</v>
      </c>
      <c r="G75" s="20" t="n">
        <f aca="false">IF(C75&lt;=0,0,'1. Inputs'!$B$25*'1. Inputs'!$B$5*C75^'1. Inputs'!$B$7/('1. Inputs'!$B$6^'1. Inputs'!$B$7+C75^'1. Inputs'!$B$7))</f>
        <v>282.24</v>
      </c>
      <c r="H75" s="20" t="n">
        <f aca="false">IF(D75&lt;=0,0,'1. Inputs'!$B$26*'1. Inputs'!$B$5*D75^'1. Inputs'!$B$7/('1. Inputs'!$B$6^'1. Inputs'!$B$7+D75^'1. Inputs'!$B$7))</f>
        <v>123.037445573295</v>
      </c>
      <c r="I75" s="20" t="n">
        <f aca="false">IF(E75&lt;=0,0,'1. Inputs'!$B$27*'1. Inputs'!$B$5*E75^'1. Inputs'!$B$7/('1. Inputs'!$B$6^'1. Inputs'!$B$7+E75^'1. Inputs'!$B$7))</f>
        <v>87.8108108108108</v>
      </c>
      <c r="J75" s="21" t="n">
        <f aca="false">IF(B75&lt;=0,0,'1. Inputs'!$B$9+'1. Inputs'!$B$10*B75/(B75+'1. Inputs'!$B$11))</f>
        <v>0.21027027027027</v>
      </c>
      <c r="K75" s="21" t="n">
        <f aca="false">IF(C75&lt;=0,0,'1. Inputs'!$B$9+'1. Inputs'!$B$10*C75/(C75+'1. Inputs'!$B$11))</f>
        <v>0.209565217391304</v>
      </c>
      <c r="L75" s="21" t="n">
        <f aca="false">IF(D75&lt;=0,0,'1. Inputs'!$B$9+'1. Inputs'!$B$10*D75/(D75+'1. Inputs'!$B$11))</f>
        <v>0.20875</v>
      </c>
      <c r="M75" s="21" t="n">
        <f aca="false">IF(E75&lt;=0,0,'1. Inputs'!$B$9+'1. Inputs'!$B$10*E75/(E75+'1. Inputs'!$B$11))</f>
        <v>0.208571428571429</v>
      </c>
      <c r="N75" s="22" t="n">
        <f aca="false">IF(B75&lt;=0,0,'1. Inputs'!$B$13*(1+'1. Inputs'!$B$14*MIN(B75,'1. Inputs'!$B$15))*'1. Inputs'!$B$31)</f>
        <v>95200</v>
      </c>
      <c r="O75" s="22" t="n">
        <f aca="false">IF(C75&lt;=0,0,'1. Inputs'!$B$13*(1+'1. Inputs'!$B$14*MIN(C75,'1. Inputs'!$B$15))*'1. Inputs'!$B$31)</f>
        <v>95200</v>
      </c>
      <c r="P75" s="22" t="n">
        <f aca="false">IF(D75&lt;=0,0,'1. Inputs'!$B$13*(1+'1. Inputs'!$B$14*MIN(D75,'1. Inputs'!$B$15))*'1. Inputs'!$B$31)</f>
        <v>95200</v>
      </c>
      <c r="Q75" s="22" t="n">
        <f aca="false">IF(E75&lt;=0,0,'1. Inputs'!$B$13*(1+'1. Inputs'!$B$14*MIN(E75,'1. Inputs'!$B$15))*'1. Inputs'!$B$31)</f>
        <v>95200</v>
      </c>
    </row>
    <row r="76" customFormat="false" ht="15" hidden="false" customHeight="false" outlineLevel="0" collapsed="false">
      <c r="A76" s="7" t="n">
        <v>75</v>
      </c>
      <c r="B76" s="19" t="n">
        <f aca="false">MAX(0,$A76-'1. Inputs'!$C$24-'1. Inputs'!$B$30+1)</f>
        <v>69</v>
      </c>
      <c r="C76" s="19" t="n">
        <f aca="false">MAX(0,$A76-'1. Inputs'!$C$25-'1. Inputs'!$B$30+1)</f>
        <v>64</v>
      </c>
      <c r="D76" s="19" t="n">
        <f aca="false">MAX(0,$A76-'1. Inputs'!$C$26-'1. Inputs'!$B$30+1)</f>
        <v>59</v>
      </c>
      <c r="E76" s="19" t="n">
        <f aca="false">MAX(0,$A76-'1. Inputs'!$C$27-'1. Inputs'!$B$30+1)</f>
        <v>58</v>
      </c>
      <c r="F76" s="20" t="n">
        <f aca="false">IF(B76&lt;=0,0,'1. Inputs'!$B$24*'1. Inputs'!$B$5*B76^'1. Inputs'!$B$7/('1. Inputs'!$B$6^'1. Inputs'!$B$7+B76^'1. Inputs'!$B$7))</f>
        <v>212.386617100372</v>
      </c>
      <c r="G76" s="20" t="n">
        <f aca="false">IF(C76&lt;=0,0,'1. Inputs'!$B$25*'1. Inputs'!$B$5*C76^'1. Inputs'!$B$7/('1. Inputs'!$B$6^'1. Inputs'!$B$7+C76^'1. Inputs'!$B$7))</f>
        <v>282.415130476419</v>
      </c>
      <c r="H76" s="20" t="n">
        <f aca="false">IF(D76&lt;=0,0,'1. Inputs'!$B$26*'1. Inputs'!$B$5*D76^'1. Inputs'!$B$7/('1. Inputs'!$B$6^'1. Inputs'!$B$7+D76^'1. Inputs'!$B$7))</f>
        <v>123.134755755194</v>
      </c>
      <c r="I76" s="20" t="n">
        <f aca="false">IF(E76&lt;=0,0,'1. Inputs'!$B$27*'1. Inputs'!$B$5*E76^'1. Inputs'!$B$7/('1. Inputs'!$B$6^'1. Inputs'!$B$7+E76^'1. Inputs'!$B$7))</f>
        <v>87.8838896952105</v>
      </c>
      <c r="J76" s="21" t="n">
        <f aca="false">IF(B76&lt;=0,0,'1. Inputs'!$B$9+'1. Inputs'!$B$10*B76/(B76+'1. Inputs'!$B$11))</f>
        <v>0.2104</v>
      </c>
      <c r="K76" s="21" t="n">
        <f aca="false">IF(C76&lt;=0,0,'1. Inputs'!$B$9+'1. Inputs'!$B$10*C76/(C76+'1. Inputs'!$B$11))</f>
        <v>0.209714285714286</v>
      </c>
      <c r="L76" s="21" t="n">
        <f aca="false">IF(D76&lt;=0,0,'1. Inputs'!$B$9+'1. Inputs'!$B$10*D76/(D76+'1. Inputs'!$B$11))</f>
        <v>0.208923076923077</v>
      </c>
      <c r="M76" s="21" t="n">
        <f aca="false">IF(E76&lt;=0,0,'1. Inputs'!$B$9+'1. Inputs'!$B$10*E76/(E76+'1. Inputs'!$B$11))</f>
        <v>0.20875</v>
      </c>
      <c r="N76" s="22" t="n">
        <f aca="false">IF(B76&lt;=0,0,'1. Inputs'!$B$13*(1+'1. Inputs'!$B$14*MIN(B76,'1. Inputs'!$B$15))*'1. Inputs'!$B$31)</f>
        <v>95200</v>
      </c>
      <c r="O76" s="22" t="n">
        <f aca="false">IF(C76&lt;=0,0,'1. Inputs'!$B$13*(1+'1. Inputs'!$B$14*MIN(C76,'1. Inputs'!$B$15))*'1. Inputs'!$B$31)</f>
        <v>95200</v>
      </c>
      <c r="P76" s="22" t="n">
        <f aca="false">IF(D76&lt;=0,0,'1. Inputs'!$B$13*(1+'1. Inputs'!$B$14*MIN(D76,'1. Inputs'!$B$15))*'1. Inputs'!$B$31)</f>
        <v>95200</v>
      </c>
      <c r="Q76" s="22" t="n">
        <f aca="false">IF(E76&lt;=0,0,'1. Inputs'!$B$13*(1+'1. Inputs'!$B$14*MIN(E76,'1. Inputs'!$B$15))*'1. Inputs'!$B$31)</f>
        <v>95200</v>
      </c>
    </row>
    <row r="77" customFormat="false" ht="15" hidden="false" customHeight="false" outlineLevel="0" collapsed="false">
      <c r="A77" s="7" t="n">
        <v>76</v>
      </c>
      <c r="B77" s="19" t="n">
        <f aca="false">MAX(0,$A77-'1. Inputs'!$C$24-'1. Inputs'!$B$30+1)</f>
        <v>70</v>
      </c>
      <c r="C77" s="19" t="n">
        <f aca="false">MAX(0,$A77-'1. Inputs'!$C$25-'1. Inputs'!$B$30+1)</f>
        <v>65</v>
      </c>
      <c r="D77" s="19" t="n">
        <f aca="false">MAX(0,$A77-'1. Inputs'!$C$26-'1. Inputs'!$B$30+1)</f>
        <v>60</v>
      </c>
      <c r="E77" s="19" t="n">
        <f aca="false">MAX(0,$A77-'1. Inputs'!$C$27-'1. Inputs'!$B$30+1)</f>
        <v>59</v>
      </c>
      <c r="F77" s="20" t="n">
        <f aca="false">IF(B77&lt;=0,0,'1. Inputs'!$B$24*'1. Inputs'!$B$5*B77^'1. Inputs'!$B$7/('1. Inputs'!$B$6^'1. Inputs'!$B$7+B77^'1. Inputs'!$B$7))</f>
        <v>212.487452318811</v>
      </c>
      <c r="G77" s="20" t="n">
        <f aca="false">IF(C77&lt;=0,0,'1. Inputs'!$B$25*'1. Inputs'!$B$5*C77^'1. Inputs'!$B$7/('1. Inputs'!$B$6^'1. Inputs'!$B$7+C77^'1. Inputs'!$B$7))</f>
        <v>282.582443102647</v>
      </c>
      <c r="H77" s="20" t="n">
        <f aca="false">IF(D77&lt;=0,0,'1. Inputs'!$B$26*'1. Inputs'!$B$5*D77^'1. Inputs'!$B$7/('1. Inputs'!$B$6^'1. Inputs'!$B$7+D77^'1. Inputs'!$B$7))</f>
        <v>123.227383863081</v>
      </c>
      <c r="I77" s="20" t="n">
        <f aca="false">IF(E77&lt;=0,0,'1. Inputs'!$B$27*'1. Inputs'!$B$5*E77^'1. Inputs'!$B$7/('1. Inputs'!$B$6^'1. Inputs'!$B$7+E77^'1. Inputs'!$B$7))</f>
        <v>87.9533969679955</v>
      </c>
      <c r="J77" s="21" t="n">
        <f aca="false">IF(B77&lt;=0,0,'1. Inputs'!$B$9+'1. Inputs'!$B$10*B77/(B77+'1. Inputs'!$B$11))</f>
        <v>0.210526315789474</v>
      </c>
      <c r="K77" s="21" t="n">
        <f aca="false">IF(C77&lt;=0,0,'1. Inputs'!$B$9+'1. Inputs'!$B$10*C77/(C77+'1. Inputs'!$B$11))</f>
        <v>0.209859154929577</v>
      </c>
      <c r="L77" s="21" t="n">
        <f aca="false">IF(D77&lt;=0,0,'1. Inputs'!$B$9+'1. Inputs'!$B$10*D77/(D77+'1. Inputs'!$B$11))</f>
        <v>0.209090909090909</v>
      </c>
      <c r="M77" s="21" t="n">
        <f aca="false">IF(E77&lt;=0,0,'1. Inputs'!$B$9+'1. Inputs'!$B$10*E77/(E77+'1. Inputs'!$B$11))</f>
        <v>0.208923076923077</v>
      </c>
      <c r="N77" s="22" t="n">
        <f aca="false">IF(B77&lt;=0,0,'1. Inputs'!$B$13*(1+'1. Inputs'!$B$14*MIN(B77,'1. Inputs'!$B$15))*'1. Inputs'!$B$31)</f>
        <v>95200</v>
      </c>
      <c r="O77" s="22" t="n">
        <f aca="false">IF(C77&lt;=0,0,'1. Inputs'!$B$13*(1+'1. Inputs'!$B$14*MIN(C77,'1. Inputs'!$B$15))*'1. Inputs'!$B$31)</f>
        <v>95200</v>
      </c>
      <c r="P77" s="22" t="n">
        <f aca="false">IF(D77&lt;=0,0,'1. Inputs'!$B$13*(1+'1. Inputs'!$B$14*MIN(D77,'1. Inputs'!$B$15))*'1. Inputs'!$B$31)</f>
        <v>95200</v>
      </c>
      <c r="Q77" s="22" t="n">
        <f aca="false">IF(E77&lt;=0,0,'1. Inputs'!$B$13*(1+'1. Inputs'!$B$14*MIN(E77,'1. Inputs'!$B$15))*'1. Inputs'!$B$31)</f>
        <v>95200</v>
      </c>
    </row>
    <row r="78" customFormat="false" ht="15" hidden="false" customHeight="false" outlineLevel="0" collapsed="false">
      <c r="A78" s="7" t="n">
        <v>77</v>
      </c>
      <c r="B78" s="19" t="n">
        <f aca="false">MAX(0,$A78-'1. Inputs'!$C$24-'1. Inputs'!$B$30+1)</f>
        <v>71</v>
      </c>
      <c r="C78" s="19" t="n">
        <f aca="false">MAX(0,$A78-'1. Inputs'!$C$25-'1. Inputs'!$B$30+1)</f>
        <v>66</v>
      </c>
      <c r="D78" s="19" t="n">
        <f aca="false">MAX(0,$A78-'1. Inputs'!$C$26-'1. Inputs'!$B$30+1)</f>
        <v>61</v>
      </c>
      <c r="E78" s="19" t="n">
        <f aca="false">MAX(0,$A78-'1. Inputs'!$C$27-'1. Inputs'!$B$30+1)</f>
        <v>60</v>
      </c>
      <c r="F78" s="20" t="n">
        <f aca="false">IF(B78&lt;=0,0,'1. Inputs'!$B$24*'1. Inputs'!$B$5*B78^'1. Inputs'!$B$7/('1. Inputs'!$B$6^'1. Inputs'!$B$7+B78^'1. Inputs'!$B$7))</f>
        <v>212.584146817649</v>
      </c>
      <c r="G78" s="20" t="n">
        <f aca="false">IF(C78&lt;=0,0,'1. Inputs'!$B$25*'1. Inputs'!$B$5*C78^'1. Inputs'!$B$7/('1. Inputs'!$B$6^'1. Inputs'!$B$7+C78^'1. Inputs'!$B$7))</f>
        <v>282.742393509128</v>
      </c>
      <c r="H78" s="20" t="n">
        <f aca="false">IF(D78&lt;=0,0,'1. Inputs'!$B$26*'1. Inputs'!$B$5*D78^'1. Inputs'!$B$7/('1. Inputs'!$B$6^'1. Inputs'!$B$7+D78^'1. Inputs'!$B$7))</f>
        <v>123.315623356128</v>
      </c>
      <c r="I78" s="20" t="n">
        <f aca="false">IF(E78&lt;=0,0,'1. Inputs'!$B$27*'1. Inputs'!$B$5*E78^'1. Inputs'!$B$7/('1. Inputs'!$B$6^'1. Inputs'!$B$7+E78^'1. Inputs'!$B$7))</f>
        <v>88.0195599022005</v>
      </c>
      <c r="J78" s="21" t="n">
        <f aca="false">IF(B78&lt;=0,0,'1. Inputs'!$B$9+'1. Inputs'!$B$10*B78/(B78+'1. Inputs'!$B$11))</f>
        <v>0.210649350649351</v>
      </c>
      <c r="K78" s="21" t="n">
        <f aca="false">IF(C78&lt;=0,0,'1. Inputs'!$B$9+'1. Inputs'!$B$10*C78/(C78+'1. Inputs'!$B$11))</f>
        <v>0.21</v>
      </c>
      <c r="L78" s="21" t="n">
        <f aca="false">IF(D78&lt;=0,0,'1. Inputs'!$B$9+'1. Inputs'!$B$10*D78/(D78+'1. Inputs'!$B$11))</f>
        <v>0.209253731343284</v>
      </c>
      <c r="M78" s="21" t="n">
        <f aca="false">IF(E78&lt;=0,0,'1. Inputs'!$B$9+'1. Inputs'!$B$10*E78/(E78+'1. Inputs'!$B$11))</f>
        <v>0.209090909090909</v>
      </c>
      <c r="N78" s="22" t="n">
        <f aca="false">IF(B78&lt;=0,0,'1. Inputs'!$B$13*(1+'1. Inputs'!$B$14*MIN(B78,'1. Inputs'!$B$15))*'1. Inputs'!$B$31)</f>
        <v>95200</v>
      </c>
      <c r="O78" s="22" t="n">
        <f aca="false">IF(C78&lt;=0,0,'1. Inputs'!$B$13*(1+'1. Inputs'!$B$14*MIN(C78,'1. Inputs'!$B$15))*'1. Inputs'!$B$31)</f>
        <v>95200</v>
      </c>
      <c r="P78" s="22" t="n">
        <f aca="false">IF(D78&lt;=0,0,'1. Inputs'!$B$13*(1+'1. Inputs'!$B$14*MIN(D78,'1. Inputs'!$B$15))*'1. Inputs'!$B$31)</f>
        <v>95200</v>
      </c>
      <c r="Q78" s="22" t="n">
        <f aca="false">IF(E78&lt;=0,0,'1. Inputs'!$B$13*(1+'1. Inputs'!$B$14*MIN(E78,'1. Inputs'!$B$15))*'1. Inputs'!$B$31)</f>
        <v>95200</v>
      </c>
    </row>
    <row r="79" customFormat="false" ht="15" hidden="false" customHeight="false" outlineLevel="0" collapsed="false">
      <c r="A79" s="7" t="n">
        <v>78</v>
      </c>
      <c r="B79" s="19" t="n">
        <f aca="false">MAX(0,$A79-'1. Inputs'!$C$24-'1. Inputs'!$B$30+1)</f>
        <v>72</v>
      </c>
      <c r="C79" s="19" t="n">
        <f aca="false">MAX(0,$A79-'1. Inputs'!$C$25-'1. Inputs'!$B$30+1)</f>
        <v>67</v>
      </c>
      <c r="D79" s="19" t="n">
        <f aca="false">MAX(0,$A79-'1. Inputs'!$C$26-'1. Inputs'!$B$30+1)</f>
        <v>62</v>
      </c>
      <c r="E79" s="19" t="n">
        <f aca="false">MAX(0,$A79-'1. Inputs'!$C$27-'1. Inputs'!$B$30+1)</f>
        <v>61</v>
      </c>
      <c r="F79" s="20" t="n">
        <f aca="false">IF(B79&lt;=0,0,'1. Inputs'!$B$24*'1. Inputs'!$B$5*B79^'1. Inputs'!$B$7/('1. Inputs'!$B$6^'1. Inputs'!$B$7+B79^'1. Inputs'!$B$7))</f>
        <v>212.676923076923</v>
      </c>
      <c r="G79" s="20" t="n">
        <f aca="false">IF(C79&lt;=0,0,'1. Inputs'!$B$25*'1. Inputs'!$B$5*C79^'1. Inputs'!$B$7/('1. Inputs'!$B$6^'1. Inputs'!$B$7+C79^'1. Inputs'!$B$7))</f>
        <v>282.895404814004</v>
      </c>
      <c r="H79" s="20" t="n">
        <f aca="false">IF(D79&lt;=0,0,'1. Inputs'!$B$26*'1. Inputs'!$B$5*D79^'1. Inputs'!$B$7/('1. Inputs'!$B$6^'1. Inputs'!$B$7+D79^'1. Inputs'!$B$7))</f>
        <v>123.39974522293</v>
      </c>
      <c r="I79" s="20" t="n">
        <f aca="false">IF(E79&lt;=0,0,'1. Inputs'!$B$27*'1. Inputs'!$B$5*E79^'1. Inputs'!$B$7/('1. Inputs'!$B$6^'1. Inputs'!$B$7+E79^'1. Inputs'!$B$7))</f>
        <v>88.0825881115203</v>
      </c>
      <c r="J79" s="21" t="n">
        <f aca="false">IF(B79&lt;=0,0,'1. Inputs'!$B$9+'1. Inputs'!$B$10*B79/(B79+'1. Inputs'!$B$11))</f>
        <v>0.210769230769231</v>
      </c>
      <c r="K79" s="21" t="n">
        <f aca="false">IF(C79&lt;=0,0,'1. Inputs'!$B$9+'1. Inputs'!$B$10*C79/(C79+'1. Inputs'!$B$11))</f>
        <v>0.21013698630137</v>
      </c>
      <c r="L79" s="21" t="n">
        <f aca="false">IF(D79&lt;=0,0,'1. Inputs'!$B$9+'1. Inputs'!$B$10*D79/(D79+'1. Inputs'!$B$11))</f>
        <v>0.209411764705882</v>
      </c>
      <c r="M79" s="21" t="n">
        <f aca="false">IF(E79&lt;=0,0,'1. Inputs'!$B$9+'1. Inputs'!$B$10*E79/(E79+'1. Inputs'!$B$11))</f>
        <v>0.209253731343284</v>
      </c>
      <c r="N79" s="22" t="n">
        <f aca="false">IF(B79&lt;=0,0,'1. Inputs'!$B$13*(1+'1. Inputs'!$B$14*MIN(B79,'1. Inputs'!$B$15))*'1. Inputs'!$B$31)</f>
        <v>95200</v>
      </c>
      <c r="O79" s="22" t="n">
        <f aca="false">IF(C79&lt;=0,0,'1. Inputs'!$B$13*(1+'1. Inputs'!$B$14*MIN(C79,'1. Inputs'!$B$15))*'1. Inputs'!$B$31)</f>
        <v>95200</v>
      </c>
      <c r="P79" s="22" t="n">
        <f aca="false">IF(D79&lt;=0,0,'1. Inputs'!$B$13*(1+'1. Inputs'!$B$14*MIN(D79,'1. Inputs'!$B$15))*'1. Inputs'!$B$31)</f>
        <v>95200</v>
      </c>
      <c r="Q79" s="22" t="n">
        <f aca="false">IF(E79&lt;=0,0,'1. Inputs'!$B$13*(1+'1. Inputs'!$B$14*MIN(E79,'1. Inputs'!$B$15))*'1. Inputs'!$B$31)</f>
        <v>95200</v>
      </c>
    </row>
    <row r="80" customFormat="false" ht="15" hidden="false" customHeight="false" outlineLevel="0" collapsed="false">
      <c r="A80" s="7" t="n">
        <v>79</v>
      </c>
      <c r="B80" s="19" t="n">
        <f aca="false">MAX(0,$A80-'1. Inputs'!$C$24-'1. Inputs'!$B$30+1)</f>
        <v>73</v>
      </c>
      <c r="C80" s="19" t="n">
        <f aca="false">MAX(0,$A80-'1. Inputs'!$C$25-'1. Inputs'!$B$30+1)</f>
        <v>68</v>
      </c>
      <c r="D80" s="19" t="n">
        <f aca="false">MAX(0,$A80-'1. Inputs'!$C$26-'1. Inputs'!$B$30+1)</f>
        <v>63</v>
      </c>
      <c r="E80" s="19" t="n">
        <f aca="false">MAX(0,$A80-'1. Inputs'!$C$27-'1. Inputs'!$B$30+1)</f>
        <v>62</v>
      </c>
      <c r="F80" s="20" t="n">
        <f aca="false">IF(B80&lt;=0,0,'1. Inputs'!$B$24*'1. Inputs'!$B$5*B80^'1. Inputs'!$B$7/('1. Inputs'!$B$6^'1. Inputs'!$B$7+B80^'1. Inputs'!$B$7))</f>
        <v>212.765988909427</v>
      </c>
      <c r="G80" s="20" t="n">
        <f aca="false">IF(C80&lt;=0,0,'1. Inputs'!$B$25*'1. Inputs'!$B$5*C80^'1. Inputs'!$B$7/('1. Inputs'!$B$6^'1. Inputs'!$B$7+C80^'1. Inputs'!$B$7))</f>
        <v>283.041870350691</v>
      </c>
      <c r="H80" s="20" t="n">
        <f aca="false">IF(D80&lt;=0,0,'1. Inputs'!$B$26*'1. Inputs'!$B$5*D80^'1. Inputs'!$B$7/('1. Inputs'!$B$6^'1. Inputs'!$B$7+D80^'1. Inputs'!$B$7))</f>
        <v>123.48</v>
      </c>
      <c r="I80" s="20" t="n">
        <f aca="false">IF(E80&lt;=0,0,'1. Inputs'!$B$27*'1. Inputs'!$B$5*E80^'1. Inputs'!$B$7/('1. Inputs'!$B$6^'1. Inputs'!$B$7+E80^'1. Inputs'!$B$7))</f>
        <v>88.1426751592357</v>
      </c>
      <c r="J80" s="21" t="n">
        <f aca="false">IF(B80&lt;=0,0,'1. Inputs'!$B$9+'1. Inputs'!$B$10*B80/(B80+'1. Inputs'!$B$11))</f>
        <v>0.210886075949367</v>
      </c>
      <c r="K80" s="21" t="n">
        <f aca="false">IF(C80&lt;=0,0,'1. Inputs'!$B$9+'1. Inputs'!$B$10*C80/(C80+'1. Inputs'!$B$11))</f>
        <v>0.21027027027027</v>
      </c>
      <c r="L80" s="21" t="n">
        <f aca="false">IF(D80&lt;=0,0,'1. Inputs'!$B$9+'1. Inputs'!$B$10*D80/(D80+'1. Inputs'!$B$11))</f>
        <v>0.209565217391304</v>
      </c>
      <c r="M80" s="21" t="n">
        <f aca="false">IF(E80&lt;=0,0,'1. Inputs'!$B$9+'1. Inputs'!$B$10*E80/(E80+'1. Inputs'!$B$11))</f>
        <v>0.209411764705882</v>
      </c>
      <c r="N80" s="22" t="n">
        <f aca="false">IF(B80&lt;=0,0,'1. Inputs'!$B$13*(1+'1. Inputs'!$B$14*MIN(B80,'1. Inputs'!$B$15))*'1. Inputs'!$B$31)</f>
        <v>95200</v>
      </c>
      <c r="O80" s="22" t="n">
        <f aca="false">IF(C80&lt;=0,0,'1. Inputs'!$B$13*(1+'1. Inputs'!$B$14*MIN(C80,'1. Inputs'!$B$15))*'1. Inputs'!$B$31)</f>
        <v>95200</v>
      </c>
      <c r="P80" s="22" t="n">
        <f aca="false">IF(D80&lt;=0,0,'1. Inputs'!$B$13*(1+'1. Inputs'!$B$14*MIN(D80,'1. Inputs'!$B$15))*'1. Inputs'!$B$31)</f>
        <v>95200</v>
      </c>
      <c r="Q80" s="22" t="n">
        <f aca="false">IF(E80&lt;=0,0,'1. Inputs'!$B$13*(1+'1. Inputs'!$B$14*MIN(E80,'1. Inputs'!$B$15))*'1. Inputs'!$B$31)</f>
        <v>95200</v>
      </c>
    </row>
    <row r="81" customFormat="false" ht="15" hidden="false" customHeight="false" outlineLevel="0" collapsed="false">
      <c r="A81" s="7" t="n">
        <v>80</v>
      </c>
      <c r="B81" s="19" t="n">
        <f aca="false">MAX(0,$A81-'1. Inputs'!$C$24-'1. Inputs'!$B$30+1)</f>
        <v>74</v>
      </c>
      <c r="C81" s="19" t="n">
        <f aca="false">MAX(0,$A81-'1. Inputs'!$C$25-'1. Inputs'!$B$30+1)</f>
        <v>69</v>
      </c>
      <c r="D81" s="19" t="n">
        <f aca="false">MAX(0,$A81-'1. Inputs'!$C$26-'1. Inputs'!$B$30+1)</f>
        <v>64</v>
      </c>
      <c r="E81" s="19" t="n">
        <f aca="false">MAX(0,$A81-'1. Inputs'!$C$27-'1. Inputs'!$B$30+1)</f>
        <v>63</v>
      </c>
      <c r="F81" s="20" t="n">
        <f aca="false">IF(B81&lt;=0,0,'1. Inputs'!$B$24*'1. Inputs'!$B$5*B81^'1. Inputs'!$B$7/('1. Inputs'!$B$6^'1. Inputs'!$B$7+B81^'1. Inputs'!$B$7))</f>
        <v>212.851538599964</v>
      </c>
      <c r="G81" s="20" t="n">
        <f aca="false">IF(C81&lt;=0,0,'1. Inputs'!$B$25*'1. Inputs'!$B$5*C81^'1. Inputs'!$B$7/('1. Inputs'!$B$6^'1. Inputs'!$B$7+C81^'1. Inputs'!$B$7))</f>
        <v>283.182156133829</v>
      </c>
      <c r="H81" s="20" t="n">
        <f aca="false">IF(D81&lt;=0,0,'1. Inputs'!$B$26*'1. Inputs'!$B$5*D81^'1. Inputs'!$B$7/('1. Inputs'!$B$6^'1. Inputs'!$B$7+D81^'1. Inputs'!$B$7))</f>
        <v>123.556619583433</v>
      </c>
      <c r="I81" s="20" t="n">
        <f aca="false">IF(E81&lt;=0,0,'1. Inputs'!$B$27*'1. Inputs'!$B$5*E81^'1. Inputs'!$B$7/('1. Inputs'!$B$6^'1. Inputs'!$B$7+E81^'1. Inputs'!$B$7))</f>
        <v>88.2</v>
      </c>
      <c r="J81" s="21" t="n">
        <f aca="false">IF(B81&lt;=0,0,'1. Inputs'!$B$9+'1. Inputs'!$B$10*B81/(B81+'1. Inputs'!$B$11))</f>
        <v>0.211</v>
      </c>
      <c r="K81" s="21" t="n">
        <f aca="false">IF(C81&lt;=0,0,'1. Inputs'!$B$9+'1. Inputs'!$B$10*C81/(C81+'1. Inputs'!$B$11))</f>
        <v>0.2104</v>
      </c>
      <c r="L81" s="21" t="n">
        <f aca="false">IF(D81&lt;=0,0,'1. Inputs'!$B$9+'1. Inputs'!$B$10*D81/(D81+'1. Inputs'!$B$11))</f>
        <v>0.209714285714286</v>
      </c>
      <c r="M81" s="21" t="n">
        <f aca="false">IF(E81&lt;=0,0,'1. Inputs'!$B$9+'1. Inputs'!$B$10*E81/(E81+'1. Inputs'!$B$11))</f>
        <v>0.209565217391304</v>
      </c>
      <c r="N81" s="22" t="n">
        <f aca="false">IF(B81&lt;=0,0,'1. Inputs'!$B$13*(1+'1. Inputs'!$B$14*MIN(B81,'1. Inputs'!$B$15))*'1. Inputs'!$B$31)</f>
        <v>95200</v>
      </c>
      <c r="O81" s="22" t="n">
        <f aca="false">IF(C81&lt;=0,0,'1. Inputs'!$B$13*(1+'1. Inputs'!$B$14*MIN(C81,'1. Inputs'!$B$15))*'1. Inputs'!$B$31)</f>
        <v>95200</v>
      </c>
      <c r="P81" s="22" t="n">
        <f aca="false">IF(D81&lt;=0,0,'1. Inputs'!$B$13*(1+'1. Inputs'!$B$14*MIN(D81,'1. Inputs'!$B$15))*'1. Inputs'!$B$31)</f>
        <v>95200</v>
      </c>
      <c r="Q81" s="22" t="n">
        <f aca="false">IF(E81&lt;=0,0,'1. Inputs'!$B$13*(1+'1. Inputs'!$B$14*MIN(E81,'1. Inputs'!$B$15))*'1. Inputs'!$B$31)</f>
        <v>95200</v>
      </c>
    </row>
    <row r="82" customFormat="false" ht="15" hidden="false" customHeight="false" outlineLevel="0" collapsed="false">
      <c r="A82" s="7" t="n">
        <v>81</v>
      </c>
      <c r="B82" s="19" t="n">
        <f aca="false">MAX(0,$A82-'1. Inputs'!$C$24-'1. Inputs'!$B$30+1)</f>
        <v>75</v>
      </c>
      <c r="C82" s="19" t="n">
        <f aca="false">MAX(0,$A82-'1. Inputs'!$C$25-'1. Inputs'!$B$30+1)</f>
        <v>70</v>
      </c>
      <c r="D82" s="19" t="n">
        <f aca="false">MAX(0,$A82-'1. Inputs'!$C$26-'1. Inputs'!$B$30+1)</f>
        <v>65</v>
      </c>
      <c r="E82" s="19" t="n">
        <f aca="false">MAX(0,$A82-'1. Inputs'!$C$27-'1. Inputs'!$B$30+1)</f>
        <v>64</v>
      </c>
      <c r="F82" s="20" t="n">
        <f aca="false">IF(B82&lt;=0,0,'1. Inputs'!$B$24*'1. Inputs'!$B$5*B82^'1. Inputs'!$B$7/('1. Inputs'!$B$6^'1. Inputs'!$B$7+B82^'1. Inputs'!$B$7))</f>
        <v>212.933753943218</v>
      </c>
      <c r="G82" s="20" t="n">
        <f aca="false">IF(C82&lt;=0,0,'1. Inputs'!$B$25*'1. Inputs'!$B$5*C82^'1. Inputs'!$B$7/('1. Inputs'!$B$6^'1. Inputs'!$B$7+C82^'1. Inputs'!$B$7))</f>
        <v>283.316603091749</v>
      </c>
      <c r="H82" s="20" t="n">
        <f aca="false">IF(D82&lt;=0,0,'1. Inputs'!$B$26*'1. Inputs'!$B$5*D82^'1. Inputs'!$B$7/('1. Inputs'!$B$6^'1. Inputs'!$B$7+D82^'1. Inputs'!$B$7))</f>
        <v>123.629818857408</v>
      </c>
      <c r="I82" s="20" t="n">
        <f aca="false">IF(E82&lt;=0,0,'1. Inputs'!$B$27*'1. Inputs'!$B$5*E82^'1. Inputs'!$B$7/('1. Inputs'!$B$6^'1. Inputs'!$B$7+E82^'1. Inputs'!$B$7))</f>
        <v>88.2547282738808</v>
      </c>
      <c r="J82" s="21" t="n">
        <f aca="false">IF(B82&lt;=0,0,'1. Inputs'!$B$9+'1. Inputs'!$B$10*B82/(B82+'1. Inputs'!$B$11))</f>
        <v>0.211111111111111</v>
      </c>
      <c r="K82" s="21" t="n">
        <f aca="false">IF(C82&lt;=0,0,'1. Inputs'!$B$9+'1. Inputs'!$B$10*C82/(C82+'1. Inputs'!$B$11))</f>
        <v>0.210526315789474</v>
      </c>
      <c r="L82" s="21" t="n">
        <f aca="false">IF(D82&lt;=0,0,'1. Inputs'!$B$9+'1. Inputs'!$B$10*D82/(D82+'1. Inputs'!$B$11))</f>
        <v>0.209859154929577</v>
      </c>
      <c r="M82" s="21" t="n">
        <f aca="false">IF(E82&lt;=0,0,'1. Inputs'!$B$9+'1. Inputs'!$B$10*E82/(E82+'1. Inputs'!$B$11))</f>
        <v>0.209714285714286</v>
      </c>
      <c r="N82" s="22" t="n">
        <f aca="false">IF(B82&lt;=0,0,'1. Inputs'!$B$13*(1+'1. Inputs'!$B$14*MIN(B82,'1. Inputs'!$B$15))*'1. Inputs'!$B$31)</f>
        <v>95200</v>
      </c>
      <c r="O82" s="22" t="n">
        <f aca="false">IF(C82&lt;=0,0,'1. Inputs'!$B$13*(1+'1. Inputs'!$B$14*MIN(C82,'1. Inputs'!$B$15))*'1. Inputs'!$B$31)</f>
        <v>95200</v>
      </c>
      <c r="P82" s="22" t="n">
        <f aca="false">IF(D82&lt;=0,0,'1. Inputs'!$B$13*(1+'1. Inputs'!$B$14*MIN(D82,'1. Inputs'!$B$15))*'1. Inputs'!$B$31)</f>
        <v>95200</v>
      </c>
      <c r="Q82" s="22" t="n">
        <f aca="false">IF(E82&lt;=0,0,'1. Inputs'!$B$13*(1+'1. Inputs'!$B$14*MIN(E82,'1. Inputs'!$B$15))*'1. Inputs'!$B$31)</f>
        <v>95200</v>
      </c>
    </row>
    <row r="83" customFormat="false" ht="15" hidden="false" customHeight="false" outlineLevel="0" collapsed="false">
      <c r="A83" s="7" t="n">
        <v>82</v>
      </c>
      <c r="B83" s="19" t="n">
        <f aca="false">MAX(0,$A83-'1. Inputs'!$C$24-'1. Inputs'!$B$30+1)</f>
        <v>76</v>
      </c>
      <c r="C83" s="19" t="n">
        <f aca="false">MAX(0,$A83-'1. Inputs'!$C$25-'1. Inputs'!$B$30+1)</f>
        <v>71</v>
      </c>
      <c r="D83" s="19" t="n">
        <f aca="false">MAX(0,$A83-'1. Inputs'!$C$26-'1. Inputs'!$B$30+1)</f>
        <v>66</v>
      </c>
      <c r="E83" s="19" t="n">
        <f aca="false">MAX(0,$A83-'1. Inputs'!$C$27-'1. Inputs'!$B$30+1)</f>
        <v>65</v>
      </c>
      <c r="F83" s="20" t="n">
        <f aca="false">IF(B83&lt;=0,0,'1. Inputs'!$B$24*'1. Inputs'!$B$5*B83^'1. Inputs'!$B$7/('1. Inputs'!$B$6^'1. Inputs'!$B$7+B83^'1. Inputs'!$B$7))</f>
        <v>213.012805190371</v>
      </c>
      <c r="G83" s="20" t="n">
        <f aca="false">IF(C83&lt;=0,0,'1. Inputs'!$B$25*'1. Inputs'!$B$5*C83^'1. Inputs'!$B$7/('1. Inputs'!$B$6^'1. Inputs'!$B$7+C83^'1. Inputs'!$B$7))</f>
        <v>283.445529090199</v>
      </c>
      <c r="H83" s="20" t="n">
        <f aca="false">IF(D83&lt;=0,0,'1. Inputs'!$B$26*'1. Inputs'!$B$5*D83^'1. Inputs'!$B$7/('1. Inputs'!$B$6^'1. Inputs'!$B$7+D83^'1. Inputs'!$B$7))</f>
        <v>123.699797160243</v>
      </c>
      <c r="I83" s="20" t="n">
        <f aca="false">IF(E83&lt;=0,0,'1. Inputs'!$B$27*'1. Inputs'!$B$5*E83^'1. Inputs'!$B$7/('1. Inputs'!$B$6^'1. Inputs'!$B$7+E83^'1. Inputs'!$B$7))</f>
        <v>88.3070134695773</v>
      </c>
      <c r="J83" s="21" t="n">
        <f aca="false">IF(B83&lt;=0,0,'1. Inputs'!$B$9+'1. Inputs'!$B$10*B83/(B83+'1. Inputs'!$B$11))</f>
        <v>0.211219512195122</v>
      </c>
      <c r="K83" s="21" t="n">
        <f aca="false">IF(C83&lt;=0,0,'1. Inputs'!$B$9+'1. Inputs'!$B$10*C83/(C83+'1. Inputs'!$B$11))</f>
        <v>0.210649350649351</v>
      </c>
      <c r="L83" s="21" t="n">
        <f aca="false">IF(D83&lt;=0,0,'1. Inputs'!$B$9+'1. Inputs'!$B$10*D83/(D83+'1. Inputs'!$B$11))</f>
        <v>0.21</v>
      </c>
      <c r="M83" s="21" t="n">
        <f aca="false">IF(E83&lt;=0,0,'1. Inputs'!$B$9+'1. Inputs'!$B$10*E83/(E83+'1. Inputs'!$B$11))</f>
        <v>0.209859154929577</v>
      </c>
      <c r="N83" s="22" t="n">
        <f aca="false">IF(B83&lt;=0,0,'1. Inputs'!$B$13*(1+'1. Inputs'!$B$14*MIN(B83,'1. Inputs'!$B$15))*'1. Inputs'!$B$31)</f>
        <v>95200</v>
      </c>
      <c r="O83" s="22" t="n">
        <f aca="false">IF(C83&lt;=0,0,'1. Inputs'!$B$13*(1+'1. Inputs'!$B$14*MIN(C83,'1. Inputs'!$B$15))*'1. Inputs'!$B$31)</f>
        <v>95200</v>
      </c>
      <c r="P83" s="22" t="n">
        <f aca="false">IF(D83&lt;=0,0,'1. Inputs'!$B$13*(1+'1. Inputs'!$B$14*MIN(D83,'1. Inputs'!$B$15))*'1. Inputs'!$B$31)</f>
        <v>95200</v>
      </c>
      <c r="Q83" s="22" t="n">
        <f aca="false">IF(E83&lt;=0,0,'1. Inputs'!$B$13*(1+'1. Inputs'!$B$14*MIN(E83,'1. Inputs'!$B$15))*'1. Inputs'!$B$31)</f>
        <v>95200</v>
      </c>
    </row>
    <row r="84" customFormat="false" ht="15" hidden="false" customHeight="false" outlineLevel="0" collapsed="false">
      <c r="A84" s="7" t="n">
        <v>83</v>
      </c>
      <c r="B84" s="19" t="n">
        <f aca="false">MAX(0,$A84-'1. Inputs'!$C$24-'1. Inputs'!$B$30+1)</f>
        <v>77</v>
      </c>
      <c r="C84" s="19" t="n">
        <f aca="false">MAX(0,$A84-'1. Inputs'!$C$25-'1. Inputs'!$B$30+1)</f>
        <v>72</v>
      </c>
      <c r="D84" s="19" t="n">
        <f aca="false">MAX(0,$A84-'1. Inputs'!$C$26-'1. Inputs'!$B$30+1)</f>
        <v>67</v>
      </c>
      <c r="E84" s="19" t="n">
        <f aca="false">MAX(0,$A84-'1. Inputs'!$C$27-'1. Inputs'!$B$30+1)</f>
        <v>66</v>
      </c>
      <c r="F84" s="20" t="n">
        <f aca="false">IF(B84&lt;=0,0,'1. Inputs'!$B$24*'1. Inputs'!$B$5*B84^'1. Inputs'!$B$7/('1. Inputs'!$B$6^'1. Inputs'!$B$7+B84^'1. Inputs'!$B$7))</f>
        <v>213.088851913478</v>
      </c>
      <c r="G84" s="20" t="n">
        <f aca="false">IF(C84&lt;=0,0,'1. Inputs'!$B$25*'1. Inputs'!$B$5*C84^'1. Inputs'!$B$7/('1. Inputs'!$B$6^'1. Inputs'!$B$7+C84^'1. Inputs'!$B$7))</f>
        <v>283.569230769231</v>
      </c>
      <c r="H84" s="20" t="n">
        <f aca="false">IF(D84&lt;=0,0,'1. Inputs'!$B$26*'1. Inputs'!$B$5*D84^'1. Inputs'!$B$7/('1. Inputs'!$B$6^'1. Inputs'!$B$7+D84^'1. Inputs'!$B$7))</f>
        <v>123.766739606127</v>
      </c>
      <c r="I84" s="20" t="n">
        <f aca="false">IF(E84&lt;=0,0,'1. Inputs'!$B$27*'1. Inputs'!$B$5*E84^'1. Inputs'!$B$7/('1. Inputs'!$B$6^'1. Inputs'!$B$7+E84^'1. Inputs'!$B$7))</f>
        <v>88.3569979716024</v>
      </c>
      <c r="J84" s="21" t="n">
        <f aca="false">IF(B84&lt;=0,0,'1. Inputs'!$B$9+'1. Inputs'!$B$10*B84/(B84+'1. Inputs'!$B$11))</f>
        <v>0.211325301204819</v>
      </c>
      <c r="K84" s="21" t="n">
        <f aca="false">IF(C84&lt;=0,0,'1. Inputs'!$B$9+'1. Inputs'!$B$10*C84/(C84+'1. Inputs'!$B$11))</f>
        <v>0.210769230769231</v>
      </c>
      <c r="L84" s="21" t="n">
        <f aca="false">IF(D84&lt;=0,0,'1. Inputs'!$B$9+'1. Inputs'!$B$10*D84/(D84+'1. Inputs'!$B$11))</f>
        <v>0.21013698630137</v>
      </c>
      <c r="M84" s="21" t="n">
        <f aca="false">IF(E84&lt;=0,0,'1. Inputs'!$B$9+'1. Inputs'!$B$10*E84/(E84+'1. Inputs'!$B$11))</f>
        <v>0.21</v>
      </c>
      <c r="N84" s="22" t="n">
        <f aca="false">IF(B84&lt;=0,0,'1. Inputs'!$B$13*(1+'1. Inputs'!$B$14*MIN(B84,'1. Inputs'!$B$15))*'1. Inputs'!$B$31)</f>
        <v>95200</v>
      </c>
      <c r="O84" s="22" t="n">
        <f aca="false">IF(C84&lt;=0,0,'1. Inputs'!$B$13*(1+'1. Inputs'!$B$14*MIN(C84,'1. Inputs'!$B$15))*'1. Inputs'!$B$31)</f>
        <v>95200</v>
      </c>
      <c r="P84" s="22" t="n">
        <f aca="false">IF(D84&lt;=0,0,'1. Inputs'!$B$13*(1+'1. Inputs'!$B$14*MIN(D84,'1. Inputs'!$B$15))*'1. Inputs'!$B$31)</f>
        <v>95200</v>
      </c>
      <c r="Q84" s="22" t="n">
        <f aca="false">IF(E84&lt;=0,0,'1. Inputs'!$B$13*(1+'1. Inputs'!$B$14*MIN(E84,'1. Inputs'!$B$15))*'1. Inputs'!$B$31)</f>
        <v>95200</v>
      </c>
    </row>
    <row r="85" customFormat="false" ht="15" hidden="false" customHeight="false" outlineLevel="0" collapsed="false">
      <c r="A85" s="7" t="n">
        <v>84</v>
      </c>
      <c r="B85" s="19" t="n">
        <f aca="false">MAX(0,$A85-'1. Inputs'!$C$24-'1. Inputs'!$B$30+1)</f>
        <v>78</v>
      </c>
      <c r="C85" s="19" t="n">
        <f aca="false">MAX(0,$A85-'1. Inputs'!$C$25-'1. Inputs'!$B$30+1)</f>
        <v>73</v>
      </c>
      <c r="D85" s="19" t="n">
        <f aca="false">MAX(0,$A85-'1. Inputs'!$C$26-'1. Inputs'!$B$30+1)</f>
        <v>68</v>
      </c>
      <c r="E85" s="19" t="n">
        <f aca="false">MAX(0,$A85-'1. Inputs'!$C$27-'1. Inputs'!$B$30+1)</f>
        <v>67</v>
      </c>
      <c r="F85" s="20" t="n">
        <f aca="false">IF(B85&lt;=0,0,'1. Inputs'!$B$24*'1. Inputs'!$B$5*B85^'1. Inputs'!$B$7/('1. Inputs'!$B$6^'1. Inputs'!$B$7+B85^'1. Inputs'!$B$7))</f>
        <v>213.16204379562</v>
      </c>
      <c r="G85" s="20" t="n">
        <f aca="false">IF(C85&lt;=0,0,'1. Inputs'!$B$25*'1. Inputs'!$B$5*C85^'1. Inputs'!$B$7/('1. Inputs'!$B$6^'1. Inputs'!$B$7+C85^'1. Inputs'!$B$7))</f>
        <v>283.687985212569</v>
      </c>
      <c r="H85" s="20" t="n">
        <f aca="false">IF(D85&lt;=0,0,'1. Inputs'!$B$26*'1. Inputs'!$B$5*D85^'1. Inputs'!$B$7/('1. Inputs'!$B$6^'1. Inputs'!$B$7+D85^'1. Inputs'!$B$7))</f>
        <v>123.830818278427</v>
      </c>
      <c r="I85" s="20" t="n">
        <f aca="false">IF(E85&lt;=0,0,'1. Inputs'!$B$27*'1. Inputs'!$B$5*E85^'1. Inputs'!$B$7/('1. Inputs'!$B$6^'1. Inputs'!$B$7+E85^'1. Inputs'!$B$7))</f>
        <v>88.4048140043764</v>
      </c>
      <c r="J85" s="21" t="n">
        <f aca="false">IF(B85&lt;=0,0,'1. Inputs'!$B$9+'1. Inputs'!$B$10*B85/(B85+'1. Inputs'!$B$11))</f>
        <v>0.211428571428571</v>
      </c>
      <c r="K85" s="21" t="n">
        <f aca="false">IF(C85&lt;=0,0,'1. Inputs'!$B$9+'1. Inputs'!$B$10*C85/(C85+'1. Inputs'!$B$11))</f>
        <v>0.210886075949367</v>
      </c>
      <c r="L85" s="21" t="n">
        <f aca="false">IF(D85&lt;=0,0,'1. Inputs'!$B$9+'1. Inputs'!$B$10*D85/(D85+'1. Inputs'!$B$11))</f>
        <v>0.21027027027027</v>
      </c>
      <c r="M85" s="21" t="n">
        <f aca="false">IF(E85&lt;=0,0,'1. Inputs'!$B$9+'1. Inputs'!$B$10*E85/(E85+'1. Inputs'!$B$11))</f>
        <v>0.21013698630137</v>
      </c>
      <c r="N85" s="22" t="n">
        <f aca="false">IF(B85&lt;=0,0,'1. Inputs'!$B$13*(1+'1. Inputs'!$B$14*MIN(B85,'1. Inputs'!$B$15))*'1. Inputs'!$B$31)</f>
        <v>95200</v>
      </c>
      <c r="O85" s="22" t="n">
        <f aca="false">IF(C85&lt;=0,0,'1. Inputs'!$B$13*(1+'1. Inputs'!$B$14*MIN(C85,'1. Inputs'!$B$15))*'1. Inputs'!$B$31)</f>
        <v>95200</v>
      </c>
      <c r="P85" s="22" t="n">
        <f aca="false">IF(D85&lt;=0,0,'1. Inputs'!$B$13*(1+'1. Inputs'!$B$14*MIN(D85,'1. Inputs'!$B$15))*'1. Inputs'!$B$31)</f>
        <v>95200</v>
      </c>
      <c r="Q85" s="22" t="n">
        <f aca="false">IF(E85&lt;=0,0,'1. Inputs'!$B$13*(1+'1. Inputs'!$B$14*MIN(E85,'1. Inputs'!$B$15))*'1. Inputs'!$B$31)</f>
        <v>95200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8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5" min="2" style="0" width="14"/>
    <col collapsed="false" customWidth="true" hidden="false" outlineLevel="0" max="7" min="6" style="0" width="16"/>
    <col collapsed="false" customWidth="true" hidden="false" outlineLevel="0" max="8" min="8" style="0" width="14"/>
    <col collapsed="false" customWidth="true" hidden="false" outlineLevel="0" max="10" min="9" style="0" width="16"/>
    <col collapsed="false" customWidth="true" hidden="false" outlineLevel="0" max="11" min="11" style="0" width="14"/>
    <col collapsed="false" customWidth="true" hidden="false" outlineLevel="0" max="12" min="12" style="0" width="18"/>
    <col collapsed="false" customWidth="true" hidden="false" outlineLevel="0" max="13" min="13" style="0" width="14"/>
  </cols>
  <sheetData>
    <row r="1" customFormat="false" ht="28.35" hidden="false" customHeight="false" outlineLevel="0" collapsed="false">
      <c r="A1" s="14" t="s">
        <v>57</v>
      </c>
      <c r="B1" s="14" t="s">
        <v>74</v>
      </c>
      <c r="C1" s="14" t="s">
        <v>75</v>
      </c>
      <c r="D1" s="14" t="s">
        <v>76</v>
      </c>
      <c r="E1" s="14" t="s">
        <v>77</v>
      </c>
      <c r="F1" s="14" t="s">
        <v>78</v>
      </c>
      <c r="G1" s="14" t="s">
        <v>79</v>
      </c>
      <c r="H1" s="14" t="s">
        <v>80</v>
      </c>
      <c r="I1" s="14" t="s">
        <v>81</v>
      </c>
      <c r="J1" s="14" t="s">
        <v>82</v>
      </c>
      <c r="K1" s="14" t="s">
        <v>83</v>
      </c>
      <c r="L1" s="14" t="s">
        <v>84</v>
      </c>
      <c r="M1" s="14" t="s">
        <v>85</v>
      </c>
    </row>
    <row r="2" customFormat="false" ht="15" hidden="false" customHeight="false" outlineLevel="0" collapsed="false">
      <c r="A2" s="7" t="n">
        <v>0</v>
      </c>
      <c r="F2" s="22" t="n">
        <v>0</v>
      </c>
      <c r="G2" s="22" t="n">
        <v>0</v>
      </c>
      <c r="H2" s="22" t="n">
        <v>0</v>
      </c>
      <c r="I2" s="22" t="n">
        <v>0</v>
      </c>
      <c r="J2" s="22" t="n">
        <f aca="false">'1. Inputs'!B3</f>
        <v>150000000</v>
      </c>
      <c r="L2" s="22" t="n">
        <v>0</v>
      </c>
    </row>
    <row r="3" customFormat="false" ht="15" hidden="false" customHeight="false" outlineLevel="0" collapsed="false">
      <c r="A3" s="7" t="n">
        <v>1</v>
      </c>
      <c r="B3" s="22" t="n">
        <f aca="false">'2. Conversion'!F2*'2. Conversion'!J2*'2. Conversion'!N2</f>
        <v>0</v>
      </c>
      <c r="C3" s="22" t="n">
        <f aca="false">'2. Conversion'!G2*'2. Conversion'!K2*'2. Conversion'!O2</f>
        <v>0</v>
      </c>
      <c r="D3" s="22" t="n">
        <f aca="false">'2. Conversion'!H2*'2. Conversion'!L2*'2. Conversion'!P2</f>
        <v>0</v>
      </c>
      <c r="E3" s="22" t="n">
        <f aca="false">'2. Conversion'!I2*'2. Conversion'!M2*'2. Conversion'!Q2</f>
        <v>0</v>
      </c>
      <c r="F3" s="22" t="n">
        <f aca="false">SUM(B3:E3)</f>
        <v>0</v>
      </c>
      <c r="G3" s="22" t="n">
        <f aca="false">G2*(1-'1. Inputs'!$B$18)+L3</f>
        <v>0</v>
      </c>
      <c r="H3" s="22" t="n">
        <f aca="false">G3*'1. Inputs'!$B$18</f>
        <v>0</v>
      </c>
      <c r="I3" s="22" t="n">
        <f aca="false">F3-H3</f>
        <v>0</v>
      </c>
      <c r="J3" s="22" t="n">
        <f aca="false">J2+I3</f>
        <v>150000000</v>
      </c>
      <c r="K3" s="23" t="n">
        <f aca="false">IF(J2&gt;0,I3/J2*12,"")</f>
        <v>0</v>
      </c>
      <c r="L3" s="22" t="n">
        <f aca="false">IF($A3=MAX('1. Inputs'!$B$17,1),'1. Inputs'!$B$3,0)+IF($A3-'1. Inputs'!$B$17&gt;=1,INDEX($F$3:$F$86,$A3-'1. Inputs'!$B$17),0)</f>
        <v>0</v>
      </c>
      <c r="M3" s="23" t="str">
        <f aca="false">IF(F3&gt;0,H3/F3,"")</f>
        <v/>
      </c>
    </row>
    <row r="4" customFormat="false" ht="15" hidden="false" customHeight="false" outlineLevel="0" collapsed="false">
      <c r="A4" s="7" t="n">
        <v>2</v>
      </c>
      <c r="B4" s="22" t="n">
        <f aca="false">'2. Conversion'!F3*'2. Conversion'!J3*'2. Conversion'!N3</f>
        <v>0</v>
      </c>
      <c r="C4" s="22" t="n">
        <f aca="false">'2. Conversion'!G3*'2. Conversion'!K3*'2. Conversion'!O3</f>
        <v>0</v>
      </c>
      <c r="D4" s="22" t="n">
        <f aca="false">'2. Conversion'!H3*'2. Conversion'!L3*'2. Conversion'!P3</f>
        <v>0</v>
      </c>
      <c r="E4" s="22" t="n">
        <f aca="false">'2. Conversion'!I3*'2. Conversion'!M3*'2. Conversion'!Q3</f>
        <v>0</v>
      </c>
      <c r="F4" s="22" t="n">
        <f aca="false">SUM(B4:E4)</f>
        <v>0</v>
      </c>
      <c r="G4" s="22" t="n">
        <f aca="false">G3*(1-'1. Inputs'!$B$18)+L4</f>
        <v>0</v>
      </c>
      <c r="H4" s="22" t="n">
        <f aca="false">G4*'1. Inputs'!$B$18</f>
        <v>0</v>
      </c>
      <c r="I4" s="22" t="n">
        <f aca="false">F4-H4</f>
        <v>0</v>
      </c>
      <c r="J4" s="22" t="n">
        <f aca="false">J3+I4</f>
        <v>150000000</v>
      </c>
      <c r="K4" s="23" t="n">
        <f aca="false">IF(J3&gt;0,I4/J3*12,"")</f>
        <v>0</v>
      </c>
      <c r="L4" s="22" t="n">
        <f aca="false">IF($A4=MAX('1. Inputs'!$B$17,1),'1. Inputs'!$B$3,0)+IF($A4-'1. Inputs'!$B$17&gt;=1,INDEX($F$3:$F$86,$A4-'1. Inputs'!$B$17),0)</f>
        <v>0</v>
      </c>
      <c r="M4" s="23" t="str">
        <f aca="false">IF(F4&gt;0,H4/F4,"")</f>
        <v/>
      </c>
    </row>
    <row r="5" customFormat="false" ht="15" hidden="false" customHeight="false" outlineLevel="0" collapsed="false">
      <c r="A5" s="7" t="n">
        <v>3</v>
      </c>
      <c r="B5" s="22" t="n">
        <f aca="false">'2. Conversion'!F4*'2. Conversion'!J4*'2. Conversion'!N4</f>
        <v>0</v>
      </c>
      <c r="C5" s="22" t="n">
        <f aca="false">'2. Conversion'!G4*'2. Conversion'!K4*'2. Conversion'!O4</f>
        <v>0</v>
      </c>
      <c r="D5" s="22" t="n">
        <f aca="false">'2. Conversion'!H4*'2. Conversion'!L4*'2. Conversion'!P4</f>
        <v>0</v>
      </c>
      <c r="E5" s="22" t="n">
        <f aca="false">'2. Conversion'!I4*'2. Conversion'!M4*'2. Conversion'!Q4</f>
        <v>0</v>
      </c>
      <c r="F5" s="22" t="n">
        <f aca="false">SUM(B5:E5)</f>
        <v>0</v>
      </c>
      <c r="G5" s="22" t="n">
        <f aca="false">G4*(1-'1. Inputs'!$B$18)+L5</f>
        <v>0</v>
      </c>
      <c r="H5" s="22" t="n">
        <f aca="false">G5*'1. Inputs'!$B$18</f>
        <v>0</v>
      </c>
      <c r="I5" s="22" t="n">
        <f aca="false">F5-H5</f>
        <v>0</v>
      </c>
      <c r="J5" s="22" t="n">
        <f aca="false">J4+I5</f>
        <v>150000000</v>
      </c>
      <c r="K5" s="23" t="n">
        <f aca="false">IF(J4&gt;0,I5/J4*12,"")</f>
        <v>0</v>
      </c>
      <c r="L5" s="22" t="n">
        <f aca="false">IF($A5=MAX('1. Inputs'!$B$17,1),'1. Inputs'!$B$3,0)+IF($A5-'1. Inputs'!$B$17&gt;=1,INDEX($F$3:$F$86,$A5-'1. Inputs'!$B$17),0)</f>
        <v>0</v>
      </c>
      <c r="M5" s="23" t="str">
        <f aca="false">IF(F5&gt;0,H5/F5,"")</f>
        <v/>
      </c>
    </row>
    <row r="6" customFormat="false" ht="15" hidden="false" customHeight="false" outlineLevel="0" collapsed="false">
      <c r="A6" s="7" t="n">
        <v>4</v>
      </c>
      <c r="B6" s="22" t="n">
        <f aca="false">'2. Conversion'!F5*'2. Conversion'!J5*'2. Conversion'!N5</f>
        <v>0</v>
      </c>
      <c r="C6" s="22" t="n">
        <f aca="false">'2. Conversion'!G5*'2. Conversion'!K5*'2. Conversion'!O5</f>
        <v>0</v>
      </c>
      <c r="D6" s="22" t="n">
        <f aca="false">'2. Conversion'!H5*'2. Conversion'!L5*'2. Conversion'!P5</f>
        <v>0</v>
      </c>
      <c r="E6" s="22" t="n">
        <f aca="false">'2. Conversion'!I5*'2. Conversion'!M5*'2. Conversion'!Q5</f>
        <v>0</v>
      </c>
      <c r="F6" s="22" t="n">
        <f aca="false">SUM(B6:E6)</f>
        <v>0</v>
      </c>
      <c r="G6" s="22" t="n">
        <f aca="false">G5*(1-'1. Inputs'!$B$18)+L6</f>
        <v>0</v>
      </c>
      <c r="H6" s="22" t="n">
        <f aca="false">G6*'1. Inputs'!$B$18</f>
        <v>0</v>
      </c>
      <c r="I6" s="22" t="n">
        <f aca="false">F6-H6</f>
        <v>0</v>
      </c>
      <c r="J6" s="22" t="n">
        <f aca="false">J5+I6</f>
        <v>150000000</v>
      </c>
      <c r="K6" s="23" t="n">
        <f aca="false">IF(J5&gt;0,I6/J5*12,"")</f>
        <v>0</v>
      </c>
      <c r="L6" s="22" t="n">
        <f aca="false">IF($A6=MAX('1. Inputs'!$B$17,1),'1. Inputs'!$B$3,0)+IF($A6-'1. Inputs'!$B$17&gt;=1,INDEX($F$3:$F$86,$A6-'1. Inputs'!$B$17),0)</f>
        <v>0</v>
      </c>
      <c r="M6" s="23" t="str">
        <f aca="false">IF(F6&gt;0,H6/F6,"")</f>
        <v/>
      </c>
    </row>
    <row r="7" customFormat="false" ht="15" hidden="false" customHeight="false" outlineLevel="0" collapsed="false">
      <c r="A7" s="7" t="n">
        <v>5</v>
      </c>
      <c r="B7" s="22" t="n">
        <f aca="false">'2. Conversion'!F6*'2. Conversion'!J6*'2. Conversion'!N6</f>
        <v>0</v>
      </c>
      <c r="C7" s="22" t="n">
        <f aca="false">'2. Conversion'!G6*'2. Conversion'!K6*'2. Conversion'!O6</f>
        <v>0</v>
      </c>
      <c r="D7" s="22" t="n">
        <f aca="false">'2. Conversion'!H6*'2. Conversion'!L6*'2. Conversion'!P6</f>
        <v>0</v>
      </c>
      <c r="E7" s="22" t="n">
        <f aca="false">'2. Conversion'!I6*'2. Conversion'!M6*'2. Conversion'!Q6</f>
        <v>0</v>
      </c>
      <c r="F7" s="22" t="n">
        <f aca="false">SUM(B7:E7)</f>
        <v>0</v>
      </c>
      <c r="G7" s="22" t="n">
        <f aca="false">G6*(1-'1. Inputs'!$B$18)+L7</f>
        <v>0</v>
      </c>
      <c r="H7" s="22" t="n">
        <f aca="false">G7*'1. Inputs'!$B$18</f>
        <v>0</v>
      </c>
      <c r="I7" s="22" t="n">
        <f aca="false">F7-H7</f>
        <v>0</v>
      </c>
      <c r="J7" s="22" t="n">
        <f aca="false">J6+I7</f>
        <v>150000000</v>
      </c>
      <c r="K7" s="23" t="n">
        <f aca="false">IF(J6&gt;0,I7/J6*12,"")</f>
        <v>0</v>
      </c>
      <c r="L7" s="22" t="n">
        <f aca="false">IF($A7=MAX('1. Inputs'!$B$17,1),'1. Inputs'!$B$3,0)+IF($A7-'1. Inputs'!$B$17&gt;=1,INDEX($F$3:$F$86,$A7-'1. Inputs'!$B$17),0)</f>
        <v>0</v>
      </c>
      <c r="M7" s="23" t="str">
        <f aca="false">IF(F7&gt;0,H7/F7,"")</f>
        <v/>
      </c>
    </row>
    <row r="8" customFormat="false" ht="15" hidden="false" customHeight="false" outlineLevel="0" collapsed="false">
      <c r="A8" s="7" t="n">
        <v>6</v>
      </c>
      <c r="B8" s="22" t="n">
        <f aca="false">'2. Conversion'!F7*'2. Conversion'!J7*'2. Conversion'!N7</f>
        <v>0</v>
      </c>
      <c r="C8" s="22" t="n">
        <f aca="false">'2. Conversion'!G7*'2. Conversion'!K7*'2. Conversion'!O7</f>
        <v>0</v>
      </c>
      <c r="D8" s="22" t="n">
        <f aca="false">'2. Conversion'!H7*'2. Conversion'!L7*'2. Conversion'!P7</f>
        <v>0</v>
      </c>
      <c r="E8" s="22" t="n">
        <f aca="false">'2. Conversion'!I7*'2. Conversion'!M7*'2. Conversion'!Q7</f>
        <v>0</v>
      </c>
      <c r="F8" s="22" t="n">
        <f aca="false">SUM(B8:E8)</f>
        <v>0</v>
      </c>
      <c r="G8" s="22" t="n">
        <f aca="false">G7*(1-'1. Inputs'!$B$18)+L8</f>
        <v>0</v>
      </c>
      <c r="H8" s="22" t="n">
        <f aca="false">G8*'1. Inputs'!$B$18</f>
        <v>0</v>
      </c>
      <c r="I8" s="22" t="n">
        <f aca="false">F8-H8</f>
        <v>0</v>
      </c>
      <c r="J8" s="22" t="n">
        <f aca="false">J7+I8</f>
        <v>150000000</v>
      </c>
      <c r="K8" s="23" t="n">
        <f aca="false">IF(J7&gt;0,I8/J7*12,"")</f>
        <v>0</v>
      </c>
      <c r="L8" s="22" t="n">
        <f aca="false">IF($A8=MAX('1. Inputs'!$B$17,1),'1. Inputs'!$B$3,0)+IF($A8-'1. Inputs'!$B$17&gt;=1,INDEX($F$3:$F$86,$A8-'1. Inputs'!$B$17),0)</f>
        <v>0</v>
      </c>
      <c r="M8" s="23" t="str">
        <f aca="false">IF(F8&gt;0,H8/F8,"")</f>
        <v/>
      </c>
    </row>
    <row r="9" customFormat="false" ht="15" hidden="false" customHeight="false" outlineLevel="0" collapsed="false">
      <c r="A9" s="7" t="n">
        <v>7</v>
      </c>
      <c r="B9" s="22" t="n">
        <f aca="false">'2. Conversion'!F8*'2. Conversion'!J8*'2. Conversion'!N8</f>
        <v>22032</v>
      </c>
      <c r="C9" s="22" t="n">
        <f aca="false">'2. Conversion'!G8*'2. Conversion'!K8*'2. Conversion'!O8</f>
        <v>0</v>
      </c>
      <c r="D9" s="22" t="n">
        <f aca="false">'2. Conversion'!H8*'2. Conversion'!L8*'2. Conversion'!P8</f>
        <v>0</v>
      </c>
      <c r="E9" s="22" t="n">
        <f aca="false">'2. Conversion'!I8*'2. Conversion'!M8*'2. Conversion'!Q8</f>
        <v>0</v>
      </c>
      <c r="F9" s="22" t="n">
        <f aca="false">SUM(B9:E9)</f>
        <v>22032</v>
      </c>
      <c r="G9" s="22" t="n">
        <f aca="false">G8*(1-'1. Inputs'!$B$18)+L9</f>
        <v>0</v>
      </c>
      <c r="H9" s="22" t="n">
        <f aca="false">G9*'1. Inputs'!$B$18</f>
        <v>0</v>
      </c>
      <c r="I9" s="22" t="n">
        <f aca="false">F9-H9</f>
        <v>22032</v>
      </c>
      <c r="J9" s="22" t="n">
        <f aca="false">J8+I9</f>
        <v>150022032</v>
      </c>
      <c r="K9" s="23" t="n">
        <f aca="false">IF(J8&gt;0,I9/J8*12,"")</f>
        <v>0.00176256</v>
      </c>
      <c r="L9" s="22" t="n">
        <f aca="false">IF($A9=MAX('1. Inputs'!$B$17,1),'1. Inputs'!$B$3,0)+IF($A9-'1. Inputs'!$B$17&gt;=1,INDEX($F$3:$F$86,$A9-'1. Inputs'!$B$17),0)</f>
        <v>0</v>
      </c>
      <c r="M9" s="23" t="n">
        <f aca="false">IF(F9&gt;0,H9/F9,"")</f>
        <v>0</v>
      </c>
    </row>
    <row r="10" customFormat="false" ht="15" hidden="false" customHeight="false" outlineLevel="0" collapsed="false">
      <c r="A10" s="7" t="n">
        <v>8</v>
      </c>
      <c r="B10" s="22" t="n">
        <f aca="false">'2. Conversion'!F9*'2. Conversion'!J9*'2. Conversion'!N9</f>
        <v>96198.7764705882</v>
      </c>
      <c r="C10" s="22" t="n">
        <f aca="false">'2. Conversion'!G9*'2. Conversion'!K9*'2. Conversion'!O9</f>
        <v>0</v>
      </c>
      <c r="D10" s="22" t="n">
        <f aca="false">'2. Conversion'!H9*'2. Conversion'!L9*'2. Conversion'!P9</f>
        <v>0</v>
      </c>
      <c r="E10" s="22" t="n">
        <f aca="false">'2. Conversion'!I9*'2. Conversion'!M9*'2. Conversion'!Q9</f>
        <v>0</v>
      </c>
      <c r="F10" s="22" t="n">
        <f aca="false">SUM(B10:E10)</f>
        <v>96198.7764705882</v>
      </c>
      <c r="G10" s="22" t="n">
        <f aca="false">G9*(1-'1. Inputs'!$B$18)+L10</f>
        <v>0</v>
      </c>
      <c r="H10" s="22" t="n">
        <f aca="false">G10*'1. Inputs'!$B$18</f>
        <v>0</v>
      </c>
      <c r="I10" s="22" t="n">
        <f aca="false">F10-H10</f>
        <v>96198.7764705882</v>
      </c>
      <c r="J10" s="22" t="n">
        <f aca="false">J9+I10</f>
        <v>150118230.776471</v>
      </c>
      <c r="K10" s="23" t="n">
        <f aca="false">IF(J9&gt;0,I10/J9*12,"")</f>
        <v>0.00769477190954898</v>
      </c>
      <c r="L10" s="22" t="n">
        <f aca="false">IF($A10=MAX('1. Inputs'!$B$17,1),'1. Inputs'!$B$3,0)+IF($A10-'1. Inputs'!$B$17&gt;=1,INDEX($F$3:$F$86,$A10-'1. Inputs'!$B$17),0)</f>
        <v>0</v>
      </c>
      <c r="M10" s="23" t="n">
        <f aca="false">IF(F10&gt;0,H10/F10,"")</f>
        <v>0</v>
      </c>
    </row>
    <row r="11" customFormat="false" ht="15" hidden="false" customHeight="false" outlineLevel="0" collapsed="false">
      <c r="A11" s="7" t="n">
        <v>9</v>
      </c>
      <c r="B11" s="22" t="n">
        <f aca="false">'2. Conversion'!F10*'2. Conversion'!J10*'2. Conversion'!N10</f>
        <v>224380.8</v>
      </c>
      <c r="C11" s="22" t="n">
        <f aca="false">'2. Conversion'!G10*'2. Conversion'!K10*'2. Conversion'!O10</f>
        <v>0</v>
      </c>
      <c r="D11" s="22" t="n">
        <f aca="false">'2. Conversion'!H10*'2. Conversion'!L10*'2. Conversion'!P10</f>
        <v>0</v>
      </c>
      <c r="E11" s="22" t="n">
        <f aca="false">'2. Conversion'!I10*'2. Conversion'!M10*'2. Conversion'!Q10</f>
        <v>0</v>
      </c>
      <c r="F11" s="22" t="n">
        <f aca="false">SUM(B11:E11)</f>
        <v>224380.8</v>
      </c>
      <c r="G11" s="22" t="n">
        <f aca="false">G10*(1-'1. Inputs'!$B$18)+L11</f>
        <v>0</v>
      </c>
      <c r="H11" s="22" t="n">
        <f aca="false">G11*'1. Inputs'!$B$18</f>
        <v>0</v>
      </c>
      <c r="I11" s="22" t="n">
        <f aca="false">F11-H11</f>
        <v>224380.8</v>
      </c>
      <c r="J11" s="22" t="n">
        <f aca="false">J10+I11</f>
        <v>150342611.576471</v>
      </c>
      <c r="K11" s="23" t="n">
        <f aca="false">IF(J10&gt;0,I11/J10*12,"")</f>
        <v>0.0179363264946101</v>
      </c>
      <c r="L11" s="22" t="n">
        <f aca="false">IF($A11=MAX('1. Inputs'!$B$17,1),'1. Inputs'!$B$3,0)+IF($A11-'1. Inputs'!$B$17&gt;=1,INDEX($F$3:$F$86,$A11-'1. Inputs'!$B$17),0)</f>
        <v>0</v>
      </c>
      <c r="M11" s="23" t="n">
        <f aca="false">IF(F11&gt;0,H11/F11,"")</f>
        <v>0</v>
      </c>
    </row>
    <row r="12" customFormat="false" ht="15" hidden="false" customHeight="false" outlineLevel="0" collapsed="false">
      <c r="A12" s="7" t="n">
        <v>10</v>
      </c>
      <c r="B12" s="22" t="n">
        <f aca="false">'2. Conversion'!F11*'2. Conversion'!J11*'2. Conversion'!N11</f>
        <v>398644.255670103</v>
      </c>
      <c r="C12" s="22" t="n">
        <f aca="false">'2. Conversion'!G11*'2. Conversion'!K11*'2. Conversion'!O11</f>
        <v>0</v>
      </c>
      <c r="D12" s="22" t="n">
        <f aca="false">'2. Conversion'!H11*'2. Conversion'!L11*'2. Conversion'!P11</f>
        <v>0</v>
      </c>
      <c r="E12" s="22" t="n">
        <f aca="false">'2. Conversion'!I11*'2. Conversion'!M11*'2. Conversion'!Q11</f>
        <v>0</v>
      </c>
      <c r="F12" s="22" t="n">
        <f aca="false">SUM(B12:E12)</f>
        <v>398644.255670103</v>
      </c>
      <c r="G12" s="22" t="n">
        <f aca="false">G11*(1-'1. Inputs'!$B$18)+L12</f>
        <v>0</v>
      </c>
      <c r="H12" s="22" t="n">
        <f aca="false">G12*'1. Inputs'!$B$18</f>
        <v>0</v>
      </c>
      <c r="I12" s="22" t="n">
        <f aca="false">F12-H12</f>
        <v>398644.255670103</v>
      </c>
      <c r="J12" s="22" t="n">
        <f aca="false">J11+I12</f>
        <v>150741255.832141</v>
      </c>
      <c r="K12" s="23" t="n">
        <f aca="false">IF(J11&gt;0,I12/J11*12,"")</f>
        <v>0.0318188637132197</v>
      </c>
      <c r="L12" s="22" t="n">
        <f aca="false">IF($A12=MAX('1. Inputs'!$B$17,1),'1. Inputs'!$B$3,0)+IF($A12-'1. Inputs'!$B$17&gt;=1,INDEX($F$3:$F$86,$A12-'1. Inputs'!$B$17),0)</f>
        <v>0</v>
      </c>
      <c r="M12" s="23" t="n">
        <f aca="false">IF(F12&gt;0,H12/F12,"")</f>
        <v>0</v>
      </c>
    </row>
    <row r="13" customFormat="false" ht="15" hidden="false" customHeight="false" outlineLevel="0" collapsed="false">
      <c r="A13" s="7" t="n">
        <v>11</v>
      </c>
      <c r="B13" s="22" t="n">
        <f aca="false">'2. Conversion'!F12*'2. Conversion'!J12*'2. Conversion'!N12</f>
        <v>606226.41509434</v>
      </c>
      <c r="C13" s="22" t="n">
        <f aca="false">'2. Conversion'!G12*'2. Conversion'!K12*'2. Conversion'!O12</f>
        <v>0</v>
      </c>
      <c r="D13" s="22" t="n">
        <f aca="false">'2. Conversion'!H12*'2. Conversion'!L12*'2. Conversion'!P12</f>
        <v>0</v>
      </c>
      <c r="E13" s="22" t="n">
        <f aca="false">'2. Conversion'!I12*'2. Conversion'!M12*'2. Conversion'!Q12</f>
        <v>0</v>
      </c>
      <c r="F13" s="22" t="n">
        <f aca="false">SUM(B13:E13)</f>
        <v>606226.41509434</v>
      </c>
      <c r="G13" s="22" t="n">
        <f aca="false">G12*(1-'1. Inputs'!$B$18)+L13</f>
        <v>0</v>
      </c>
      <c r="H13" s="22" t="n">
        <f aca="false">G13*'1. Inputs'!$B$18</f>
        <v>0</v>
      </c>
      <c r="I13" s="22" t="n">
        <f aca="false">F13-H13</f>
        <v>606226.41509434</v>
      </c>
      <c r="J13" s="22" t="n">
        <f aca="false">J12+I13</f>
        <v>151347482.247235</v>
      </c>
      <c r="K13" s="23" t="n">
        <f aca="false">IF(J12&gt;0,I13/J12*12,"")</f>
        <v>0.0482596283344813</v>
      </c>
      <c r="L13" s="22" t="n">
        <f aca="false">IF($A13=MAX('1. Inputs'!$B$17,1),'1. Inputs'!$B$3,0)+IF($A13-'1. Inputs'!$B$17&gt;=1,INDEX($F$3:$F$86,$A13-'1. Inputs'!$B$17),0)</f>
        <v>0</v>
      </c>
      <c r="M13" s="23" t="n">
        <f aca="false">IF(F13&gt;0,H13/F13,"")</f>
        <v>0</v>
      </c>
    </row>
    <row r="14" customFormat="false" ht="15" hidden="false" customHeight="false" outlineLevel="0" collapsed="false">
      <c r="A14" s="7" t="n">
        <v>12</v>
      </c>
      <c r="B14" s="22" t="n">
        <f aca="false">'2. Conversion'!F13*'2. Conversion'!J13*'2. Conversion'!N13</f>
        <v>833693.538461539</v>
      </c>
      <c r="C14" s="22" t="n">
        <f aca="false">'2. Conversion'!G13*'2. Conversion'!K13*'2. Conversion'!O13</f>
        <v>29376</v>
      </c>
      <c r="D14" s="22" t="n">
        <f aca="false">'2. Conversion'!H13*'2. Conversion'!L13*'2. Conversion'!P13</f>
        <v>0</v>
      </c>
      <c r="E14" s="22" t="n">
        <f aca="false">'2. Conversion'!I13*'2. Conversion'!M13*'2. Conversion'!Q13</f>
        <v>0</v>
      </c>
      <c r="F14" s="22" t="n">
        <f aca="false">SUM(B14:E14)</f>
        <v>863069.538461539</v>
      </c>
      <c r="G14" s="22" t="n">
        <f aca="false">G13*(1-'1. Inputs'!$B$18)+L14</f>
        <v>150000000</v>
      </c>
      <c r="H14" s="22" t="n">
        <f aca="false">G14*'1. Inputs'!$B$18</f>
        <v>1500000</v>
      </c>
      <c r="I14" s="22" t="n">
        <f aca="false">F14-H14</f>
        <v>-636930.461538461</v>
      </c>
      <c r="J14" s="22" t="n">
        <f aca="false">J13+I14</f>
        <v>150710551.785697</v>
      </c>
      <c r="K14" s="23" t="n">
        <f aca="false">IF(J13&gt;0,I14/J13*12,"")</f>
        <v>-0.0505007775813275</v>
      </c>
      <c r="L14" s="22" t="n">
        <f aca="false">IF($A14=MAX('1. Inputs'!$B$17,1),'1. Inputs'!$B$3,0)+IF($A14-'1. Inputs'!$B$17&gt;=1,INDEX($F$3:$F$86,$A14-'1. Inputs'!$B$17),0)</f>
        <v>150000000</v>
      </c>
      <c r="M14" s="23" t="n">
        <f aca="false">IF(F14&gt;0,H14/F14,"")</f>
        <v>1.73798278487944</v>
      </c>
    </row>
    <row r="15" customFormat="false" ht="15" hidden="false" customHeight="false" outlineLevel="0" collapsed="false">
      <c r="A15" s="7" t="n">
        <v>13</v>
      </c>
      <c r="B15" s="22" t="n">
        <f aca="false">'2. Conversion'!F14*'2. Conversion'!J14*'2. Conversion'!N14</f>
        <v>1069497.54319527</v>
      </c>
      <c r="C15" s="22" t="n">
        <f aca="false">'2. Conversion'!G14*'2. Conversion'!K14*'2. Conversion'!O14</f>
        <v>128265.035294118</v>
      </c>
      <c r="D15" s="22" t="n">
        <f aca="false">'2. Conversion'!H14*'2. Conversion'!L14*'2. Conversion'!P14</f>
        <v>0</v>
      </c>
      <c r="E15" s="22" t="n">
        <f aca="false">'2. Conversion'!I14*'2. Conversion'!M14*'2. Conversion'!Q14</f>
        <v>0</v>
      </c>
      <c r="F15" s="22" t="n">
        <f aca="false">SUM(B15:E15)</f>
        <v>1197762.57848938</v>
      </c>
      <c r="G15" s="22" t="n">
        <f aca="false">G14*(1-'1. Inputs'!$B$18)+L15</f>
        <v>148500000</v>
      </c>
      <c r="H15" s="22" t="n">
        <f aca="false">G15*'1. Inputs'!$B$18</f>
        <v>1485000</v>
      </c>
      <c r="I15" s="22" t="n">
        <f aca="false">F15-H15</f>
        <v>-287237.421510616</v>
      </c>
      <c r="J15" s="22" t="n">
        <f aca="false">J14+I15</f>
        <v>150423314.364186</v>
      </c>
      <c r="K15" s="23" t="n">
        <f aca="false">IF(J14&gt;0,I15/J14*12,"")</f>
        <v>-0.0228706551551125</v>
      </c>
      <c r="L15" s="22" t="n">
        <f aca="false">IF($A15=MAX('1. Inputs'!$B$17,1),'1. Inputs'!$B$3,0)+IF($A15-'1. Inputs'!$B$17&gt;=1,INDEX($F$3:$F$86,$A15-'1. Inputs'!$B$17),0)</f>
        <v>0</v>
      </c>
      <c r="M15" s="23" t="n">
        <f aca="false">IF(F15&gt;0,H15/F15,"")</f>
        <v>1.23981165104764</v>
      </c>
    </row>
    <row r="16" customFormat="false" ht="15" hidden="false" customHeight="false" outlineLevel="0" collapsed="false">
      <c r="A16" s="7" t="n">
        <v>14</v>
      </c>
      <c r="B16" s="22" t="n">
        <f aca="false">'2. Conversion'!F15*'2. Conversion'!J15*'2. Conversion'!N15</f>
        <v>1304985.6</v>
      </c>
      <c r="C16" s="22" t="n">
        <f aca="false">'2. Conversion'!G15*'2. Conversion'!K15*'2. Conversion'!O15</f>
        <v>299174.4</v>
      </c>
      <c r="D16" s="22" t="n">
        <f aca="false">'2. Conversion'!H15*'2. Conversion'!L15*'2. Conversion'!P15</f>
        <v>0</v>
      </c>
      <c r="E16" s="22" t="n">
        <f aca="false">'2. Conversion'!I15*'2. Conversion'!M15*'2. Conversion'!Q15</f>
        <v>0</v>
      </c>
      <c r="F16" s="22" t="n">
        <f aca="false">SUM(B16:E16)</f>
        <v>1604160</v>
      </c>
      <c r="G16" s="22" t="n">
        <f aca="false">G15*(1-'1. Inputs'!$B$18)+L16</f>
        <v>147015000</v>
      </c>
      <c r="H16" s="22" t="n">
        <f aca="false">G16*'1. Inputs'!$B$18</f>
        <v>1470150</v>
      </c>
      <c r="I16" s="22" t="n">
        <f aca="false">F16-H16</f>
        <v>134010</v>
      </c>
      <c r="J16" s="22" t="n">
        <f aca="false">J15+I16</f>
        <v>150557324.364186</v>
      </c>
      <c r="K16" s="23" t="n">
        <f aca="false">IF(J15&gt;0,I16/J15*12,"")</f>
        <v>0.0106906300183403</v>
      </c>
      <c r="L16" s="22" t="n">
        <f aca="false">IF($A16=MAX('1. Inputs'!$B$17,1),'1. Inputs'!$B$3,0)+IF($A16-'1. Inputs'!$B$17&gt;=1,INDEX($F$3:$F$86,$A16-'1. Inputs'!$B$17),0)</f>
        <v>0</v>
      </c>
      <c r="M16" s="23" t="n">
        <f aca="false">IF(F16&gt;0,H16/F16,"")</f>
        <v>0.916460951526032</v>
      </c>
    </row>
    <row r="17" customFormat="false" ht="15" hidden="false" customHeight="false" outlineLevel="0" collapsed="false">
      <c r="A17" s="7" t="n">
        <v>15</v>
      </c>
      <c r="B17" s="22" t="n">
        <f aca="false">'2. Conversion'!F16*'2. Conversion'!J16*'2. Conversion'!N16</f>
        <v>1534377.6</v>
      </c>
      <c r="C17" s="22" t="n">
        <f aca="false">'2. Conversion'!G16*'2. Conversion'!K16*'2. Conversion'!O16</f>
        <v>531525.674226804</v>
      </c>
      <c r="D17" s="22" t="n">
        <f aca="false">'2. Conversion'!H16*'2. Conversion'!L16*'2. Conversion'!P16</f>
        <v>0</v>
      </c>
      <c r="E17" s="22" t="n">
        <f aca="false">'2. Conversion'!I16*'2. Conversion'!M16*'2. Conversion'!Q16</f>
        <v>0</v>
      </c>
      <c r="F17" s="22" t="n">
        <f aca="false">SUM(B17:E17)</f>
        <v>2065903.2742268</v>
      </c>
      <c r="G17" s="22" t="n">
        <f aca="false">G16*(1-'1. Inputs'!$B$18)+L17</f>
        <v>145544850</v>
      </c>
      <c r="H17" s="22" t="n">
        <f aca="false">G17*'1. Inputs'!$B$18</f>
        <v>1455448.5</v>
      </c>
      <c r="I17" s="22" t="n">
        <f aca="false">F17-H17</f>
        <v>610454.774226804</v>
      </c>
      <c r="J17" s="22" t="n">
        <f aca="false">J16+I17</f>
        <v>151167779.138413</v>
      </c>
      <c r="K17" s="23" t="n">
        <f aca="false">IF(J16&gt;0,I17/J16*12,"")</f>
        <v>0.0486556022542083</v>
      </c>
      <c r="L17" s="22" t="n">
        <f aca="false">IF($A17=MAX('1. Inputs'!$B$17,1),'1. Inputs'!$B$3,0)+IF($A17-'1. Inputs'!$B$17&gt;=1,INDEX($F$3:$F$86,$A17-'1. Inputs'!$B$17),0)</f>
        <v>0</v>
      </c>
      <c r="M17" s="23" t="n">
        <f aca="false">IF(F17&gt;0,H17/F17,"")</f>
        <v>0.704509508338295</v>
      </c>
    </row>
    <row r="18" customFormat="false" ht="15" hidden="false" customHeight="false" outlineLevel="0" collapsed="false">
      <c r="A18" s="7" t="n">
        <v>16</v>
      </c>
      <c r="B18" s="22" t="n">
        <f aca="false">'2. Conversion'!F17*'2. Conversion'!J17*'2. Conversion'!N17</f>
        <v>1754254.14364641</v>
      </c>
      <c r="C18" s="22" t="n">
        <f aca="false">'2. Conversion'!G17*'2. Conversion'!K17*'2. Conversion'!O17</f>
        <v>808301.886792453</v>
      </c>
      <c r="D18" s="22" t="n">
        <f aca="false">'2. Conversion'!H17*'2. Conversion'!L17*'2. Conversion'!P17</f>
        <v>0</v>
      </c>
      <c r="E18" s="22" t="n">
        <f aca="false">'2. Conversion'!I17*'2. Conversion'!M17*'2. Conversion'!Q17</f>
        <v>0</v>
      </c>
      <c r="F18" s="22" t="n">
        <f aca="false">SUM(B18:E18)</f>
        <v>2562556.03043886</v>
      </c>
      <c r="G18" s="22" t="n">
        <f aca="false">G17*(1-'1. Inputs'!$B$18)+L18</f>
        <v>144089401.5</v>
      </c>
      <c r="H18" s="22" t="n">
        <f aca="false">G18*'1. Inputs'!$B$18</f>
        <v>1440894.015</v>
      </c>
      <c r="I18" s="22" t="n">
        <f aca="false">F18-H18</f>
        <v>1121662.01543886</v>
      </c>
      <c r="J18" s="22" t="n">
        <f aca="false">J17+I18</f>
        <v>152289441.153852</v>
      </c>
      <c r="K18" s="23" t="n">
        <f aca="false">IF(J17&gt;0,I18/J17*12,"")</f>
        <v>0.0890397693343242</v>
      </c>
      <c r="L18" s="22" t="n">
        <f aca="false">IF($A18=MAX('1. Inputs'!$B$17,1),'1. Inputs'!$B$3,0)+IF($A18-'1. Inputs'!$B$17&gt;=1,INDEX($F$3:$F$86,$A18-'1. Inputs'!$B$17),0)</f>
        <v>0</v>
      </c>
      <c r="M18" s="23" t="n">
        <f aca="false">IF(F18&gt;0,H18/F18,"")</f>
        <v>0.562287808689683</v>
      </c>
    </row>
    <row r="19" customFormat="false" ht="15" hidden="false" customHeight="false" outlineLevel="0" collapsed="false">
      <c r="A19" s="7" t="n">
        <v>17</v>
      </c>
      <c r="B19" s="22" t="n">
        <f aca="false">'2. Conversion'!F18*'2. Conversion'!J18*'2. Conversion'!N18</f>
        <v>1962924.71986022</v>
      </c>
      <c r="C19" s="22" t="n">
        <f aca="false">'2. Conversion'!G18*'2. Conversion'!K18*'2. Conversion'!O18</f>
        <v>1111591.38461538</v>
      </c>
      <c r="D19" s="22" t="n">
        <f aca="false">'2. Conversion'!H18*'2. Conversion'!L18*'2. Conversion'!P18</f>
        <v>12852</v>
      </c>
      <c r="E19" s="22" t="n">
        <f aca="false">'2. Conversion'!I18*'2. Conversion'!M18*'2. Conversion'!Q18</f>
        <v>0</v>
      </c>
      <c r="F19" s="22" t="n">
        <f aca="false">SUM(B19:E19)</f>
        <v>3087368.10447561</v>
      </c>
      <c r="G19" s="22" t="n">
        <f aca="false">G18*(1-'1. Inputs'!$B$18)+L19</f>
        <v>142648507.485</v>
      </c>
      <c r="H19" s="22" t="n">
        <f aca="false">G19*'1. Inputs'!$B$18</f>
        <v>1426485.07485</v>
      </c>
      <c r="I19" s="22" t="n">
        <f aca="false">F19-H19</f>
        <v>1660883.02962561</v>
      </c>
      <c r="J19" s="22" t="n">
        <f aca="false">J18+I19</f>
        <v>153950324.183477</v>
      </c>
      <c r="K19" s="23" t="n">
        <f aca="false">IF(J18&gt;0,I19/J18*12,"")</f>
        <v>0.13087313345232</v>
      </c>
      <c r="L19" s="22" t="n">
        <f aca="false">IF($A19=MAX('1. Inputs'!$B$17,1),'1. Inputs'!$B$3,0)+IF($A19-'1. Inputs'!$B$17&gt;=1,INDEX($F$3:$F$86,$A19-'1. Inputs'!$B$17),0)</f>
        <v>0</v>
      </c>
      <c r="M19" s="23" t="n">
        <f aca="false">IF(F19&gt;0,H19/F19,"")</f>
        <v>0.462039195385252</v>
      </c>
    </row>
    <row r="20" customFormat="false" ht="15" hidden="false" customHeight="false" outlineLevel="0" collapsed="false">
      <c r="A20" s="7" t="n">
        <v>18</v>
      </c>
      <c r="B20" s="22" t="n">
        <f aca="false">'2. Conversion'!F19*'2. Conversion'!J19*'2. Conversion'!N19</f>
        <v>2159861.76</v>
      </c>
      <c r="C20" s="22" t="n">
        <f aca="false">'2. Conversion'!G19*'2. Conversion'!K19*'2. Conversion'!O19</f>
        <v>1425996.72426036</v>
      </c>
      <c r="D20" s="22" t="n">
        <f aca="false">'2. Conversion'!H19*'2. Conversion'!L19*'2. Conversion'!P19</f>
        <v>56115.9529411765</v>
      </c>
      <c r="E20" s="22" t="n">
        <f aca="false">'2. Conversion'!I19*'2. Conversion'!M19*'2. Conversion'!Q19</f>
        <v>9180</v>
      </c>
      <c r="F20" s="22" t="n">
        <f aca="false">SUM(B20:E20)</f>
        <v>3651154.43720153</v>
      </c>
      <c r="G20" s="22" t="n">
        <f aca="false">G19*(1-'1. Inputs'!$B$18)+L20</f>
        <v>141222022.41015</v>
      </c>
      <c r="H20" s="22" t="n">
        <f aca="false">G20*'1. Inputs'!$B$18</f>
        <v>1412220.2241015</v>
      </c>
      <c r="I20" s="22" t="n">
        <f aca="false">F20-H20</f>
        <v>2238934.21310003</v>
      </c>
      <c r="J20" s="22" t="n">
        <f aca="false">J19+I20</f>
        <v>156189258.396577</v>
      </c>
      <c r="K20" s="23" t="n">
        <f aca="false">IF(J19&gt;0,I20/J19*12,"")</f>
        <v>0.174518700754278</v>
      </c>
      <c r="L20" s="22" t="n">
        <f aca="false">IF($A20=MAX('1. Inputs'!$B$17,1),'1. Inputs'!$B$3,0)+IF($A20-'1. Inputs'!$B$17&gt;=1,INDEX($F$3:$F$86,$A20-'1. Inputs'!$B$17),0)</f>
        <v>0</v>
      </c>
      <c r="M20" s="23" t="n">
        <f aca="false">IF(F20&gt;0,H20/F20,"")</f>
        <v>0.386787315735653</v>
      </c>
    </row>
    <row r="21" customFormat="false" ht="15" hidden="false" customHeight="false" outlineLevel="0" collapsed="false">
      <c r="A21" s="7" t="n">
        <v>19</v>
      </c>
      <c r="B21" s="22" t="n">
        <f aca="false">'2. Conversion'!F20*'2. Conversion'!J20*'2. Conversion'!N20</f>
        <v>2345262.88168421</v>
      </c>
      <c r="C21" s="22" t="n">
        <f aca="false">'2. Conversion'!G20*'2. Conversion'!K20*'2. Conversion'!O20</f>
        <v>1739980.8</v>
      </c>
      <c r="D21" s="22" t="n">
        <f aca="false">'2. Conversion'!H20*'2. Conversion'!L20*'2. Conversion'!P20</f>
        <v>130888.8</v>
      </c>
      <c r="E21" s="22" t="n">
        <f aca="false">'2. Conversion'!I20*'2. Conversion'!M20*'2. Conversion'!Q20</f>
        <v>40082.8235294118</v>
      </c>
      <c r="F21" s="22" t="n">
        <f aca="false">SUM(B21:E21)</f>
        <v>4256215.30521362</v>
      </c>
      <c r="G21" s="22" t="n">
        <f aca="false">G20*(1-'1. Inputs'!$B$18)+L21</f>
        <v>139831834.186048</v>
      </c>
      <c r="H21" s="22" t="n">
        <f aca="false">G21*'1. Inputs'!$B$18</f>
        <v>1398318.34186048</v>
      </c>
      <c r="I21" s="22" t="n">
        <f aca="false">F21-H21</f>
        <v>2857896.96335314</v>
      </c>
      <c r="J21" s="22" t="n">
        <f aca="false">J20+I21</f>
        <v>159047155.35993</v>
      </c>
      <c r="K21" s="23" t="n">
        <f aca="false">IF(J20&gt;0,I21/J20*12,"")</f>
        <v>0.219571844519298</v>
      </c>
      <c r="L21" s="22" t="n">
        <f aca="false">IF($A21=MAX('1. Inputs'!$B$17,1),'1. Inputs'!$B$3,0)+IF($A21-'1. Inputs'!$B$17&gt;=1,INDEX($F$3:$F$86,$A21-'1. Inputs'!$B$17),0)</f>
        <v>22032</v>
      </c>
      <c r="M21" s="23" t="n">
        <f aca="false">IF(F21&gt;0,H21/F21,"")</f>
        <v>0.328535621811149</v>
      </c>
    </row>
    <row r="22" customFormat="false" ht="15" hidden="false" customHeight="false" outlineLevel="0" collapsed="false">
      <c r="A22" s="7" t="n">
        <v>20</v>
      </c>
      <c r="B22" s="22" t="n">
        <f aca="false">'2. Conversion'!F21*'2. Conversion'!J21*'2. Conversion'!N21</f>
        <v>2519740.90397112</v>
      </c>
      <c r="C22" s="22" t="n">
        <f aca="false">'2. Conversion'!G21*'2. Conversion'!K21*'2. Conversion'!O21</f>
        <v>2045836.8</v>
      </c>
      <c r="D22" s="22" t="n">
        <f aca="false">'2. Conversion'!H21*'2. Conversion'!L21*'2. Conversion'!P21</f>
        <v>232542.482474227</v>
      </c>
      <c r="E22" s="22" t="n">
        <f aca="false">'2. Conversion'!I21*'2. Conversion'!M21*'2. Conversion'!Q21</f>
        <v>93492</v>
      </c>
      <c r="F22" s="22" t="n">
        <f aca="false">SUM(B22:E22)</f>
        <v>4891612.18644535</v>
      </c>
      <c r="G22" s="22" t="n">
        <f aca="false">G21*(1-'1. Inputs'!$B$18)+L22</f>
        <v>138529714.620659</v>
      </c>
      <c r="H22" s="22" t="n">
        <f aca="false">G22*'1. Inputs'!$B$18</f>
        <v>1385297.14620659</v>
      </c>
      <c r="I22" s="22" t="n">
        <f aca="false">F22-H22</f>
        <v>3506315.04023876</v>
      </c>
      <c r="J22" s="22" t="n">
        <f aca="false">J21+I22</f>
        <v>162553470.400169</v>
      </c>
      <c r="K22" s="23" t="n">
        <f aca="false">IF(J21&gt;0,I22/J21*12,"")</f>
        <v>0.264549091668102</v>
      </c>
      <c r="L22" s="22" t="n">
        <f aca="false">IF($A22=MAX('1. Inputs'!$B$17,1),'1. Inputs'!$B$3,0)+IF($A22-'1. Inputs'!$B$17&gt;=1,INDEX($F$3:$F$86,$A22-'1. Inputs'!$B$17),0)</f>
        <v>96198.7764705882</v>
      </c>
      <c r="M22" s="23" t="n">
        <f aca="false">IF(F22&gt;0,H22/F22,"")</f>
        <v>0.283198482096607</v>
      </c>
    </row>
    <row r="23" customFormat="false" ht="15" hidden="false" customHeight="false" outlineLevel="0" collapsed="false">
      <c r="A23" s="7" t="n">
        <v>21</v>
      </c>
      <c r="B23" s="22" t="n">
        <f aca="false">'2. Conversion'!F22*'2. Conversion'!J22*'2. Conversion'!N22</f>
        <v>2684117.64705882</v>
      </c>
      <c r="C23" s="22" t="n">
        <f aca="false">'2. Conversion'!G22*'2. Conversion'!K22*'2. Conversion'!O22</f>
        <v>2339005.52486188</v>
      </c>
      <c r="D23" s="22" t="n">
        <f aca="false">'2. Conversion'!H22*'2. Conversion'!L22*'2. Conversion'!P22</f>
        <v>353632.075471698</v>
      </c>
      <c r="E23" s="22" t="n">
        <f aca="false">'2. Conversion'!I22*'2. Conversion'!M22*'2. Conversion'!Q22</f>
        <v>166101.773195876</v>
      </c>
      <c r="F23" s="22" t="n">
        <f aca="false">SUM(B23:E23)</f>
        <v>5542857.02058828</v>
      </c>
      <c r="G23" s="22" t="n">
        <f aca="false">G22*(1-'1. Inputs'!$B$18)+L23</f>
        <v>137368798.274452</v>
      </c>
      <c r="H23" s="22" t="n">
        <f aca="false">G23*'1. Inputs'!$B$18</f>
        <v>1373687.98274452</v>
      </c>
      <c r="I23" s="22" t="n">
        <f aca="false">F23-H23</f>
        <v>4169169.03784376</v>
      </c>
      <c r="J23" s="22" t="n">
        <f aca="false">J22+I23</f>
        <v>166722639.438013</v>
      </c>
      <c r="K23" s="23" t="n">
        <f aca="false">IF(J22&gt;0,I23/J22*12,"")</f>
        <v>0.307775824969856</v>
      </c>
      <c r="L23" s="22" t="n">
        <f aca="false">IF($A23=MAX('1. Inputs'!$B$17,1),'1. Inputs'!$B$3,0)+IF($A23-'1. Inputs'!$B$17&gt;=1,INDEX($F$3:$F$86,$A23-'1. Inputs'!$B$17),0)</f>
        <v>224380.8</v>
      </c>
      <c r="M23" s="23" t="n">
        <f aca="false">IF(F23&gt;0,H23/F23,"")</f>
        <v>0.247830311632092</v>
      </c>
    </row>
    <row r="24" customFormat="false" ht="15" hidden="false" customHeight="false" outlineLevel="0" collapsed="false">
      <c r="A24" s="7" t="n">
        <v>22</v>
      </c>
      <c r="B24" s="22" t="n">
        <f aca="false">'2. Conversion'!F23*'2. Conversion'!J23*'2. Conversion'!N23</f>
        <v>2839293.72106825</v>
      </c>
      <c r="C24" s="22" t="n">
        <f aca="false">'2. Conversion'!G23*'2. Conversion'!K23*'2. Conversion'!O23</f>
        <v>2617232.95981363</v>
      </c>
      <c r="D24" s="22" t="n">
        <f aca="false">'2. Conversion'!H23*'2. Conversion'!L23*'2. Conversion'!P23</f>
        <v>486321.230769231</v>
      </c>
      <c r="E24" s="22" t="n">
        <f aca="false">'2. Conversion'!I23*'2. Conversion'!M23*'2. Conversion'!Q23</f>
        <v>252594.339622641</v>
      </c>
      <c r="F24" s="22" t="n">
        <f aca="false">SUM(B24:E24)</f>
        <v>6195442.25127375</v>
      </c>
      <c r="G24" s="22" t="n">
        <f aca="false">G23*(1-'1. Inputs'!$B$18)+L24</f>
        <v>136393754.547378</v>
      </c>
      <c r="H24" s="22" t="n">
        <f aca="false">G24*'1. Inputs'!$B$18</f>
        <v>1363937.54547378</v>
      </c>
      <c r="I24" s="22" t="n">
        <f aca="false">F24-H24</f>
        <v>4831504.70579997</v>
      </c>
      <c r="J24" s="22" t="n">
        <f aca="false">J23+I24</f>
        <v>171554144.143813</v>
      </c>
      <c r="K24" s="23" t="n">
        <f aca="false">IF(J23&gt;0,I24/J23*12,"")</f>
        <v>0.347751551109265</v>
      </c>
      <c r="L24" s="22" t="n">
        <f aca="false">IF($A24=MAX('1. Inputs'!$B$17,1),'1. Inputs'!$B$3,0)+IF($A24-'1. Inputs'!$B$17&gt;=1,INDEX($F$3:$F$86,$A24-'1. Inputs'!$B$17),0)</f>
        <v>398644.255670103</v>
      </c>
      <c r="M24" s="23" t="n">
        <f aca="false">IF(F24&gt;0,H24/F24,"")</f>
        <v>0.220151764822496</v>
      </c>
    </row>
    <row r="25" customFormat="false" ht="15" hidden="false" customHeight="false" outlineLevel="0" collapsed="false">
      <c r="A25" s="7" t="n">
        <v>23</v>
      </c>
      <c r="B25" s="22" t="n">
        <f aca="false">'2. Conversion'!F24*'2. Conversion'!J24*'2. Conversion'!N24</f>
        <v>2986170.50622797</v>
      </c>
      <c r="C25" s="22" t="n">
        <f aca="false">'2. Conversion'!G24*'2. Conversion'!K24*'2. Conversion'!O24</f>
        <v>2879815.68</v>
      </c>
      <c r="D25" s="22" t="n">
        <f aca="false">'2. Conversion'!H24*'2. Conversion'!L24*'2. Conversion'!P24</f>
        <v>623873.566863905</v>
      </c>
      <c r="E25" s="22" t="n">
        <f aca="false">'2. Conversion'!I24*'2. Conversion'!M24*'2. Conversion'!Q24</f>
        <v>347372.307692308</v>
      </c>
      <c r="F25" s="22" t="n">
        <f aca="false">SUM(B25:E25)</f>
        <v>6837232.06078418</v>
      </c>
      <c r="G25" s="22" t="n">
        <f aca="false">G24*(1-'1. Inputs'!$B$18)+L25</f>
        <v>135636043.416998</v>
      </c>
      <c r="H25" s="22" t="n">
        <f aca="false">G25*'1. Inputs'!$B$18</f>
        <v>1356360.43416998</v>
      </c>
      <c r="I25" s="22" t="n">
        <f aca="false">F25-H25</f>
        <v>5480871.6266142</v>
      </c>
      <c r="J25" s="22" t="n">
        <f aca="false">J24+I25</f>
        <v>177035015.770427</v>
      </c>
      <c r="K25" s="23" t="n">
        <f aca="false">IF(J24&gt;0,I25/J24*12,"")</f>
        <v>0.383380184999993</v>
      </c>
      <c r="L25" s="22" t="n">
        <f aca="false">IF($A25=MAX('1. Inputs'!$B$17,1),'1. Inputs'!$B$3,0)+IF($A25-'1. Inputs'!$B$17&gt;=1,INDEX($F$3:$F$86,$A25-'1. Inputs'!$B$17),0)</f>
        <v>606226.41509434</v>
      </c>
      <c r="M25" s="23" t="n">
        <f aca="false">IF(F25&gt;0,H25/F25,"")</f>
        <v>0.198378586847967</v>
      </c>
    </row>
    <row r="26" customFormat="false" ht="15" hidden="false" customHeight="false" outlineLevel="0" collapsed="false">
      <c r="A26" s="7" t="n">
        <v>24</v>
      </c>
      <c r="B26" s="22" t="n">
        <f aca="false">'2. Conversion'!F25*'2. Conversion'!J25*'2. Conversion'!N25</f>
        <v>3125606.4</v>
      </c>
      <c r="C26" s="22" t="n">
        <f aca="false">'2. Conversion'!G25*'2. Conversion'!K25*'2. Conversion'!O25</f>
        <v>3127017.17557895</v>
      </c>
      <c r="D26" s="22" t="n">
        <f aca="false">'2. Conversion'!H25*'2. Conversion'!L25*'2. Conversion'!P25</f>
        <v>761241.6</v>
      </c>
      <c r="E26" s="22" t="n">
        <f aca="false">'2. Conversion'!I25*'2. Conversion'!M25*'2. Conversion'!Q25</f>
        <v>445623.976331361</v>
      </c>
      <c r="F26" s="22" t="n">
        <f aca="false">SUM(B26:E26)</f>
        <v>7459489.15191031</v>
      </c>
      <c r="G26" s="22" t="n">
        <f aca="false">G25*(1-'1. Inputs'!$B$18)+L26</f>
        <v>135142752.52129</v>
      </c>
      <c r="H26" s="22" t="n">
        <f aca="false">G26*'1. Inputs'!$B$18</f>
        <v>1351427.5252129</v>
      </c>
      <c r="I26" s="22" t="n">
        <f aca="false">F26-H26</f>
        <v>6108061.62669741</v>
      </c>
      <c r="J26" s="22" t="n">
        <f aca="false">J25+I26</f>
        <v>183143077.397125</v>
      </c>
      <c r="K26" s="23" t="n">
        <f aca="false">IF(J25&gt;0,I26/J25*12,"")</f>
        <v>0.414023966961528</v>
      </c>
      <c r="L26" s="22" t="n">
        <f aca="false">IF($A26=MAX('1. Inputs'!$B$17,1),'1. Inputs'!$B$3,0)+IF($A26-'1. Inputs'!$B$17&gt;=1,INDEX($F$3:$F$86,$A26-'1. Inputs'!$B$17),0)</f>
        <v>863069.538461539</v>
      </c>
      <c r="M26" s="23" t="n">
        <f aca="false">IF(F26&gt;0,H26/F26,"")</f>
        <v>0.181168910858569</v>
      </c>
    </row>
    <row r="27" customFormat="false" ht="15" hidden="false" customHeight="false" outlineLevel="0" collapsed="false">
      <c r="A27" s="7" t="n">
        <v>25</v>
      </c>
      <c r="B27" s="22" t="n">
        <f aca="false">'2. Conversion'!F26*'2. Conversion'!J26*'2. Conversion'!N26</f>
        <v>3211171.64307692</v>
      </c>
      <c r="C27" s="22" t="n">
        <f aca="false">'2. Conversion'!G26*'2. Conversion'!K26*'2. Conversion'!O26</f>
        <v>3359654.53862816</v>
      </c>
      <c r="D27" s="22" t="n">
        <f aca="false">'2. Conversion'!H26*'2. Conversion'!L26*'2. Conversion'!P26</f>
        <v>895053.6</v>
      </c>
      <c r="E27" s="22" t="n">
        <f aca="false">'2. Conversion'!I26*'2. Conversion'!M26*'2. Conversion'!Q26</f>
        <v>543744</v>
      </c>
      <c r="F27" s="22" t="n">
        <f aca="false">SUM(B27:E27)</f>
        <v>8009623.78170508</v>
      </c>
      <c r="G27" s="22" t="n">
        <f aca="false">G26*(1-'1. Inputs'!$B$18)+L27</f>
        <v>134989087.574566</v>
      </c>
      <c r="H27" s="22" t="n">
        <f aca="false">G27*'1. Inputs'!$B$18</f>
        <v>1349890.87574566</v>
      </c>
      <c r="I27" s="22" t="n">
        <f aca="false">F27-H27</f>
        <v>6659732.90595942</v>
      </c>
      <c r="J27" s="22" t="n">
        <f aca="false">J26+I27</f>
        <v>189802810.303084</v>
      </c>
      <c r="K27" s="23" t="n">
        <f aca="false">IF(J26&gt;0,I27/J26*12,"")</f>
        <v>0.436362629739058</v>
      </c>
      <c r="L27" s="22" t="n">
        <f aca="false">IF($A27=MAX('1. Inputs'!$B$17,1),'1. Inputs'!$B$3,0)+IF($A27-'1. Inputs'!$B$17&gt;=1,INDEX($F$3:$F$86,$A27-'1. Inputs'!$B$17),0)</f>
        <v>1197762.57848938</v>
      </c>
      <c r="M27" s="23" t="n">
        <f aca="false">IF(F27&gt;0,H27/F27,"")</f>
        <v>0.168533618124358</v>
      </c>
    </row>
    <row r="28" customFormat="false" ht="15" hidden="false" customHeight="false" outlineLevel="0" collapsed="false">
      <c r="A28" s="7" t="n">
        <v>26</v>
      </c>
      <c r="B28" s="22" t="n">
        <f aca="false">'2. Conversion'!F27*'2. Conversion'!J27*'2. Conversion'!N27</f>
        <v>3288533.50391812</v>
      </c>
      <c r="C28" s="22" t="n">
        <f aca="false">'2. Conversion'!G27*'2. Conversion'!K27*'2. Conversion'!O27</f>
        <v>3578823.52941177</v>
      </c>
      <c r="D28" s="22" t="n">
        <f aca="false">'2. Conversion'!H27*'2. Conversion'!L27*'2. Conversion'!P27</f>
        <v>1023314.91712707</v>
      </c>
      <c r="E28" s="22" t="n">
        <f aca="false">'2. Conversion'!I27*'2. Conversion'!M27*'2. Conversion'!Q27</f>
        <v>639324</v>
      </c>
      <c r="F28" s="22" t="n">
        <f aca="false">SUM(B28:E28)</f>
        <v>8529995.95045696</v>
      </c>
      <c r="G28" s="22" t="n">
        <f aca="false">G27*(1-'1. Inputs'!$B$18)+L28</f>
        <v>135243356.698821</v>
      </c>
      <c r="H28" s="22" t="n">
        <f aca="false">G28*'1. Inputs'!$B$18</f>
        <v>1352433.56698821</v>
      </c>
      <c r="I28" s="22" t="n">
        <f aca="false">F28-H28</f>
        <v>7177562.38346875</v>
      </c>
      <c r="J28" s="22" t="n">
        <f aca="false">J27+I28</f>
        <v>196980372.686553</v>
      </c>
      <c r="K28" s="23" t="n">
        <f aca="false">IF(J27&gt;0,I28/J27*12,"")</f>
        <v>0.453790691845333</v>
      </c>
      <c r="L28" s="22" t="n">
        <f aca="false">IF($A28=MAX('1. Inputs'!$B$17,1),'1. Inputs'!$B$3,0)+IF($A28-'1. Inputs'!$B$17&gt;=1,INDEX($F$3:$F$86,$A28-'1. Inputs'!$B$17),0)</f>
        <v>1604160</v>
      </c>
      <c r="M28" s="23" t="n">
        <f aca="false">IF(F28&gt;0,H28/F28,"")</f>
        <v>0.158550317590216</v>
      </c>
    </row>
    <row r="29" customFormat="false" ht="15" hidden="false" customHeight="false" outlineLevel="0" collapsed="false">
      <c r="A29" s="7" t="n">
        <v>27</v>
      </c>
      <c r="B29" s="22" t="n">
        <f aca="false">'2. Conversion'!F28*'2. Conversion'!J28*'2. Conversion'!N28</f>
        <v>3358656</v>
      </c>
      <c r="C29" s="22" t="n">
        <f aca="false">'2. Conversion'!G28*'2. Conversion'!K28*'2. Conversion'!O28</f>
        <v>3785724.96142433</v>
      </c>
      <c r="D29" s="22" t="n">
        <f aca="false">'2. Conversion'!H28*'2. Conversion'!L28*'2. Conversion'!P28</f>
        <v>1145039.41991846</v>
      </c>
      <c r="E29" s="22" t="n">
        <f aca="false">'2. Conversion'!I28*'2. Conversion'!M28*'2. Conversion'!Q28</f>
        <v>730939.226519337</v>
      </c>
      <c r="F29" s="22" t="n">
        <f aca="false">SUM(B29:E29)</f>
        <v>9020359.60786213</v>
      </c>
      <c r="G29" s="22" t="n">
        <f aca="false">G28*(1-'1. Inputs'!$B$18)+L29</f>
        <v>135956826.406059</v>
      </c>
      <c r="H29" s="22" t="n">
        <f aca="false">G29*'1. Inputs'!$B$18</f>
        <v>1359568.26406059</v>
      </c>
      <c r="I29" s="22" t="n">
        <f aca="false">F29-H29</f>
        <v>7660791.34380154</v>
      </c>
      <c r="J29" s="22" t="n">
        <f aca="false">J28+I29</f>
        <v>204641164.030354</v>
      </c>
      <c r="K29" s="23" t="n">
        <f aca="false">IF(J28&gt;0,I29/J28*12,"")</f>
        <v>0.466693685628783</v>
      </c>
      <c r="L29" s="22" t="n">
        <f aca="false">IF($A29=MAX('1. Inputs'!$B$17,1),'1. Inputs'!$B$3,0)+IF($A29-'1. Inputs'!$B$17&gt;=1,INDEX($F$3:$F$86,$A29-'1. Inputs'!$B$17),0)</f>
        <v>2065903.2742268</v>
      </c>
      <c r="M29" s="23" t="n">
        <f aca="false">IF(F29&gt;0,H29/F29,"")</f>
        <v>0.150722179953402</v>
      </c>
    </row>
    <row r="30" customFormat="false" ht="15" hidden="false" customHeight="false" outlineLevel="0" collapsed="false">
      <c r="A30" s="7" t="n">
        <v>28</v>
      </c>
      <c r="B30" s="22" t="n">
        <f aca="false">'2. Conversion'!F29*'2. Conversion'!J29*'2. Conversion'!N29</f>
        <v>3422381.98938053</v>
      </c>
      <c r="C30" s="22" t="n">
        <f aca="false">'2. Conversion'!G29*'2. Conversion'!K29*'2. Conversion'!O29</f>
        <v>3981560.67497062</v>
      </c>
      <c r="D30" s="22" t="n">
        <f aca="false">'2. Conversion'!H29*'2. Conversion'!L29*'2. Conversion'!P29</f>
        <v>1259919.36</v>
      </c>
      <c r="E30" s="22" t="n">
        <f aca="false">'2. Conversion'!I29*'2. Conversion'!M29*'2. Conversion'!Q29</f>
        <v>817885.299941759</v>
      </c>
      <c r="F30" s="22" t="n">
        <f aca="false">SUM(B30:E30)</f>
        <v>9481747.32429291</v>
      </c>
      <c r="G30" s="22" t="n">
        <f aca="false">G29*(1-'1. Inputs'!$B$18)+L30</f>
        <v>137159814.172437</v>
      </c>
      <c r="H30" s="22" t="n">
        <f aca="false">G30*'1. Inputs'!$B$18</f>
        <v>1371598.14172437</v>
      </c>
      <c r="I30" s="22" t="n">
        <f aca="false">F30-H30</f>
        <v>8110149.18256854</v>
      </c>
      <c r="J30" s="22" t="n">
        <f aca="false">J29+I30</f>
        <v>212751313.212923</v>
      </c>
      <c r="K30" s="23" t="n">
        <f aca="false">IF(J29&gt;0,I30/J29*12,"")</f>
        <v>0.475572891954362</v>
      </c>
      <c r="L30" s="22" t="n">
        <f aca="false">IF($A30=MAX('1. Inputs'!$B$17,1),'1. Inputs'!$B$3,0)+IF($A30-'1. Inputs'!$B$17&gt;=1,INDEX($F$3:$F$86,$A30-'1. Inputs'!$B$17),0)</f>
        <v>2562556.03043886</v>
      </c>
      <c r="M30" s="23" t="n">
        <f aca="false">IF(F30&gt;0,H30/F30,"")</f>
        <v>0.144656685610071</v>
      </c>
    </row>
    <row r="31" customFormat="false" ht="15" hidden="false" customHeight="false" outlineLevel="0" collapsed="false">
      <c r="A31" s="7" t="n">
        <v>29</v>
      </c>
      <c r="B31" s="22" t="n">
        <f aca="false">'2. Conversion'!F30*'2. Conversion'!J30*'2. Conversion'!N30</f>
        <v>3480446.56009045</v>
      </c>
      <c r="C31" s="22" t="n">
        <f aca="false">'2. Conversion'!G30*'2. Conversion'!K30*'2. Conversion'!O30</f>
        <v>4167475.2</v>
      </c>
      <c r="D31" s="22" t="n">
        <f aca="false">'2. Conversion'!H30*'2. Conversion'!L30*'2. Conversion'!P30</f>
        <v>1368070.01431579</v>
      </c>
      <c r="E31" s="22" t="n">
        <f aca="false">'2. Conversion'!I30*'2. Conversion'!M30*'2. Conversion'!Q30</f>
        <v>899942.4</v>
      </c>
      <c r="F31" s="22" t="n">
        <f aca="false">SUM(B31:E31)</f>
        <v>9915934.17440624</v>
      </c>
      <c r="G31" s="22" t="n">
        <f aca="false">G30*(1-'1. Inputs'!$B$18)+L31</f>
        <v>138875584.135189</v>
      </c>
      <c r="H31" s="22" t="n">
        <f aca="false">G31*'1. Inputs'!$B$18</f>
        <v>1388755.84135189</v>
      </c>
      <c r="I31" s="22" t="n">
        <f aca="false">F31-H31</f>
        <v>8527178.33305435</v>
      </c>
      <c r="J31" s="22" t="n">
        <f aca="false">J30+I31</f>
        <v>221278491.545977</v>
      </c>
      <c r="K31" s="23" t="n">
        <f aca="false">IF(J30&gt;0,I31/J30*12,"")</f>
        <v>0.480965961861037</v>
      </c>
      <c r="L31" s="22" t="n">
        <f aca="false">IF($A31=MAX('1. Inputs'!$B$17,1),'1. Inputs'!$B$3,0)+IF($A31-'1. Inputs'!$B$17&gt;=1,INDEX($F$3:$F$86,$A31-'1. Inputs'!$B$17),0)</f>
        <v>3087368.10447561</v>
      </c>
      <c r="M31" s="23" t="n">
        <f aca="false">IF(F31&gt;0,H31/F31,"")</f>
        <v>0.140052950829017</v>
      </c>
    </row>
    <row r="32" customFormat="false" ht="15" hidden="false" customHeight="false" outlineLevel="0" collapsed="false">
      <c r="A32" s="7" t="n">
        <v>30</v>
      </c>
      <c r="B32" s="22" t="n">
        <f aca="false">'2. Conversion'!F31*'2. Conversion'!J31*'2. Conversion'!N31</f>
        <v>3533490.1479452</v>
      </c>
      <c r="C32" s="22" t="n">
        <f aca="false">'2. Conversion'!G31*'2. Conversion'!K31*'2. Conversion'!O31</f>
        <v>4281562.19076923</v>
      </c>
      <c r="D32" s="22" t="n">
        <f aca="false">'2. Conversion'!H31*'2. Conversion'!L31*'2. Conversion'!P31</f>
        <v>1469848.86064982</v>
      </c>
      <c r="E32" s="22" t="n">
        <f aca="false">'2. Conversion'!I31*'2. Conversion'!M31*'2. Conversion'!Q31</f>
        <v>977192.867368421</v>
      </c>
      <c r="F32" s="22" t="n">
        <f aca="false">SUM(B32:E32)</f>
        <v>10262094.0667327</v>
      </c>
      <c r="G32" s="22" t="n">
        <f aca="false">G31*(1-'1. Inputs'!$B$18)+L32</f>
        <v>141137982.731038</v>
      </c>
      <c r="H32" s="22" t="n">
        <f aca="false">G32*'1. Inputs'!$B$18</f>
        <v>1411379.82731038</v>
      </c>
      <c r="I32" s="22" t="n">
        <f aca="false">F32-H32</f>
        <v>8850714.23942229</v>
      </c>
      <c r="J32" s="22" t="n">
        <f aca="false">J31+I32</f>
        <v>230129205.785399</v>
      </c>
      <c r="K32" s="23" t="n">
        <f aca="false">IF(J31&gt;0,I32/J31*12,"")</f>
        <v>0.47997692921275</v>
      </c>
      <c r="L32" s="22" t="n">
        <f aca="false">IF($A32=MAX('1. Inputs'!$B$17,1),'1. Inputs'!$B$3,0)+IF($A32-'1. Inputs'!$B$17&gt;=1,INDEX($F$3:$F$86,$A32-'1. Inputs'!$B$17),0)</f>
        <v>3651154.43720153</v>
      </c>
      <c r="M32" s="23" t="n">
        <f aca="false">IF(F32&gt;0,H32/F32,"")</f>
        <v>0.137533316117784</v>
      </c>
    </row>
    <row r="33" customFormat="false" ht="15" hidden="false" customHeight="false" outlineLevel="0" collapsed="false">
      <c r="A33" s="7" t="n">
        <v>31</v>
      </c>
      <c r="B33" s="22" t="n">
        <f aca="false">'2. Conversion'!F32*'2. Conversion'!J32*'2. Conversion'!N32</f>
        <v>3582070.73014713</v>
      </c>
      <c r="C33" s="22" t="n">
        <f aca="false">'2. Conversion'!G32*'2. Conversion'!K32*'2. Conversion'!O32</f>
        <v>4384711.33855749</v>
      </c>
      <c r="D33" s="22" t="n">
        <f aca="false">'2. Conversion'!H32*'2. Conversion'!L32*'2. Conversion'!P32</f>
        <v>1565735.29411765</v>
      </c>
      <c r="E33" s="22" t="n">
        <f aca="false">'2. Conversion'!I32*'2. Conversion'!M32*'2. Conversion'!Q32</f>
        <v>1049892.0433213</v>
      </c>
      <c r="F33" s="22" t="n">
        <f aca="false">SUM(B33:E33)</f>
        <v>10582409.4061436</v>
      </c>
      <c r="G33" s="22" t="n">
        <f aca="false">G32*(1-'1. Inputs'!$B$18)+L33</f>
        <v>143982818.208942</v>
      </c>
      <c r="H33" s="22" t="n">
        <f aca="false">G33*'1. Inputs'!$B$18</f>
        <v>1439828.18208942</v>
      </c>
      <c r="I33" s="22" t="n">
        <f aca="false">F33-H33</f>
        <v>9142581.22405415</v>
      </c>
      <c r="J33" s="22" t="n">
        <f aca="false">J32+I33</f>
        <v>239271787.009454</v>
      </c>
      <c r="K33" s="23" t="n">
        <f aca="false">IF(J32&gt;0,I33/J32*12,"")</f>
        <v>0.476736424280531</v>
      </c>
      <c r="L33" s="22" t="n">
        <f aca="false">IF($A33=MAX('1. Inputs'!$B$17,1),'1. Inputs'!$B$3,0)+IF($A33-'1. Inputs'!$B$17&gt;=1,INDEX($F$3:$F$86,$A33-'1. Inputs'!$B$17),0)</f>
        <v>4256215.30521362</v>
      </c>
      <c r="M33" s="23" t="n">
        <f aca="false">IF(F33&gt;0,H33/F33,"")</f>
        <v>0.136058635309794</v>
      </c>
    </row>
    <row r="34" customFormat="false" ht="15" hidden="false" customHeight="false" outlineLevel="0" collapsed="false">
      <c r="A34" s="7" t="n">
        <v>32</v>
      </c>
      <c r="B34" s="22" t="n">
        <f aca="false">'2. Conversion'!F33*'2. Conversion'!J33*'2. Conversion'!N33</f>
        <v>3626674.81109643</v>
      </c>
      <c r="C34" s="22" t="n">
        <f aca="false">'2. Conversion'!G33*'2. Conversion'!K33*'2. Conversion'!O33</f>
        <v>4478208</v>
      </c>
      <c r="D34" s="22" t="n">
        <f aca="false">'2. Conversion'!H33*'2. Conversion'!L33*'2. Conversion'!P33</f>
        <v>1656254.67062315</v>
      </c>
      <c r="E34" s="22" t="n">
        <f aca="false">'2. Conversion'!I33*'2. Conversion'!M33*'2. Conversion'!Q33</f>
        <v>1118382.35294118</v>
      </c>
      <c r="F34" s="22" t="n">
        <f aca="false">SUM(B34:E34)</f>
        <v>10879519.8346608</v>
      </c>
      <c r="G34" s="22" t="n">
        <f aca="false">G33*(1-'1. Inputs'!$B$18)+L34</f>
        <v>147434602.213298</v>
      </c>
      <c r="H34" s="22" t="n">
        <f aca="false">G34*'1. Inputs'!$B$18</f>
        <v>1474346.02213298</v>
      </c>
      <c r="I34" s="22" t="n">
        <f aca="false">F34-H34</f>
        <v>9405173.81252778</v>
      </c>
      <c r="J34" s="22" t="n">
        <f aca="false">J33+I34</f>
        <v>248676960.821981</v>
      </c>
      <c r="K34" s="23" t="n">
        <f aca="false">IF(J33&gt;0,I34/J33*12,"")</f>
        <v>0.471689901935134</v>
      </c>
      <c r="L34" s="22" t="n">
        <f aca="false">IF($A34=MAX('1. Inputs'!$B$17,1),'1. Inputs'!$B$3,0)+IF($A34-'1. Inputs'!$B$17&gt;=1,INDEX($F$3:$F$86,$A34-'1. Inputs'!$B$17),0)</f>
        <v>4891612.18644535</v>
      </c>
      <c r="M34" s="23" t="n">
        <f aca="false">IF(F34&gt;0,H34/F34,"")</f>
        <v>0.135515725375664</v>
      </c>
    </row>
    <row r="35" customFormat="false" ht="15" hidden="false" customHeight="false" outlineLevel="0" collapsed="false">
      <c r="A35" s="7" t="n">
        <v>33</v>
      </c>
      <c r="B35" s="22" t="n">
        <f aca="false">'2. Conversion'!F34*'2. Conversion'!J34*'2. Conversion'!N34</f>
        <v>3667727.12727273</v>
      </c>
      <c r="C35" s="22" t="n">
        <f aca="false">'2. Conversion'!G34*'2. Conversion'!K34*'2. Conversion'!O34</f>
        <v>4563175.98584071</v>
      </c>
      <c r="D35" s="22" t="n">
        <f aca="false">'2. Conversion'!H34*'2. Conversion'!L34*'2. Conversion'!P34</f>
        <v>1741932.79529965</v>
      </c>
      <c r="E35" s="22" t="n">
        <f aca="false">'2. Conversion'!I34*'2. Conversion'!M34*'2. Conversion'!Q34</f>
        <v>1183039.0504451</v>
      </c>
      <c r="F35" s="22" t="n">
        <f aca="false">SUM(B35:E35)</f>
        <v>11155874.9588582</v>
      </c>
      <c r="G35" s="22" t="n">
        <f aca="false">G34*(1-'1. Inputs'!$B$18)+L35</f>
        <v>151503113.211753</v>
      </c>
      <c r="H35" s="22" t="n">
        <f aca="false">G35*'1. Inputs'!$B$18</f>
        <v>1515031.13211753</v>
      </c>
      <c r="I35" s="22" t="n">
        <f aca="false">F35-H35</f>
        <v>9640843.82674066</v>
      </c>
      <c r="J35" s="22" t="n">
        <f aca="false">J34+I35</f>
        <v>258317804.648722</v>
      </c>
      <c r="K35" s="23" t="n">
        <f aca="false">IF(J34&gt;0,I35/J34*12,"")</f>
        <v>0.465222534240742</v>
      </c>
      <c r="L35" s="22" t="n">
        <f aca="false">IF($A35=MAX('1. Inputs'!$B$17,1),'1. Inputs'!$B$3,0)+IF($A35-'1. Inputs'!$B$17&gt;=1,INDEX($F$3:$F$86,$A35-'1. Inputs'!$B$17),0)</f>
        <v>5542857.02058828</v>
      </c>
      <c r="M35" s="23" t="n">
        <f aca="false">IF(F35&gt;0,H35/F35,"")</f>
        <v>0.135805675279153</v>
      </c>
    </row>
    <row r="36" customFormat="false" ht="15" hidden="false" customHeight="false" outlineLevel="0" collapsed="false">
      <c r="A36" s="7" t="n">
        <v>34</v>
      </c>
      <c r="B36" s="22" t="n">
        <f aca="false">'2. Conversion'!F35*'2. Conversion'!J35*'2. Conversion'!N35</f>
        <v>3705599.11213873</v>
      </c>
      <c r="C36" s="22" t="n">
        <f aca="false">'2. Conversion'!G35*'2. Conversion'!K35*'2. Conversion'!O35</f>
        <v>4640595.41345393</v>
      </c>
      <c r="D36" s="22" t="n">
        <f aca="false">'2. Conversion'!H35*'2. Conversion'!L35*'2. Conversion'!P35</f>
        <v>1823270.4</v>
      </c>
      <c r="E36" s="22" t="n">
        <f aca="false">'2. Conversion'!I35*'2. Conversion'!M35*'2. Conversion'!Q35</f>
        <v>1244237.71092832</v>
      </c>
      <c r="F36" s="22" t="n">
        <f aca="false">SUM(B36:E36)</f>
        <v>11413702.636521</v>
      </c>
      <c r="G36" s="22" t="n">
        <f aca="false">G35*(1-'1. Inputs'!$B$18)+L36</f>
        <v>156183524.330909</v>
      </c>
      <c r="H36" s="22" t="n">
        <f aca="false">G36*'1. Inputs'!$B$18</f>
        <v>1561835.24330909</v>
      </c>
      <c r="I36" s="22" t="n">
        <f aca="false">F36-H36</f>
        <v>9851867.39321189</v>
      </c>
      <c r="J36" s="22" t="n">
        <f aca="false">J35+I36</f>
        <v>268169672.041934</v>
      </c>
      <c r="K36" s="23" t="n">
        <f aca="false">IF(J35&gt;0,I36/J35*12,"")</f>
        <v>0.457662641099437</v>
      </c>
      <c r="L36" s="22" t="n">
        <f aca="false">IF($A36=MAX('1. Inputs'!$B$17,1),'1. Inputs'!$B$3,0)+IF($A36-'1. Inputs'!$B$17&gt;=1,INDEX($F$3:$F$86,$A36-'1. Inputs'!$B$17),0)</f>
        <v>6195442.25127375</v>
      </c>
      <c r="M36" s="23" t="n">
        <f aca="false">IF(F36&gt;0,H36/F36,"")</f>
        <v>0.136838613467256</v>
      </c>
    </row>
    <row r="37" customFormat="false" ht="15" hidden="false" customHeight="false" outlineLevel="0" collapsed="false">
      <c r="A37" s="7" t="n">
        <v>35</v>
      </c>
      <c r="B37" s="22" t="n">
        <f aca="false">'2. Conversion'!F36*'2. Conversion'!J36*'2. Conversion'!N36</f>
        <v>3740616.2186551</v>
      </c>
      <c r="C37" s="22" t="n">
        <f aca="false">'2. Conversion'!G36*'2. Conversion'!K36*'2. Conversion'!O36</f>
        <v>4711320.19726027</v>
      </c>
      <c r="D37" s="22" t="n">
        <f aca="false">'2. Conversion'!H36*'2. Conversion'!L36*'2. Conversion'!P36</f>
        <v>1873183.45846154</v>
      </c>
      <c r="E37" s="22" t="n">
        <f aca="false">'2. Conversion'!I36*'2. Conversion'!M36*'2. Conversion'!Q36</f>
        <v>1302336</v>
      </c>
      <c r="F37" s="22" t="n">
        <f aca="false">SUM(B37:E37)</f>
        <v>11627455.8743769</v>
      </c>
      <c r="G37" s="22" t="n">
        <f aca="false">G36*(1-'1. Inputs'!$B$18)+L37</f>
        <v>161458921.148384</v>
      </c>
      <c r="H37" s="22" t="n">
        <f aca="false">G37*'1. Inputs'!$B$18</f>
        <v>1614589.21148384</v>
      </c>
      <c r="I37" s="22" t="n">
        <f aca="false">F37-H37</f>
        <v>10012866.6628931</v>
      </c>
      <c r="J37" s="22" t="n">
        <f aca="false">J36+I37</f>
        <v>278182538.704827</v>
      </c>
      <c r="K37" s="23" t="n">
        <f aca="false">IF(J36&gt;0,I37/J36*12,"")</f>
        <v>0.448053648422735</v>
      </c>
      <c r="L37" s="22" t="n">
        <f aca="false">IF($A37=MAX('1. Inputs'!$B$17,1),'1. Inputs'!$B$3,0)+IF($A37-'1. Inputs'!$B$17&gt;=1,INDEX($F$3:$F$86,$A37-'1. Inputs'!$B$17),0)</f>
        <v>6837232.06078418</v>
      </c>
      <c r="M37" s="23" t="n">
        <f aca="false">IF(F37&gt;0,H37/F37,"")</f>
        <v>0.138860059236334</v>
      </c>
    </row>
    <row r="38" customFormat="false" ht="15" hidden="false" customHeight="false" outlineLevel="0" collapsed="false">
      <c r="A38" s="7" t="n">
        <v>36</v>
      </c>
      <c r="B38" s="22" t="n">
        <f aca="false">'2. Conversion'!F37*'2. Conversion'!J37*'2. Conversion'!N37</f>
        <v>3773064.22018349</v>
      </c>
      <c r="C38" s="22" t="n">
        <f aca="false">'2. Conversion'!G37*'2. Conversion'!K37*'2. Conversion'!O37</f>
        <v>4776094.30686283</v>
      </c>
      <c r="D38" s="22" t="n">
        <f aca="false">'2. Conversion'!H37*'2. Conversion'!L37*'2. Conversion'!P37</f>
        <v>1918311.2106189</v>
      </c>
      <c r="E38" s="22" t="n">
        <f aca="false">'2. Conversion'!I37*'2. Conversion'!M37*'2. Conversion'!Q37</f>
        <v>1337988.18461538</v>
      </c>
      <c r="F38" s="22" t="n">
        <f aca="false">SUM(B38:E38)</f>
        <v>11805457.9222806</v>
      </c>
      <c r="G38" s="22" t="n">
        <f aca="false">G37*(1-'1. Inputs'!$B$18)+L38</f>
        <v>167303821.088811</v>
      </c>
      <c r="H38" s="22" t="n">
        <f aca="false">G38*'1. Inputs'!$B$18</f>
        <v>1673038.21088811</v>
      </c>
      <c r="I38" s="22" t="n">
        <f aca="false">F38-H38</f>
        <v>10132419.7113925</v>
      </c>
      <c r="J38" s="22" t="n">
        <f aca="false">J37+I38</f>
        <v>288314958.41622</v>
      </c>
      <c r="K38" s="23" t="n">
        <f aca="false">IF(J37&gt;0,I38/J37*12,"")</f>
        <v>0.437083639766928</v>
      </c>
      <c r="L38" s="22" t="n">
        <f aca="false">IF($A38=MAX('1. Inputs'!$B$17,1),'1. Inputs'!$B$3,0)+IF($A38-'1. Inputs'!$B$17&gt;=1,INDEX($F$3:$F$86,$A38-'1. Inputs'!$B$17),0)</f>
        <v>7459489.15191031</v>
      </c>
      <c r="M38" s="23" t="n">
        <f aca="false">IF(F38&gt;0,H38/F38,"")</f>
        <v>0.141717349881918</v>
      </c>
    </row>
    <row r="39" customFormat="false" ht="15" hidden="false" customHeight="false" outlineLevel="0" collapsed="false">
      <c r="A39" s="7" t="n">
        <v>37</v>
      </c>
      <c r="B39" s="22" t="n">
        <f aca="false">'2. Conversion'!F38*'2. Conversion'!J38*'2. Conversion'!N38</f>
        <v>3803194.61492971</v>
      </c>
      <c r="C39" s="22" t="n">
        <f aca="false">'2. Conversion'!G38*'2. Conversion'!K38*'2. Conversion'!O38</f>
        <v>4835566.41479524</v>
      </c>
      <c r="D39" s="22" t="n">
        <f aca="false">'2. Conversion'!H38*'2. Conversion'!L38*'2. Conversion'!P38</f>
        <v>1959216</v>
      </c>
      <c r="E39" s="22" t="n">
        <f aca="false">'2. Conversion'!I38*'2. Conversion'!M38*'2. Conversion'!Q38</f>
        <v>1370222.29329922</v>
      </c>
      <c r="F39" s="22" t="n">
        <f aca="false">SUM(B39:E39)</f>
        <v>11968199.3230242</v>
      </c>
      <c r="G39" s="22" t="n">
        <f aca="false">G38*(1-'1. Inputs'!$B$18)+L39</f>
        <v>173640406.659628</v>
      </c>
      <c r="H39" s="22" t="n">
        <f aca="false">G39*'1. Inputs'!$B$18</f>
        <v>1736404.06659628</v>
      </c>
      <c r="I39" s="22" t="n">
        <f aca="false">F39-H39</f>
        <v>10231795.2564279</v>
      </c>
      <c r="J39" s="22" t="n">
        <f aca="false">J38+I39</f>
        <v>298546753.672647</v>
      </c>
      <c r="K39" s="23" t="n">
        <f aca="false">IF(J38&gt;0,I39/J38*12,"")</f>
        <v>0.425859080470892</v>
      </c>
      <c r="L39" s="22" t="n">
        <f aca="false">IF($A39=MAX('1. Inputs'!$B$17,1),'1. Inputs'!$B$3,0)+IF($A39-'1. Inputs'!$B$17&gt;=1,INDEX($F$3:$F$86,$A39-'1. Inputs'!$B$17),0)</f>
        <v>8009623.78170508</v>
      </c>
      <c r="M39" s="23" t="n">
        <f aca="false">IF(F39&gt;0,H39/F39,"")</f>
        <v>0.145084821845824</v>
      </c>
    </row>
    <row r="40" customFormat="false" ht="15" hidden="false" customHeight="false" outlineLevel="0" collapsed="false">
      <c r="A40" s="7" t="n">
        <v>38</v>
      </c>
      <c r="B40" s="22" t="n">
        <f aca="false">'2. Conversion'!F39*'2. Conversion'!J39*'2. Conversion'!N39</f>
        <v>3831229.25344129</v>
      </c>
      <c r="C40" s="22" t="n">
        <f aca="false">'2. Conversion'!G39*'2. Conversion'!K39*'2. Conversion'!O39</f>
        <v>4890302.83636364</v>
      </c>
      <c r="D40" s="22" t="n">
        <f aca="false">'2. Conversion'!H39*'2. Conversion'!L39*'2. Conversion'!P39</f>
        <v>1996389.49380531</v>
      </c>
      <c r="E40" s="22" t="n">
        <f aca="false">'2. Conversion'!I39*'2. Conversion'!M39*'2. Conversion'!Q39</f>
        <v>1399440</v>
      </c>
      <c r="F40" s="22" t="n">
        <f aca="false">SUM(B40:E40)</f>
        <v>12117361.5836102</v>
      </c>
      <c r="G40" s="22" t="n">
        <f aca="false">G39*(1-'1. Inputs'!$B$18)+L40</f>
        <v>180433998.543488</v>
      </c>
      <c r="H40" s="22" t="n">
        <f aca="false">G40*'1. Inputs'!$B$18</f>
        <v>1804339.98543488</v>
      </c>
      <c r="I40" s="22" t="n">
        <f aca="false">F40-H40</f>
        <v>10313021.5981754</v>
      </c>
      <c r="J40" s="22" t="n">
        <f aca="false">J39+I40</f>
        <v>308859775.270823</v>
      </c>
      <c r="K40" s="23" t="n">
        <f aca="false">IF(J39&gt;0,I40/J39*12,"")</f>
        <v>0.414528905960912</v>
      </c>
      <c r="L40" s="22" t="n">
        <f aca="false">IF($A40=MAX('1. Inputs'!$B$17,1),'1. Inputs'!$B$3,0)+IF($A40-'1. Inputs'!$B$17&gt;=1,INDEX($F$3:$F$86,$A40-'1. Inputs'!$B$17),0)</f>
        <v>8529995.95045696</v>
      </c>
      <c r="M40" s="23" t="n">
        <f aca="false">IF(F40&gt;0,H40/F40,"")</f>
        <v>0.14890535146491</v>
      </c>
    </row>
    <row r="41" customFormat="false" ht="15" hidden="false" customHeight="false" outlineLevel="0" collapsed="false">
      <c r="A41" s="7" t="n">
        <v>39</v>
      </c>
      <c r="B41" s="22" t="n">
        <f aca="false">'2. Conversion'!F40*'2. Conversion'!J40*'2. Conversion'!N40</f>
        <v>3857364.29822485</v>
      </c>
      <c r="C41" s="22" t="n">
        <f aca="false">'2. Conversion'!G40*'2. Conversion'!K40*'2. Conversion'!O40</f>
        <v>4940798.81618497</v>
      </c>
      <c r="D41" s="22" t="n">
        <f aca="false">'2. Conversion'!H40*'2. Conversion'!L40*'2. Conversion'!P40</f>
        <v>2030260.49338609</v>
      </c>
      <c r="E41" s="22" t="n">
        <f aca="false">'2. Conversion'!I40*'2. Conversion'!M40*'2. Conversion'!Q40</f>
        <v>1425992.49557522</v>
      </c>
      <c r="F41" s="22" t="n">
        <f aca="false">SUM(B41:E41)</f>
        <v>12254416.1033711</v>
      </c>
      <c r="G41" s="22" t="n">
        <f aca="false">G40*(1-'1. Inputs'!$B$18)+L41</f>
        <v>187650018.165916</v>
      </c>
      <c r="H41" s="22" t="n">
        <f aca="false">G41*'1. Inputs'!$B$18</f>
        <v>1876500.18165915</v>
      </c>
      <c r="I41" s="22" t="n">
        <f aca="false">F41-H41</f>
        <v>10377915.921712</v>
      </c>
      <c r="J41" s="22" t="n">
        <f aca="false">J40+I41</f>
        <v>319237691.192535</v>
      </c>
      <c r="K41" s="23" t="n">
        <f aca="false">IF(J40&gt;0,I41/J40*12,"")</f>
        <v>0.403208837898511</v>
      </c>
      <c r="L41" s="22" t="n">
        <f aca="false">IF($A41=MAX('1. Inputs'!$B$17,1),'1. Inputs'!$B$3,0)+IF($A41-'1. Inputs'!$B$17&gt;=1,INDEX($F$3:$F$86,$A41-'1. Inputs'!$B$17),0)</f>
        <v>9020359.60786213</v>
      </c>
      <c r="M41" s="23" t="n">
        <f aca="false">IF(F41&gt;0,H41/F41,"")</f>
        <v>0.153128485749961</v>
      </c>
    </row>
    <row r="42" customFormat="false" ht="15" hidden="false" customHeight="false" outlineLevel="0" collapsed="false">
      <c r="A42" s="7" t="n">
        <v>40</v>
      </c>
      <c r="B42" s="22" t="n">
        <f aca="false">'2. Conversion'!F41*'2. Conversion'!J41*'2. Conversion'!N41</f>
        <v>3881773.61228779</v>
      </c>
      <c r="C42" s="22" t="n">
        <f aca="false">'2. Conversion'!G41*'2. Conversion'!K41*'2. Conversion'!O41</f>
        <v>4987488.29154013</v>
      </c>
      <c r="D42" s="22" t="n">
        <f aca="false">'2. Conversion'!H41*'2. Conversion'!L41*'2. Conversion'!P41</f>
        <v>2061202.58630137</v>
      </c>
      <c r="E42" s="22" t="n">
        <f aca="false">'2. Conversion'!I41*'2. Conversion'!M41*'2. Conversion'!Q41</f>
        <v>1450186.06670435</v>
      </c>
      <c r="F42" s="22" t="n">
        <f aca="false">SUM(B42:E42)</f>
        <v>12380650.5568336</v>
      </c>
      <c r="G42" s="22" t="n">
        <f aca="false">G41*(1-'1. Inputs'!$B$18)+L42</f>
        <v>195255265.308549</v>
      </c>
      <c r="H42" s="22" t="n">
        <f aca="false">G42*'1. Inputs'!$B$18</f>
        <v>1952552.65308549</v>
      </c>
      <c r="I42" s="22" t="n">
        <f aca="false">F42-H42</f>
        <v>10428097.9037482</v>
      </c>
      <c r="J42" s="22" t="n">
        <f aca="false">J41+I42</f>
        <v>329665789.096283</v>
      </c>
      <c r="K42" s="23" t="n">
        <f aca="false">IF(J41&gt;0,I42/J41*12,"")</f>
        <v>0.391987469830142</v>
      </c>
      <c r="L42" s="22" t="n">
        <f aca="false">IF($A42=MAX('1. Inputs'!$B$17,1),'1. Inputs'!$B$3,0)+IF($A42-'1. Inputs'!$B$17&gt;=1,INDEX($F$3:$F$86,$A42-'1. Inputs'!$B$17),0)</f>
        <v>9481747.32429291</v>
      </c>
      <c r="M42" s="23" t="n">
        <f aca="false">IF(F42&gt;0,H42/F42,"")</f>
        <v>0.157710020497086</v>
      </c>
    </row>
    <row r="43" customFormat="false" ht="15" hidden="false" customHeight="false" outlineLevel="0" collapsed="false">
      <c r="A43" s="7" t="n">
        <v>41</v>
      </c>
      <c r="B43" s="22" t="n">
        <f aca="false">'2. Conversion'!F42*'2. Conversion'!J42*'2. Conversion'!N42</f>
        <v>3904611.66100176</v>
      </c>
      <c r="C43" s="22" t="n">
        <f aca="false">'2. Conversion'!G42*'2. Conversion'!K42*'2. Conversion'!O42</f>
        <v>5030752.29357798</v>
      </c>
      <c r="D43" s="22" t="n">
        <f aca="false">'2. Conversion'!H42*'2. Conversion'!L42*'2. Conversion'!P42</f>
        <v>2089541.25925249</v>
      </c>
      <c r="E43" s="22" t="n">
        <f aca="false">'2. Conversion'!I42*'2. Conversion'!M42*'2. Conversion'!Q42</f>
        <v>1472287.56164384</v>
      </c>
      <c r="F43" s="22" t="n">
        <f aca="false">SUM(B43:E43)</f>
        <v>12497192.7754761</v>
      </c>
      <c r="G43" s="22" t="n">
        <f aca="false">G42*(1-'1. Inputs'!$B$18)+L43</f>
        <v>203218646.82987</v>
      </c>
      <c r="H43" s="22" t="n">
        <f aca="false">G43*'1. Inputs'!$B$18</f>
        <v>2032186.4682987</v>
      </c>
      <c r="I43" s="22" t="n">
        <f aca="false">F43-H43</f>
        <v>10465006.3071774</v>
      </c>
      <c r="J43" s="22" t="n">
        <f aca="false">J42+I43</f>
        <v>340130795.40346</v>
      </c>
      <c r="K43" s="23" t="n">
        <f aca="false">IF(J42&gt;0,I43/J42*12,"")</f>
        <v>0.380931476178898</v>
      </c>
      <c r="L43" s="22" t="n">
        <f aca="false">IF($A43=MAX('1. Inputs'!$B$17,1),'1. Inputs'!$B$3,0)+IF($A43-'1. Inputs'!$B$17&gt;=1,INDEX($F$3:$F$86,$A43-'1. Inputs'!$B$17),0)</f>
        <v>9915934.17440624</v>
      </c>
      <c r="M43" s="23" t="n">
        <f aca="false">IF(F43&gt;0,H43/F43,"")</f>
        <v>0.162611436408869</v>
      </c>
    </row>
    <row r="44" customFormat="false" ht="15" hidden="false" customHeight="false" outlineLevel="0" collapsed="false">
      <c r="A44" s="7" t="n">
        <v>42</v>
      </c>
      <c r="B44" s="22" t="n">
        <f aca="false">'2. Conversion'!F43*'2. Conversion'!J43*'2. Conversion'!N43</f>
        <v>3926016</v>
      </c>
      <c r="C44" s="22" t="n">
        <f aca="false">'2. Conversion'!G43*'2. Conversion'!K43*'2. Conversion'!O43</f>
        <v>5070926.15323961</v>
      </c>
      <c r="D44" s="22" t="n">
        <f aca="false">'2. Conversion'!H43*'2. Conversion'!L43*'2. Conversion'!P43</f>
        <v>2115560.30647292</v>
      </c>
      <c r="E44" s="22" t="n">
        <f aca="false">'2. Conversion'!I43*'2. Conversion'!M43*'2. Conversion'!Q43</f>
        <v>1492529.47089464</v>
      </c>
      <c r="F44" s="22" t="n">
        <f aca="false">SUM(B44:E44)</f>
        <v>12605031.9306072</v>
      </c>
      <c r="G44" s="22" t="n">
        <f aca="false">G43*(1-'1. Inputs'!$B$18)+L44</f>
        <v>211448554.428304</v>
      </c>
      <c r="H44" s="22" t="n">
        <f aca="false">G44*'1. Inputs'!$B$18</f>
        <v>2114485.54428304</v>
      </c>
      <c r="I44" s="22" t="n">
        <f aca="false">F44-H44</f>
        <v>10490546.3863241</v>
      </c>
      <c r="J44" s="22" t="n">
        <f aca="false">J43+I44</f>
        <v>350621341.789784</v>
      </c>
      <c r="K44" s="23" t="n">
        <f aca="false">IF(J43&gt;0,I44/J43*12,"")</f>
        <v>0.370112199004398</v>
      </c>
      <c r="L44" s="22" t="n">
        <f aca="false">IF($A44=MAX('1. Inputs'!$B$17,1),'1. Inputs'!$B$3,0)+IF($A44-'1. Inputs'!$B$17&gt;=1,INDEX($F$3:$F$86,$A44-'1. Inputs'!$B$17),0)</f>
        <v>10262094.0667327</v>
      </c>
      <c r="M44" s="23" t="n">
        <f aca="false">IF(F44&gt;0,H44/F44,"")</f>
        <v>0.167749320741402</v>
      </c>
    </row>
    <row r="45" customFormat="false" ht="15" hidden="false" customHeight="false" outlineLevel="0" collapsed="false">
      <c r="A45" s="7" t="n">
        <v>43</v>
      </c>
      <c r="B45" s="22" t="n">
        <f aca="false">'2. Conversion'!F44*'2. Conversion'!J44*'2. Conversion'!N44</f>
        <v>3946109.41125902</v>
      </c>
      <c r="C45" s="22" t="n">
        <f aca="false">'2. Conversion'!G44*'2. Conversion'!K44*'2. Conversion'!O44</f>
        <v>5108305.67125506</v>
      </c>
      <c r="D45" s="22" t="n">
        <f aca="false">'2. Conversion'!H44*'2. Conversion'!L44*'2. Conversion'!P44</f>
        <v>2139507.49090909</v>
      </c>
      <c r="E45" s="22" t="n">
        <f aca="false">'2. Conversion'!I44*'2. Conversion'!M44*'2. Conversion'!Q44</f>
        <v>1511114.50462351</v>
      </c>
      <c r="F45" s="22" t="n">
        <f aca="false">SUM(B45:E45)</f>
        <v>12705037.0780467</v>
      </c>
      <c r="G45" s="22" t="n">
        <f aca="false">G44*(1-'1. Inputs'!$B$18)+L45</f>
        <v>219916478.290164</v>
      </c>
      <c r="H45" s="22" t="n">
        <f aca="false">G45*'1. Inputs'!$B$18</f>
        <v>2199164.78290164</v>
      </c>
      <c r="I45" s="22" t="n">
        <f aca="false">F45-H45</f>
        <v>10505872.295145</v>
      </c>
      <c r="J45" s="22" t="n">
        <f aca="false">J44+I45</f>
        <v>361127214.084929</v>
      </c>
      <c r="K45" s="23" t="n">
        <f aca="false">IF(J44&gt;0,I45/J44*12,"")</f>
        <v>0.359563017180301</v>
      </c>
      <c r="L45" s="22" t="n">
        <f aca="false">IF($A45=MAX('1. Inputs'!$B$17,1),'1. Inputs'!$B$3,0)+IF($A45-'1. Inputs'!$B$17&gt;=1,INDEX($F$3:$F$86,$A45-'1. Inputs'!$B$17),0)</f>
        <v>10582409.4061436</v>
      </c>
      <c r="M45" s="23" t="n">
        <f aca="false">IF(F45&gt;0,H45/F45,"")</f>
        <v>0.173093928761659</v>
      </c>
    </row>
    <row r="46" customFormat="false" ht="15" hidden="false" customHeight="false" outlineLevel="0" collapsed="false">
      <c r="A46" s="7" t="n">
        <v>44</v>
      </c>
      <c r="B46" s="22" t="n">
        <f aca="false">'2. Conversion'!F45*'2. Conversion'!J45*'2. Conversion'!N45</f>
        <v>3965001.74020864</v>
      </c>
      <c r="C46" s="22" t="n">
        <f aca="false">'2. Conversion'!G45*'2. Conversion'!K45*'2. Conversion'!O45</f>
        <v>5143152.39763314</v>
      </c>
      <c r="D46" s="22" t="n">
        <f aca="false">'2. Conversion'!H45*'2. Conversion'!L45*'2. Conversion'!P45</f>
        <v>2161599.48208092</v>
      </c>
      <c r="E46" s="22" t="n">
        <f aca="false">'2. Conversion'!I45*'2. Conversion'!M45*'2. Conversion'!Q45</f>
        <v>1528219.63636364</v>
      </c>
      <c r="F46" s="22" t="n">
        <f aca="false">SUM(B46:E46)</f>
        <v>12797973.2562863</v>
      </c>
      <c r="G46" s="22" t="n">
        <f aca="false">G45*(1-'1. Inputs'!$B$18)+L46</f>
        <v>228596833.341924</v>
      </c>
      <c r="H46" s="22" t="n">
        <f aca="false">G46*'1. Inputs'!$B$18</f>
        <v>2285968.33341924</v>
      </c>
      <c r="I46" s="22" t="n">
        <f aca="false">F46-H46</f>
        <v>10512004.9228671</v>
      </c>
      <c r="J46" s="22" t="n">
        <f aca="false">J45+I46</f>
        <v>371639219.007796</v>
      </c>
      <c r="K46" s="23" t="n">
        <f aca="false">IF(J45&gt;0,I46/J45*12,"")</f>
        <v>0.349306433174928</v>
      </c>
      <c r="L46" s="22" t="n">
        <f aca="false">IF($A46=MAX('1. Inputs'!$B$17,1),'1. Inputs'!$B$3,0)+IF($A46-'1. Inputs'!$B$17&gt;=1,INDEX($F$3:$F$86,$A46-'1. Inputs'!$B$17),0)</f>
        <v>10879519.8346608</v>
      </c>
      <c r="M46" s="23" t="n">
        <f aca="false">IF(F46&gt;0,H46/F46,"")</f>
        <v>0.178619558553646</v>
      </c>
    </row>
    <row r="47" customFormat="false" ht="15" hidden="false" customHeight="false" outlineLevel="0" collapsed="false">
      <c r="A47" s="7" t="n">
        <v>45</v>
      </c>
      <c r="B47" s="22" t="n">
        <f aca="false">'2. Conversion'!F46*'2. Conversion'!J46*'2. Conversion'!N46</f>
        <v>3982791.47865169</v>
      </c>
      <c r="C47" s="22" t="n">
        <f aca="false">'2. Conversion'!G46*'2. Conversion'!K46*'2. Conversion'!O46</f>
        <v>5175698.14971706</v>
      </c>
      <c r="D47" s="22" t="n">
        <f aca="false">'2. Conversion'!H46*'2. Conversion'!L46*'2. Conversion'!P46</f>
        <v>2182026.12754881</v>
      </c>
      <c r="E47" s="22" t="n">
        <f aca="false">'2. Conversion'!I46*'2. Conversion'!M46*'2. Conversion'!Q46</f>
        <v>1543999.6300578</v>
      </c>
      <c r="F47" s="22" t="n">
        <f aca="false">SUM(B47:E47)</f>
        <v>12884515.3859754</v>
      </c>
      <c r="G47" s="22" t="n">
        <f aca="false">G46*(1-'1. Inputs'!$B$18)+L47</f>
        <v>237466739.967363</v>
      </c>
      <c r="H47" s="22" t="n">
        <f aca="false">G47*'1. Inputs'!$B$18</f>
        <v>2374667.39967363</v>
      </c>
      <c r="I47" s="22" t="n">
        <f aca="false">F47-H47</f>
        <v>10509847.9863017</v>
      </c>
      <c r="J47" s="22" t="n">
        <f aca="false">J46+I47</f>
        <v>382149066.994098</v>
      </c>
      <c r="K47" s="23" t="n">
        <f aca="false">IF(J46&gt;0,I47/J46*12,"")</f>
        <v>0.339356476349109</v>
      </c>
      <c r="L47" s="22" t="n">
        <f aca="false">IF($A47=MAX('1. Inputs'!$B$17,1),'1. Inputs'!$B$3,0)+IF($A47-'1. Inputs'!$B$17&gt;=1,INDEX($F$3:$F$86,$A47-'1. Inputs'!$B$17),0)</f>
        <v>11155874.9588582</v>
      </c>
      <c r="M47" s="23" t="n">
        <f aca="false">IF(F47&gt;0,H47/F47,"")</f>
        <v>0.184303974851737</v>
      </c>
    </row>
    <row r="48" customFormat="false" ht="15" hidden="false" customHeight="false" outlineLevel="0" collapsed="false">
      <c r="A48" s="7" t="n">
        <v>46</v>
      </c>
      <c r="B48" s="22" t="n">
        <f aca="false">'2. Conversion'!F47*'2. Conversion'!J47*'2. Conversion'!N47</f>
        <v>3999567.1313659</v>
      </c>
      <c r="C48" s="22" t="n">
        <f aca="false">'2. Conversion'!G47*'2. Conversion'!K47*'2. Conversion'!O47</f>
        <v>5206148.88133567</v>
      </c>
      <c r="D48" s="22" t="n">
        <f aca="false">'2. Conversion'!H47*'2. Conversion'!L47*'2. Conversion'!P47</f>
        <v>2200954.12844037</v>
      </c>
      <c r="E48" s="22" t="n">
        <f aca="false">'2. Conversion'!I47*'2. Conversion'!M47*'2. Conversion'!Q47</f>
        <v>1558590.09110629</v>
      </c>
      <c r="F48" s="22" t="n">
        <f aca="false">SUM(B48:E48)</f>
        <v>12965260.2322482</v>
      </c>
      <c r="G48" s="22" t="n">
        <f aca="false">G47*(1-'1. Inputs'!$B$18)+L48</f>
        <v>246505775.20421</v>
      </c>
      <c r="H48" s="22" t="n">
        <f aca="false">G48*'1. Inputs'!$B$18</f>
        <v>2465057.7520421</v>
      </c>
      <c r="I48" s="22" t="n">
        <f aca="false">F48-H48</f>
        <v>10500202.4802061</v>
      </c>
      <c r="J48" s="22" t="n">
        <f aca="false">J47+I48</f>
        <v>392649269.474304</v>
      </c>
      <c r="K48" s="23" t="n">
        <f aca="false">IF(J47&gt;0,I48/J47*12,"")</f>
        <v>0.329720626439262</v>
      </c>
      <c r="L48" s="22" t="n">
        <f aca="false">IF($A48=MAX('1. Inputs'!$B$17,1),'1. Inputs'!$B$3,0)+IF($A48-'1. Inputs'!$B$17&gt;=1,INDEX($F$3:$F$86,$A48-'1. Inputs'!$B$17),0)</f>
        <v>11413702.636521</v>
      </c>
      <c r="M48" s="23" t="n">
        <f aca="false">IF(F48&gt;0,H48/F48,"")</f>
        <v>0.19012790394371</v>
      </c>
    </row>
    <row r="49" customFormat="false" ht="15" hidden="false" customHeight="false" outlineLevel="0" collapsed="false">
      <c r="A49" s="7" t="n">
        <v>47</v>
      </c>
      <c r="B49" s="22" t="n">
        <f aca="false">'2. Conversion'!F48*'2. Conversion'!J48*'2. Conversion'!N48</f>
        <v>4015408.39838675</v>
      </c>
      <c r="C49" s="22" t="n">
        <f aca="false">'2. Conversion'!G48*'2. Conversion'!K48*'2. Conversion'!O48</f>
        <v>5234688</v>
      </c>
      <c r="D49" s="22" t="n">
        <f aca="false">'2. Conversion'!H48*'2. Conversion'!L48*'2. Conversion'!P48</f>
        <v>2218530.19204233</v>
      </c>
      <c r="E49" s="22" t="n">
        <f aca="false">'2. Conversion'!I48*'2. Conversion'!M48*'2. Conversion'!Q48</f>
        <v>1572110.09174312</v>
      </c>
      <c r="F49" s="22" t="n">
        <f aca="false">SUM(B49:E49)</f>
        <v>13040736.6821722</v>
      </c>
      <c r="G49" s="22" t="n">
        <f aca="false">G48*(1-'1. Inputs'!$B$18)+L49</f>
        <v>255668173.326545</v>
      </c>
      <c r="H49" s="22" t="n">
        <f aca="false">G49*'1. Inputs'!$B$18</f>
        <v>2556681.73326545</v>
      </c>
      <c r="I49" s="22" t="n">
        <f aca="false">F49-H49</f>
        <v>10484054.9489067</v>
      </c>
      <c r="J49" s="22" t="n">
        <f aca="false">J48+I49</f>
        <v>403133324.423211</v>
      </c>
      <c r="K49" s="23" t="n">
        <f aca="false">IF(J48&gt;0,I49/J48*12,"")</f>
        <v>0.320409763031825</v>
      </c>
      <c r="L49" s="22" t="n">
        <f aca="false">IF($A49=MAX('1. Inputs'!$B$17,1),'1. Inputs'!$B$3,0)+IF($A49-'1. Inputs'!$B$17&gt;=1,INDEX($F$3:$F$86,$A49-'1. Inputs'!$B$17),0)</f>
        <v>11627455.8743769</v>
      </c>
      <c r="M49" s="23" t="n">
        <f aca="false">IF(F49&gt;0,H49/F49,"")</f>
        <v>0.196053474245872</v>
      </c>
    </row>
    <row r="50" customFormat="false" ht="15" hidden="false" customHeight="false" outlineLevel="0" collapsed="false">
      <c r="A50" s="7" t="n">
        <v>48</v>
      </c>
      <c r="B50" s="22" t="n">
        <f aca="false">'2. Conversion'!F49*'2. Conversion'!J49*'2. Conversion'!N49</f>
        <v>4030387.2</v>
      </c>
      <c r="C50" s="22" t="n">
        <f aca="false">'2. Conversion'!G49*'2. Conversion'!K49*'2. Conversion'!O49</f>
        <v>5261479.21501203</v>
      </c>
      <c r="D50" s="22" t="n">
        <f aca="false">'2. Conversion'!H49*'2. Conversion'!L49*'2. Conversion'!P49</f>
        <v>2234883.73117409</v>
      </c>
      <c r="E50" s="22" t="n">
        <f aca="false">'2. Conversion'!I49*'2. Conversion'!M49*'2. Conversion'!Q49</f>
        <v>1584664.42288738</v>
      </c>
      <c r="F50" s="22" t="n">
        <f aca="false">SUM(B50:E50)</f>
        <v>13111414.5690735</v>
      </c>
      <c r="G50" s="22" t="n">
        <f aca="false">G49*(1-'1. Inputs'!$B$18)+L50</f>
        <v>264916949.51556</v>
      </c>
      <c r="H50" s="22" t="n">
        <f aca="false">G50*'1. Inputs'!$B$18</f>
        <v>2649169.4951556</v>
      </c>
      <c r="I50" s="22" t="n">
        <f aca="false">F50-H50</f>
        <v>10462245.0739179</v>
      </c>
      <c r="J50" s="22" t="n">
        <f aca="false">J49+I50</f>
        <v>413595569.497129</v>
      </c>
      <c r="K50" s="23" t="n">
        <f aca="false">IF(J49&gt;0,I50/J49*12,"")</f>
        <v>0.311427841066334</v>
      </c>
      <c r="L50" s="22" t="n">
        <f aca="false">IF($A50=MAX('1. Inputs'!$B$17,1),'1. Inputs'!$B$3,0)+IF($A50-'1. Inputs'!$B$17&gt;=1,INDEX($F$3:$F$86,$A50-'1. Inputs'!$B$17),0)</f>
        <v>11805457.9222806</v>
      </c>
      <c r="M50" s="23" t="n">
        <f aca="false">IF(F50&gt;0,H50/F50,"")</f>
        <v>0.202050623996309</v>
      </c>
    </row>
    <row r="51" customFormat="false" ht="15" hidden="false" customHeight="false" outlineLevel="0" collapsed="false">
      <c r="A51" s="7" t="n">
        <v>49</v>
      </c>
      <c r="B51" s="22" t="n">
        <f aca="false">'2. Conversion'!F50*'2. Conversion'!J50*'2. Conversion'!N50</f>
        <v>4044568.56728349</v>
      </c>
      <c r="C51" s="22" t="n">
        <f aca="false">'2. Conversion'!G50*'2. Conversion'!K50*'2. Conversion'!O50</f>
        <v>5286668.98694486</v>
      </c>
      <c r="D51" s="22" t="n">
        <f aca="false">'2. Conversion'!H50*'2. Conversion'!L50*'2. Conversion'!P50</f>
        <v>2250129.1739645</v>
      </c>
      <c r="E51" s="22" t="n">
        <f aca="false">'2. Conversion'!I50*'2. Conversion'!M50*'2. Conversion'!Q50</f>
        <v>1596345.52226721</v>
      </c>
      <c r="F51" s="22" t="n">
        <f aca="false">SUM(B51:E51)</f>
        <v>13177712.2504601</v>
      </c>
      <c r="G51" s="22" t="n">
        <f aca="false">G50*(1-'1. Inputs'!$B$18)+L51</f>
        <v>274235979.343428</v>
      </c>
      <c r="H51" s="22" t="n">
        <f aca="false">G51*'1. Inputs'!$B$18</f>
        <v>2742359.79343428</v>
      </c>
      <c r="I51" s="22" t="n">
        <f aca="false">F51-H51</f>
        <v>10435352.4570258</v>
      </c>
      <c r="J51" s="22" t="n">
        <f aca="false">J50+I51</f>
        <v>424030921.954155</v>
      </c>
      <c r="K51" s="23" t="n">
        <f aca="false">IF(J50&gt;0,I51/J50*12,"")</f>
        <v>0.302769755576839</v>
      </c>
      <c r="L51" s="22" t="n">
        <f aca="false">IF($A51=MAX('1. Inputs'!$B$17,1),'1. Inputs'!$B$3,0)+IF($A51-'1. Inputs'!$B$17&gt;=1,INDEX($F$3:$F$86,$A51-'1. Inputs'!$B$17),0)</f>
        <v>11968199.3230242</v>
      </c>
      <c r="M51" s="23" t="n">
        <f aca="false">IF(F51&gt;0,H51/F51,"")</f>
        <v>0.2081059095321</v>
      </c>
    </row>
    <row r="52" customFormat="false" ht="15" hidden="false" customHeight="false" outlineLevel="0" collapsed="false">
      <c r="A52" s="7" t="n">
        <v>50</v>
      </c>
      <c r="B52" s="22" t="n">
        <f aca="false">'2. Conversion'!F51*'2. Conversion'!J51*'2. Conversion'!N51</f>
        <v>4058011.41751115</v>
      </c>
      <c r="C52" s="22" t="n">
        <f aca="false">'2. Conversion'!G51*'2. Conversion'!K51*'2. Conversion'!O51</f>
        <v>5310388.63820225</v>
      </c>
      <c r="D52" s="22" t="n">
        <f aca="false">'2. Conversion'!H51*'2. Conversion'!L51*'2. Conversion'!P51</f>
        <v>2264367.94050121</v>
      </c>
      <c r="E52" s="22" t="n">
        <f aca="false">'2. Conversion'!I51*'2. Conversion'!M51*'2. Conversion'!Q51</f>
        <v>1607235.12426036</v>
      </c>
      <c r="F52" s="22" t="n">
        <f aca="false">SUM(B52:E52)</f>
        <v>13240003.120475</v>
      </c>
      <c r="G52" s="22" t="n">
        <f aca="false">G51*(1-'1. Inputs'!$B$18)+L52</f>
        <v>283610981.133604</v>
      </c>
      <c r="H52" s="22" t="n">
        <f aca="false">G52*'1. Inputs'!$B$18</f>
        <v>2836109.81133604</v>
      </c>
      <c r="I52" s="22" t="n">
        <f aca="false">F52-H52</f>
        <v>10403893.3091389</v>
      </c>
      <c r="J52" s="22" t="n">
        <f aca="false">J51+I52</f>
        <v>434434815.263294</v>
      </c>
      <c r="K52" s="23" t="n">
        <f aca="false">IF(J51&gt;0,I52/J51*12,"")</f>
        <v>0.294428338231345</v>
      </c>
      <c r="L52" s="22" t="n">
        <f aca="false">IF($A52=MAX('1. Inputs'!$B$17,1),'1. Inputs'!$B$3,0)+IF($A52-'1. Inputs'!$B$17&gt;=1,INDEX($F$3:$F$86,$A52-'1. Inputs'!$B$17),0)</f>
        <v>12117361.5836102</v>
      </c>
      <c r="M52" s="23" t="n">
        <f aca="false">IF(F52&gt;0,H52/F52,"")</f>
        <v>0.214207639192331</v>
      </c>
    </row>
    <row r="53" customFormat="false" ht="15" hidden="false" customHeight="false" outlineLevel="0" collapsed="false">
      <c r="A53" s="7" t="n">
        <v>51</v>
      </c>
      <c r="B53" s="22" t="n">
        <f aca="false">'2. Conversion'!F52*'2. Conversion'!J52*'2. Conversion'!N52</f>
        <v>4070769.23076923</v>
      </c>
      <c r="C53" s="22" t="n">
        <f aca="false">'2. Conversion'!G52*'2. Conversion'!K52*'2. Conversion'!O52</f>
        <v>5332756.17515454</v>
      </c>
      <c r="D53" s="22" t="n">
        <f aca="false">'2. Conversion'!H52*'2. Conversion'!L52*'2. Conversion'!P52</f>
        <v>2277690.13558436</v>
      </c>
      <c r="E53" s="22" t="n">
        <f aca="false">'2. Conversion'!I52*'2. Conversion'!M52*'2. Conversion'!Q52</f>
        <v>1617405.67178658</v>
      </c>
      <c r="F53" s="22" t="n">
        <f aca="false">SUM(B53:E53)</f>
        <v>13298621.2132947</v>
      </c>
      <c r="G53" s="22" t="n">
        <f aca="false">G52*(1-'1. Inputs'!$B$18)+L53</f>
        <v>293029287.42564</v>
      </c>
      <c r="H53" s="22" t="n">
        <f aca="false">G53*'1. Inputs'!$B$18</f>
        <v>2930292.8742564</v>
      </c>
      <c r="I53" s="22" t="n">
        <f aca="false">F53-H53</f>
        <v>10368328.3390383</v>
      </c>
      <c r="J53" s="22" t="n">
        <f aca="false">J52+I53</f>
        <v>444803143.602332</v>
      </c>
      <c r="K53" s="23" t="n">
        <f aca="false">IF(J52&gt;0,I53/J52*12,"")</f>
        <v>0.28639495661289</v>
      </c>
      <c r="L53" s="22" t="n">
        <f aca="false">IF($A53=MAX('1. Inputs'!$B$17,1),'1. Inputs'!$B$3,0)+IF($A53-'1. Inputs'!$B$17&gt;=1,INDEX($F$3:$F$86,$A53-'1. Inputs'!$B$17),0)</f>
        <v>12254416.1033711</v>
      </c>
      <c r="M53" s="23" t="n">
        <f aca="false">IF(F53&gt;0,H53/F53,"")</f>
        <v>0.220345615327923</v>
      </c>
    </row>
    <row r="54" customFormat="false" ht="15" hidden="false" customHeight="false" outlineLevel="0" collapsed="false">
      <c r="A54" s="7" t="n">
        <v>52</v>
      </c>
      <c r="B54" s="22" t="n">
        <f aca="false">'2. Conversion'!F53*'2. Conversion'!J53*'2. Conversion'!N53</f>
        <v>4082890.6416442</v>
      </c>
      <c r="C54" s="22" t="n">
        <f aca="false">'2. Conversion'!G53*'2. Conversion'!K53*'2. Conversion'!O53</f>
        <v>5353877.86451566</v>
      </c>
      <c r="D54" s="22" t="n">
        <f aca="false">'2. Conversion'!H53*'2. Conversion'!L53*'2. Conversion'!P53</f>
        <v>2290176</v>
      </c>
      <c r="E54" s="22" t="n">
        <f aca="false">'2. Conversion'!I53*'2. Conversion'!M53*'2. Conversion'!Q53</f>
        <v>1626921.5254174</v>
      </c>
      <c r="F54" s="22" t="n">
        <f aca="false">SUM(B54:E54)</f>
        <v>13353866.0315773</v>
      </c>
      <c r="G54" s="22" t="n">
        <f aca="false">G53*(1-'1. Inputs'!$B$18)+L54</f>
        <v>302479645.108217</v>
      </c>
      <c r="H54" s="22" t="n">
        <f aca="false">G54*'1. Inputs'!$B$18</f>
        <v>3024796.45108217</v>
      </c>
      <c r="I54" s="22" t="n">
        <f aca="false">F54-H54</f>
        <v>10329069.5804951</v>
      </c>
      <c r="J54" s="22" t="n">
        <f aca="false">J53+I54</f>
        <v>455132213.182827</v>
      </c>
      <c r="K54" s="23" t="n">
        <f aca="false">IF(J53&gt;0,I54/J53*12,"")</f>
        <v>0.278659979698244</v>
      </c>
      <c r="L54" s="22" t="n">
        <f aca="false">IF($A54=MAX('1. Inputs'!$B$17,1),'1. Inputs'!$B$3,0)+IF($A54-'1. Inputs'!$B$17&gt;=1,INDEX($F$3:$F$86,$A54-'1. Inputs'!$B$17),0)</f>
        <v>12380650.5568336</v>
      </c>
      <c r="M54" s="23" t="n">
        <f aca="false">IF(F54&gt;0,H54/F54,"")</f>
        <v>0.226510917806841</v>
      </c>
    </row>
    <row r="55" customFormat="false" ht="15" hidden="false" customHeight="false" outlineLevel="0" collapsed="false">
      <c r="A55" s="7" t="n">
        <v>53</v>
      </c>
      <c r="B55" s="22" t="n">
        <f aca="false">'2. Conversion'!F54*'2. Conversion'!J54*'2. Conversion'!N54</f>
        <v>4094419.95774903</v>
      </c>
      <c r="C55" s="22" t="n">
        <f aca="false">'2. Conversion'!G54*'2. Conversion'!K54*'2. Conversion'!O54</f>
        <v>5373849.6</v>
      </c>
      <c r="D55" s="22" t="n">
        <f aca="false">'2. Conversion'!H54*'2. Conversion'!L54*'2. Conversion'!P54</f>
        <v>2301897.15656776</v>
      </c>
      <c r="E55" s="22" t="n">
        <f aca="false">'2. Conversion'!I54*'2. Conversion'!M54*'2. Conversion'!Q54</f>
        <v>1635840</v>
      </c>
      <c r="F55" s="22" t="n">
        <f aca="false">SUM(B55:E55)</f>
        <v>13406006.7143168</v>
      </c>
      <c r="G55" s="22" t="n">
        <f aca="false">G54*(1-'1. Inputs'!$B$18)+L55</f>
        <v>311952041.432611</v>
      </c>
      <c r="H55" s="22" t="n">
        <f aca="false">G55*'1. Inputs'!$B$18</f>
        <v>3119520.41432611</v>
      </c>
      <c r="I55" s="22" t="n">
        <f aca="false">F55-H55</f>
        <v>10286486.2999907</v>
      </c>
      <c r="J55" s="22" t="n">
        <f aca="false">J54+I55</f>
        <v>465418699.482818</v>
      </c>
      <c r="K55" s="23" t="n">
        <f aca="false">IF(J54&gt;0,I55/J54*12,"")</f>
        <v>0.271213137687319</v>
      </c>
      <c r="L55" s="22" t="n">
        <f aca="false">IF($A55=MAX('1. Inputs'!$B$17,1),'1. Inputs'!$B$3,0)+IF($A55-'1. Inputs'!$B$17&gt;=1,INDEX($F$3:$F$86,$A55-'1. Inputs'!$B$17),0)</f>
        <v>12497192.7754761</v>
      </c>
      <c r="M55" s="23" t="n">
        <f aca="false">IF(F55&gt;0,H55/F55,"")</f>
        <v>0.232695722208959</v>
      </c>
    </row>
    <row r="56" customFormat="false" ht="15" hidden="false" customHeight="false" outlineLevel="0" collapsed="false">
      <c r="A56" s="7" t="n">
        <v>54</v>
      </c>
      <c r="B56" s="22" t="n">
        <f aca="false">'2. Conversion'!F55*'2. Conversion'!J55*'2. Conversion'!N55</f>
        <v>4105397.61509434</v>
      </c>
      <c r="C56" s="22" t="n">
        <f aca="false">'2. Conversion'!G55*'2. Conversion'!K55*'2. Conversion'!O55</f>
        <v>5392758.08971133</v>
      </c>
      <c r="D56" s="22" t="n">
        <f aca="false">'2. Conversion'!H55*'2. Conversion'!L55*'2. Conversion'!P55</f>
        <v>2312917.68178837</v>
      </c>
      <c r="E56" s="22" t="n">
        <f aca="false">'2. Conversion'!I55*'2. Conversion'!M55*'2. Conversion'!Q55</f>
        <v>1644212.25469126</v>
      </c>
      <c r="F56" s="22" t="n">
        <f aca="false">SUM(B56:E56)</f>
        <v>13455285.6412853</v>
      </c>
      <c r="G56" s="22" t="n">
        <f aca="false">G55*(1-'1. Inputs'!$B$18)+L56</f>
        <v>321437552.948892</v>
      </c>
      <c r="H56" s="22" t="n">
        <f aca="false">G56*'1. Inputs'!$B$18</f>
        <v>3214375.52948892</v>
      </c>
      <c r="I56" s="22" t="n">
        <f aca="false">F56-H56</f>
        <v>10240910.1117964</v>
      </c>
      <c r="J56" s="22" t="n">
        <f aca="false">J55+I56</f>
        <v>475659609.594614</v>
      </c>
      <c r="K56" s="23" t="n">
        <f aca="false">IF(J55&gt;0,I56/J55*12,"")</f>
        <v>0.264043798579892</v>
      </c>
      <c r="L56" s="22" t="n">
        <f aca="false">IF($A56=MAX('1. Inputs'!$B$17,1),'1. Inputs'!$B$3,0)+IF($A56-'1. Inputs'!$B$17&gt;=1,INDEX($F$3:$F$86,$A56-'1. Inputs'!$B$17),0)</f>
        <v>12605031.9306072</v>
      </c>
      <c r="M56" s="23" t="n">
        <f aca="false">IF(F56&gt;0,H56/F56,"")</f>
        <v>0.238893146915153</v>
      </c>
    </row>
    <row r="57" customFormat="false" ht="15" hidden="false" customHeight="false" outlineLevel="0" collapsed="false">
      <c r="A57" s="7" t="n">
        <v>55</v>
      </c>
      <c r="B57" s="22" t="n">
        <f aca="false">'2. Conversion'!F56*'2. Conversion'!J56*'2. Conversion'!N56</f>
        <v>4115860.57882939</v>
      </c>
      <c r="C57" s="22" t="n">
        <f aca="false">'2. Conversion'!G56*'2. Conversion'!K56*'2. Conversion'!O56</f>
        <v>5410681.89001487</v>
      </c>
      <c r="D57" s="22" t="n">
        <f aca="false">'2. Conversion'!H56*'2. Conversion'!L56*'2. Conversion'!P56</f>
        <v>2323295.02921348</v>
      </c>
      <c r="E57" s="22" t="n">
        <f aca="false">'2. Conversion'!I56*'2. Conversion'!M56*'2. Conversion'!Q56</f>
        <v>1652084.05842027</v>
      </c>
      <c r="F57" s="22" t="n">
        <f aca="false">SUM(B57:E57)</f>
        <v>13501921.556478</v>
      </c>
      <c r="G57" s="22" t="n">
        <f aca="false">G56*(1-'1. Inputs'!$B$18)+L57</f>
        <v>330928214.497449</v>
      </c>
      <c r="H57" s="22" t="n">
        <f aca="false">G57*'1. Inputs'!$B$18</f>
        <v>3309282.14497449</v>
      </c>
      <c r="I57" s="22" t="n">
        <f aca="false">F57-H57</f>
        <v>10192639.4115035</v>
      </c>
      <c r="J57" s="22" t="n">
        <f aca="false">J56+I57</f>
        <v>485852249.006118</v>
      </c>
      <c r="K57" s="23" t="n">
        <f aca="false">IF(J56&gt;0,I57/J56*12,"")</f>
        <v>0.257141179261118</v>
      </c>
      <c r="L57" s="22" t="n">
        <f aca="false">IF($A57=MAX('1. Inputs'!$B$17,1),'1. Inputs'!$B$3,0)+IF($A57-'1. Inputs'!$B$17&gt;=1,INDEX($F$3:$F$86,$A57-'1. Inputs'!$B$17),0)</f>
        <v>12705037.0780467</v>
      </c>
      <c r="M57" s="23" t="n">
        <f aca="false">IF(F57&gt;0,H57/F57,"")</f>
        <v>0.245097124222793</v>
      </c>
    </row>
    <row r="58" customFormat="false" ht="15" hidden="false" customHeight="false" outlineLevel="0" collapsed="false">
      <c r="A58" s="7" t="n">
        <v>56</v>
      </c>
      <c r="B58" s="22" t="n">
        <f aca="false">'2. Conversion'!F57*'2. Conversion'!J57*'2. Conversion'!N57</f>
        <v>4125842.69662921</v>
      </c>
      <c r="C58" s="22" t="n">
        <f aca="false">'2. Conversion'!G57*'2. Conversion'!K57*'2. Conversion'!O57</f>
        <v>5427692.30769231</v>
      </c>
      <c r="D58" s="22" t="n">
        <f aca="false">'2. Conversion'!H57*'2. Conversion'!L57*'2. Conversion'!P57</f>
        <v>2333080.82663011</v>
      </c>
      <c r="E58" s="22" t="n">
        <f aca="false">'2. Conversion'!I57*'2. Conversion'!M57*'2. Conversion'!Q57</f>
        <v>1659496.4494382</v>
      </c>
      <c r="F58" s="22" t="n">
        <f aca="false">SUM(B58:E58)</f>
        <v>13546112.2803898</v>
      </c>
      <c r="G58" s="22" t="n">
        <f aca="false">G57*(1-'1. Inputs'!$B$18)+L58</f>
        <v>340416905.608761</v>
      </c>
      <c r="H58" s="22" t="n">
        <f aca="false">G58*'1. Inputs'!$B$18</f>
        <v>3404169.05608761</v>
      </c>
      <c r="I58" s="22" t="n">
        <f aca="false">F58-H58</f>
        <v>10141943.2243022</v>
      </c>
      <c r="J58" s="22" t="n">
        <f aca="false">J57+I58</f>
        <v>495994192.23042</v>
      </c>
      <c r="K58" s="23" t="n">
        <f aca="false">IF(J57&gt;0,I58/J57*12,"")</f>
        <v>0.250494505151697</v>
      </c>
      <c r="L58" s="22" t="n">
        <f aca="false">IF($A58=MAX('1. Inputs'!$B$17,1),'1. Inputs'!$B$3,0)+IF($A58-'1. Inputs'!$B$17&gt;=1,INDEX($F$3:$F$86,$A58-'1. Inputs'!$B$17),0)</f>
        <v>12797973.2562863</v>
      </c>
      <c r="M58" s="23" t="n">
        <f aca="false">IF(F58&gt;0,H58/F58,"")</f>
        <v>0.251302291434251</v>
      </c>
    </row>
    <row r="59" customFormat="false" ht="15" hidden="false" customHeight="false" outlineLevel="0" collapsed="false">
      <c r="A59" s="7" t="n">
        <v>57</v>
      </c>
      <c r="B59" s="22" t="n">
        <f aca="false">'2. Conversion'!F58*'2. Conversion'!J58*'2. Conversion'!N58</f>
        <v>4135375.01095019</v>
      </c>
      <c r="C59" s="22" t="n">
        <f aca="false">'2. Conversion'!G58*'2. Conversion'!K58*'2. Conversion'!O58</f>
        <v>5443854.18885893</v>
      </c>
      <c r="D59" s="22" t="n">
        <f aca="false">'2. Conversion'!H58*'2. Conversion'!L58*'2. Conversion'!P58</f>
        <v>2342321.5657256</v>
      </c>
      <c r="E59" s="22" t="n">
        <f aca="false">'2. Conversion'!I58*'2. Conversion'!M58*'2. Conversion'!Q58</f>
        <v>1666486.30473579</v>
      </c>
      <c r="F59" s="22" t="n">
        <f aca="false">SUM(B59:E59)</f>
        <v>13588037.0702705</v>
      </c>
      <c r="G59" s="22" t="n">
        <f aca="false">G58*(1-'1. Inputs'!$B$18)+L59</f>
        <v>349897251.938649</v>
      </c>
      <c r="H59" s="22" t="n">
        <f aca="false">G59*'1. Inputs'!$B$18</f>
        <v>3498972.51938649</v>
      </c>
      <c r="I59" s="22" t="n">
        <f aca="false">F59-H59</f>
        <v>10089064.550884</v>
      </c>
      <c r="J59" s="22" t="n">
        <f aca="false">J58+I59</f>
        <v>506083256.781304</v>
      </c>
      <c r="K59" s="23" t="n">
        <f aca="false">IF(J58&gt;0,I59/J58*12,"")</f>
        <v>0.244093129530768</v>
      </c>
      <c r="L59" s="22" t="n">
        <f aca="false">IF($A59=MAX('1. Inputs'!$B$17,1),'1. Inputs'!$B$3,0)+IF($A59-'1. Inputs'!$B$17&gt;=1,INDEX($F$3:$F$86,$A59-'1. Inputs'!$B$17),0)</f>
        <v>12884515.3859754</v>
      </c>
      <c r="M59" s="23" t="n">
        <f aca="false">IF(F59&gt;0,H59/F59,"")</f>
        <v>0.257503898561033</v>
      </c>
    </row>
    <row r="60" customFormat="false" ht="15" hidden="false" customHeight="false" outlineLevel="0" collapsed="false">
      <c r="A60" s="7" t="n">
        <v>58</v>
      </c>
      <c r="B60" s="22" t="n">
        <f aca="false">'2. Conversion'!F59*'2. Conversion'!J59*'2. Conversion'!N59</f>
        <v>4144486.03548567</v>
      </c>
      <c r="C60" s="22" t="n">
        <f aca="false">'2. Conversion'!G59*'2. Conversion'!K59*'2. Conversion'!O59</f>
        <v>5459226.61033204</v>
      </c>
      <c r="D60" s="22" t="n">
        <f aca="false">'2. Conversion'!H59*'2. Conversion'!L59*'2. Conversion'!P59</f>
        <v>2351059.2</v>
      </c>
      <c r="E60" s="22" t="n">
        <f aca="false">'2. Conversion'!I59*'2. Conversion'!M59*'2. Conversion'!Q59</f>
        <v>1673086.83266114</v>
      </c>
      <c r="F60" s="22" t="n">
        <f aca="false">SUM(B60:E60)</f>
        <v>13627858.6784789</v>
      </c>
      <c r="G60" s="22" t="n">
        <f aca="false">G59*(1-'1. Inputs'!$B$18)+L60</f>
        <v>359363539.651511</v>
      </c>
      <c r="H60" s="22" t="n">
        <f aca="false">G60*'1. Inputs'!$B$18</f>
        <v>3593635.39651511</v>
      </c>
      <c r="I60" s="22" t="n">
        <f aca="false">F60-H60</f>
        <v>10034223.2819637</v>
      </c>
      <c r="J60" s="22" t="n">
        <f aca="false">J59+I60</f>
        <v>516117480.063268</v>
      </c>
      <c r="K60" s="23" t="n">
        <f aca="false">IF(J59&gt;0,I60/J59*12,"")</f>
        <v>0.237926621302152</v>
      </c>
      <c r="L60" s="22" t="n">
        <f aca="false">IF($A60=MAX('1. Inputs'!$B$17,1),'1. Inputs'!$B$3,0)+IF($A60-'1. Inputs'!$B$17&gt;=1,INDEX($F$3:$F$86,$A60-'1. Inputs'!$B$17),0)</f>
        <v>12965260.2322482</v>
      </c>
      <c r="M60" s="23" t="n">
        <f aca="false">IF(F60&gt;0,H60/F60,"")</f>
        <v>0.263697729870811</v>
      </c>
    </row>
    <row r="61" customFormat="false" ht="15" hidden="false" customHeight="false" outlineLevel="0" collapsed="false">
      <c r="A61" s="7" t="n">
        <v>59</v>
      </c>
      <c r="B61" s="22" t="n">
        <f aca="false">'2. Conversion'!F60*'2. Conversion'!J60*'2. Conversion'!N60</f>
        <v>4153202.0003988</v>
      </c>
      <c r="C61" s="22" t="n">
        <f aca="false">'2. Conversion'!G60*'2. Conversion'!K60*'2. Conversion'!O60</f>
        <v>5473863.48679245</v>
      </c>
      <c r="D61" s="22" t="n">
        <f aca="false">'2. Conversion'!H60*'2. Conversion'!L60*'2. Conversion'!P60</f>
        <v>2359331.6642487</v>
      </c>
      <c r="E61" s="22" t="n">
        <f aca="false">'2. Conversion'!I60*'2. Conversion'!M60*'2. Conversion'!Q60</f>
        <v>1679328</v>
      </c>
      <c r="F61" s="22" t="n">
        <f aca="false">SUM(B61:E61)</f>
        <v>13665725.15144</v>
      </c>
      <c r="G61" s="22" t="n">
        <f aca="false">G60*(1-'1. Inputs'!$B$18)+L61</f>
        <v>368810640.937168</v>
      </c>
      <c r="H61" s="22" t="n">
        <f aca="false">G61*'1. Inputs'!$B$18</f>
        <v>3688106.40937168</v>
      </c>
      <c r="I61" s="22" t="n">
        <f aca="false">F61-H61</f>
        <v>9977618.74206828</v>
      </c>
      <c r="J61" s="22" t="n">
        <f aca="false">J60+I61</f>
        <v>526095098.805336</v>
      </c>
      <c r="K61" s="23" t="n">
        <f aca="false">IF(J60&gt;0,I61/J60*12,"")</f>
        <v>0.231984828125066</v>
      </c>
      <c r="L61" s="22" t="n">
        <f aca="false">IF($A61=MAX('1. Inputs'!$B$17,1),'1. Inputs'!$B$3,0)+IF($A61-'1. Inputs'!$B$17&gt;=1,INDEX($F$3:$F$86,$A61-'1. Inputs'!$B$17),0)</f>
        <v>13040736.6821722</v>
      </c>
      <c r="M61" s="23" t="n">
        <f aca="false">IF(F61&gt;0,H61/F61,"")</f>
        <v>0.269880036990431</v>
      </c>
    </row>
    <row r="62" customFormat="false" ht="15" hidden="false" customHeight="false" outlineLevel="0" collapsed="false">
      <c r="A62" s="7" t="n">
        <v>60</v>
      </c>
      <c r="B62" s="22" t="n">
        <f aca="false">'2. Conversion'!F61*'2. Conversion'!J61*'2. Conversion'!N61</f>
        <v>4161547.07027027</v>
      </c>
      <c r="C62" s="22" t="n">
        <f aca="false">'2. Conversion'!G61*'2. Conversion'!K61*'2. Conversion'!O61</f>
        <v>5487814.10510585</v>
      </c>
      <c r="D62" s="22" t="n">
        <f aca="false">'2. Conversion'!H61*'2. Conversion'!L61*'2. Conversion'!P61</f>
        <v>2367173.32688151</v>
      </c>
      <c r="E62" s="22" t="n">
        <f aca="false">'2. Conversion'!I61*'2. Conversion'!M61*'2. Conversion'!Q61</f>
        <v>1685236.90303479</v>
      </c>
      <c r="F62" s="22" t="n">
        <f aca="false">SUM(B62:E62)</f>
        <v>13701771.4052924</v>
      </c>
      <c r="G62" s="22" t="n">
        <f aca="false">G61*(1-'1. Inputs'!$B$18)+L62</f>
        <v>378233949.09687</v>
      </c>
      <c r="H62" s="22" t="n">
        <f aca="false">G62*'1. Inputs'!$B$18</f>
        <v>3782339.4909687</v>
      </c>
      <c r="I62" s="22" t="n">
        <f aca="false">F62-H62</f>
        <v>9919431.91432372</v>
      </c>
      <c r="J62" s="22" t="n">
        <f aca="false">J61+I62</f>
        <v>536014530.71966</v>
      </c>
      <c r="K62" s="23" t="n">
        <f aca="false">IF(J61&gt;0,I62/J61*12,"")</f>
        <v>0.226257920368745</v>
      </c>
      <c r="L62" s="22" t="n">
        <f aca="false">IF($A62=MAX('1. Inputs'!$B$17,1),'1. Inputs'!$B$3,0)+IF($A62-'1. Inputs'!$B$17&gt;=1,INDEX($F$3:$F$86,$A62-'1. Inputs'!$B$17),0)</f>
        <v>13111414.5690735</v>
      </c>
      <c r="M62" s="23" t="n">
        <f aca="false">IF(F62&gt;0,H62/F62,"")</f>
        <v>0.276047481678737</v>
      </c>
    </row>
    <row r="63" customFormat="false" ht="15" hidden="false" customHeight="false" outlineLevel="0" collapsed="false">
      <c r="A63" s="7" t="n">
        <v>61</v>
      </c>
      <c r="B63" s="22" t="n">
        <f aca="false">'2. Conversion'!F62*'2. Conversion'!J62*'2. Conversion'!N62</f>
        <v>4169543.5381546</v>
      </c>
      <c r="C63" s="22" t="n">
        <f aca="false">'2. Conversion'!G62*'2. Conversion'!K62*'2. Conversion'!O62</f>
        <v>5501123.59550562</v>
      </c>
      <c r="D63" s="22" t="n">
        <f aca="false">'2. Conversion'!H62*'2. Conversion'!L62*'2. Conversion'!P62</f>
        <v>2374615.38461538</v>
      </c>
      <c r="E63" s="22" t="n">
        <f aca="false">'2. Conversion'!I62*'2. Conversion'!M62*'2. Conversion'!Q62</f>
        <v>1690838.09062965</v>
      </c>
      <c r="F63" s="22" t="n">
        <f aca="false">SUM(B63:E63)</f>
        <v>13736120.6089053</v>
      </c>
      <c r="G63" s="22" t="n">
        <f aca="false">G62*(1-'1. Inputs'!$B$18)+L63</f>
        <v>387629321.856361</v>
      </c>
      <c r="H63" s="22" t="n">
        <f aca="false">G63*'1. Inputs'!$B$18</f>
        <v>3876293.21856361</v>
      </c>
      <c r="I63" s="22" t="n">
        <f aca="false">F63-H63</f>
        <v>9859827.39034164</v>
      </c>
      <c r="J63" s="22" t="n">
        <f aca="false">J62+I63</f>
        <v>545874358.110001</v>
      </c>
      <c r="K63" s="23" t="n">
        <f aca="false">IF(J62&gt;0,I63/J62*12,"")</f>
        <v>0.220736420196006</v>
      </c>
      <c r="L63" s="22" t="n">
        <f aca="false">IF($A63=MAX('1. Inputs'!$B$17,1),'1. Inputs'!$B$3,0)+IF($A63-'1. Inputs'!$B$17&gt;=1,INDEX($F$3:$F$86,$A63-'1. Inputs'!$B$17),0)</f>
        <v>13177712.2504601</v>
      </c>
      <c r="M63" s="23" t="n">
        <f aca="false">IF(F63&gt;0,H63/F63,"")</f>
        <v>0.282197086712428</v>
      </c>
    </row>
    <row r="64" customFormat="false" ht="15" hidden="false" customHeight="false" outlineLevel="0" collapsed="false">
      <c r="A64" s="7" t="n">
        <v>62</v>
      </c>
      <c r="B64" s="22" t="n">
        <f aca="false">'2. Conversion'!F63*'2. Conversion'!J63*'2. Conversion'!N63</f>
        <v>4177211.99867639</v>
      </c>
      <c r="C64" s="22" t="n">
        <f aca="false">'2. Conversion'!G63*'2. Conversion'!K63*'2. Conversion'!O63</f>
        <v>5513833.34793359</v>
      </c>
      <c r="D64" s="22" t="n">
        <f aca="false">'2. Conversion'!H63*'2. Conversion'!L63*'2. Conversion'!P63</f>
        <v>2381686.20762578</v>
      </c>
      <c r="E64" s="22" t="n">
        <f aca="false">'2. Conversion'!I63*'2. Conversion'!M63*'2. Conversion'!Q63</f>
        <v>1696153.84615385</v>
      </c>
      <c r="F64" s="22" t="n">
        <f aca="false">SUM(B64:E64)</f>
        <v>13768885.4003896</v>
      </c>
      <c r="G64" s="22" t="n">
        <f aca="false">G63*(1-'1. Inputs'!$B$18)+L64</f>
        <v>396993031.758272</v>
      </c>
      <c r="H64" s="22" t="n">
        <f aca="false">G64*'1. Inputs'!$B$18</f>
        <v>3969930.31758272</v>
      </c>
      <c r="I64" s="22" t="n">
        <f aca="false">F64-H64</f>
        <v>9798955.08280688</v>
      </c>
      <c r="J64" s="22" t="n">
        <f aca="false">J63+I64</f>
        <v>555673313.192808</v>
      </c>
      <c r="K64" s="23" t="n">
        <f aca="false">IF(J63&gt;0,I64/J63*12,"")</f>
        <v>0.215411219169205</v>
      </c>
      <c r="L64" s="22" t="n">
        <f aca="false">IF($A64=MAX('1. Inputs'!$B$17,1),'1. Inputs'!$B$3,0)+IF($A64-'1. Inputs'!$B$17&gt;=1,INDEX($F$3:$F$86,$A64-'1. Inputs'!$B$17),0)</f>
        <v>13240003.120475</v>
      </c>
      <c r="M64" s="23" t="n">
        <f aca="false">IF(F64&gt;0,H64/F64,"")</f>
        <v>0.288326193598095</v>
      </c>
    </row>
    <row r="65" customFormat="false" ht="15" hidden="false" customHeight="false" outlineLevel="0" collapsed="false">
      <c r="A65" s="7" t="n">
        <v>63</v>
      </c>
      <c r="B65" s="22" t="n">
        <f aca="false">'2. Conversion'!F64*'2. Conversion'!J64*'2. Conversion'!N64</f>
        <v>4184571.5027027</v>
      </c>
      <c r="C65" s="22" t="n">
        <f aca="false">'2. Conversion'!G64*'2. Conversion'!K64*'2. Conversion'!O64</f>
        <v>5525981.38064756</v>
      </c>
      <c r="D65" s="22" t="n">
        <f aca="false">'2. Conversion'!H64*'2. Conversion'!L64*'2. Conversion'!P64</f>
        <v>2388411.64202027</v>
      </c>
      <c r="E65" s="22" t="n">
        <f aca="false">'2. Conversion'!I64*'2. Conversion'!M64*'2. Conversion'!Q64</f>
        <v>1701204.43401842</v>
      </c>
      <c r="F65" s="22" t="n">
        <f aca="false">SUM(B65:E65)</f>
        <v>13800168.9593889</v>
      </c>
      <c r="G65" s="22" t="n">
        <f aca="false">G64*(1-'1. Inputs'!$B$18)+L65</f>
        <v>406321722.653984</v>
      </c>
      <c r="H65" s="22" t="n">
        <f aca="false">G65*'1. Inputs'!$B$18</f>
        <v>4063217.22653984</v>
      </c>
      <c r="I65" s="22" t="n">
        <f aca="false">F65-H65</f>
        <v>9736951.7328491</v>
      </c>
      <c r="J65" s="22" t="n">
        <f aca="false">J64+I65</f>
        <v>565410264.925657</v>
      </c>
      <c r="K65" s="23" t="n">
        <f aca="false">IF(J64&gt;0,I65/J64*12,"")</f>
        <v>0.210273587052122</v>
      </c>
      <c r="L65" s="22" t="n">
        <f aca="false">IF($A65=MAX('1. Inputs'!$B$17,1),'1. Inputs'!$B$3,0)+IF($A65-'1. Inputs'!$B$17&gt;=1,INDEX($F$3:$F$86,$A65-'1. Inputs'!$B$17),0)</f>
        <v>13298621.2132947</v>
      </c>
      <c r="M65" s="23" t="n">
        <f aca="false">IF(F65&gt;0,H65/F65,"")</f>
        <v>0.294432426044714</v>
      </c>
    </row>
    <row r="66" customFormat="false" ht="15" hidden="false" customHeight="false" outlineLevel="0" collapsed="false">
      <c r="A66" s="7" t="n">
        <v>64</v>
      </c>
      <c r="B66" s="22" t="n">
        <f aca="false">'2. Conversion'!F65*'2. Conversion'!J65*'2. Conversion'!N65</f>
        <v>4191639.695791</v>
      </c>
      <c r="C66" s="22" t="n">
        <f aca="false">'2. Conversion'!G65*'2. Conversion'!K65*'2. Conversion'!O65</f>
        <v>5537602.6671984</v>
      </c>
      <c r="D66" s="22" t="n">
        <f aca="false">'2. Conversion'!H65*'2. Conversion'!L65*'2. Conversion'!P65</f>
        <v>2394815.2754717</v>
      </c>
      <c r="E66" s="22" t="n">
        <f aca="false">'2. Conversion'!I65*'2. Conversion'!M65*'2. Conversion'!Q65</f>
        <v>1706008.31572876</v>
      </c>
      <c r="F66" s="22" t="n">
        <f aca="false">SUM(B66:E66)</f>
        <v>13830065.9541899</v>
      </c>
      <c r="G66" s="22" t="n">
        <f aca="false">G65*(1-'1. Inputs'!$B$18)+L66</f>
        <v>415612371.459022</v>
      </c>
      <c r="H66" s="22" t="n">
        <f aca="false">G66*'1. Inputs'!$B$18</f>
        <v>4156123.71459022</v>
      </c>
      <c r="I66" s="22" t="n">
        <f aca="false">F66-H66</f>
        <v>9673942.23959965</v>
      </c>
      <c r="J66" s="22" t="n">
        <f aca="false">J65+I66</f>
        <v>575084207.165257</v>
      </c>
      <c r="K66" s="23" t="n">
        <f aca="false">IF(J65&gt;0,I66/J65*12,"")</f>
        <v>0.205315173912627</v>
      </c>
      <c r="L66" s="22" t="n">
        <f aca="false">IF($A66=MAX('1. Inputs'!$B$17,1),'1. Inputs'!$B$3,0)+IF($A66-'1. Inputs'!$B$17&gt;=1,INDEX($F$3:$F$86,$A66-'1. Inputs'!$B$17),0)</f>
        <v>13353866.0315773</v>
      </c>
      <c r="M66" s="23" t="n">
        <f aca="false">IF(F66&gt;0,H66/F66,"")</f>
        <v>0.300513658312028</v>
      </c>
    </row>
    <row r="67" customFormat="false" ht="15" hidden="false" customHeight="false" outlineLevel="0" collapsed="false">
      <c r="A67" s="7" t="n">
        <v>65</v>
      </c>
      <c r="B67" s="22" t="n">
        <f aca="false">'2. Conversion'!F66*'2. Conversion'!J66*'2. Conversion'!N66</f>
        <v>4198432.94232281</v>
      </c>
      <c r="C67" s="22" t="n">
        <f aca="false">'2. Conversion'!G66*'2. Conversion'!K66*'2. Conversion'!O66</f>
        <v>5548729.42702703</v>
      </c>
      <c r="D67" s="22" t="n">
        <f aca="false">'2. Conversion'!H66*'2. Conversion'!L66*'2. Conversion'!P66</f>
        <v>2400918.67098381</v>
      </c>
      <c r="E67" s="22" t="n">
        <f aca="false">'2. Conversion'!I66*'2. Conversion'!M66*'2. Conversion'!Q66</f>
        <v>1710582.33962264</v>
      </c>
      <c r="F67" s="22" t="n">
        <f aca="false">SUM(B67:E67)</f>
        <v>13858663.3799563</v>
      </c>
      <c r="G67" s="22" t="n">
        <f aca="false">G66*(1-'1. Inputs'!$B$18)+L67</f>
        <v>424862254.458748</v>
      </c>
      <c r="H67" s="22" t="n">
        <f aca="false">G67*'1. Inputs'!$B$18</f>
        <v>4248622.54458748</v>
      </c>
      <c r="I67" s="22" t="n">
        <f aca="false">F67-H67</f>
        <v>9610040.83536881</v>
      </c>
      <c r="J67" s="22" t="n">
        <f aca="false">J66+I67</f>
        <v>584694248.000626</v>
      </c>
      <c r="K67" s="23" t="n">
        <f aca="false">IF(J66&gt;0,I67/J66*12,"")</f>
        <v>0.200528007181541</v>
      </c>
      <c r="L67" s="22" t="n">
        <f aca="false">IF($A67=MAX('1. Inputs'!$B$17,1),'1. Inputs'!$B$3,0)+IF($A67-'1. Inputs'!$B$17&gt;=1,INDEX($F$3:$F$86,$A67-'1. Inputs'!$B$17),0)</f>
        <v>13406006.7143168</v>
      </c>
      <c r="M67" s="23" t="n">
        <f aca="false">IF(F67&gt;0,H67/F67,"")</f>
        <v>0.306567987698745</v>
      </c>
    </row>
    <row r="68" customFormat="false" ht="15" hidden="false" customHeight="false" outlineLevel="0" collapsed="false">
      <c r="A68" s="7" t="n">
        <v>66</v>
      </c>
      <c r="B68" s="22" t="n">
        <f aca="false">'2. Conversion'!F67*'2. Conversion'!J67*'2. Conversion'!N67</f>
        <v>4204966.436986</v>
      </c>
      <c r="C68" s="22" t="n">
        <f aca="false">'2. Conversion'!G67*'2. Conversion'!K67*'2. Conversion'!O67</f>
        <v>5559391.38420614</v>
      </c>
      <c r="D68" s="22" t="n">
        <f aca="false">'2. Conversion'!H67*'2. Conversion'!L67*'2. Conversion'!P67</f>
        <v>2406741.57303371</v>
      </c>
      <c r="E68" s="22" t="n">
        <f aca="false">'2. Conversion'!I67*'2. Conversion'!M67*'2. Conversion'!Q67</f>
        <v>1714941.90784558</v>
      </c>
      <c r="F68" s="22" t="n">
        <f aca="false">SUM(B68:E68)</f>
        <v>13886041.3020714</v>
      </c>
      <c r="G68" s="22" t="n">
        <f aca="false">G67*(1-'1. Inputs'!$B$18)+L68</f>
        <v>434068917.555446</v>
      </c>
      <c r="H68" s="22" t="n">
        <f aca="false">G68*'1. Inputs'!$B$18</f>
        <v>4340689.17555446</v>
      </c>
      <c r="I68" s="22" t="n">
        <f aca="false">F68-H68</f>
        <v>9545352.12651696</v>
      </c>
      <c r="J68" s="22" t="n">
        <f aca="false">J67+I68</f>
        <v>594239600.127143</v>
      </c>
      <c r="K68" s="23" t="n">
        <f aca="false">IF(J67&gt;0,I68/J67*12,"")</f>
        <v>0.19590448496781</v>
      </c>
      <c r="L68" s="22" t="n">
        <f aca="false">IF($A68=MAX('1. Inputs'!$B$17,1),'1. Inputs'!$B$3,0)+IF($A68-'1. Inputs'!$B$17&gt;=1,INDEX($F$3:$F$86,$A68-'1. Inputs'!$B$17),0)</f>
        <v>13455285.6412853</v>
      </c>
      <c r="M68" s="23" t="n">
        <f aca="false">IF(F68&gt;0,H68/F68,"")</f>
        <v>0.312593710556438</v>
      </c>
    </row>
    <row r="69" customFormat="false" ht="15" hidden="false" customHeight="false" outlineLevel="0" collapsed="false">
      <c r="A69" s="7" t="n">
        <v>67</v>
      </c>
      <c r="B69" s="22" t="n">
        <f aca="false">'2. Conversion'!F68*'2. Conversion'!J68*'2. Conversion'!N68</f>
        <v>4211254.30505547</v>
      </c>
      <c r="C69" s="22" t="n">
        <f aca="false">'2. Conversion'!G68*'2. Conversion'!K68*'2. Conversion'!O68</f>
        <v>5569615.99823518</v>
      </c>
      <c r="D69" s="22" t="n">
        <f aca="false">'2. Conversion'!H68*'2. Conversion'!L68*'2. Conversion'!P68</f>
        <v>2412302.08972095</v>
      </c>
      <c r="E69" s="22" t="n">
        <f aca="false">'2. Conversion'!I68*'2. Conversion'!M68*'2. Conversion'!Q68</f>
        <v>1719101.12359551</v>
      </c>
      <c r="F69" s="22" t="n">
        <f aca="false">SUM(B69:E69)</f>
        <v>13912273.5166071</v>
      </c>
      <c r="G69" s="22" t="n">
        <f aca="false">G68*(1-'1. Inputs'!$B$18)+L69</f>
        <v>443230149.93637</v>
      </c>
      <c r="H69" s="22" t="n">
        <f aca="false">G69*'1. Inputs'!$B$18</f>
        <v>4432301.4993637</v>
      </c>
      <c r="I69" s="22" t="n">
        <f aca="false">F69-H69</f>
        <v>9479972.01724341</v>
      </c>
      <c r="J69" s="22" t="n">
        <f aca="false">J68+I69</f>
        <v>603719572.144386</v>
      </c>
      <c r="K69" s="23" t="n">
        <f aca="false">IF(J68&gt;0,I69/J68*12,"")</f>
        <v>0.191437366649044</v>
      </c>
      <c r="L69" s="22" t="n">
        <f aca="false">IF($A69=MAX('1. Inputs'!$B$17,1),'1. Inputs'!$B$3,0)+IF($A69-'1. Inputs'!$B$17&gt;=1,INDEX($F$3:$F$86,$A69-'1. Inputs'!$B$17),0)</f>
        <v>13501921.556478</v>
      </c>
      <c r="M69" s="23" t="n">
        <f aca="false">IF(F69&gt;0,H69/F69,"")</f>
        <v>0.318589301315335</v>
      </c>
    </row>
    <row r="70" customFormat="false" ht="15" hidden="false" customHeight="false" outlineLevel="0" collapsed="false">
      <c r="A70" s="7" t="n">
        <v>68</v>
      </c>
      <c r="B70" s="22" t="n">
        <f aca="false">'2. Conversion'!F69*'2. Conversion'!J69*'2. Conversion'!N69</f>
        <v>4217309.69273885</v>
      </c>
      <c r="C70" s="22" t="n">
        <f aca="false">'2. Conversion'!G69*'2. Conversion'!K69*'2. Conversion'!O69</f>
        <v>5579428.67027027</v>
      </c>
      <c r="D70" s="22" t="n">
        <f aca="false">'2. Conversion'!H69*'2. Conversion'!L69*'2. Conversion'!P69</f>
        <v>2417616.85403331</v>
      </c>
      <c r="E70" s="22" t="n">
        <f aca="false">'2. Conversion'!I69*'2. Conversion'!M69*'2. Conversion'!Q69</f>
        <v>1723072.92122925</v>
      </c>
      <c r="F70" s="22" t="n">
        <f aca="false">SUM(B70:E70)</f>
        <v>13937428.1382717</v>
      </c>
      <c r="G70" s="22" t="n">
        <f aca="false">G69*(1-'1. Inputs'!$B$18)+L70</f>
        <v>452343960.717396</v>
      </c>
      <c r="H70" s="22" t="n">
        <f aca="false">G70*'1. Inputs'!$B$18</f>
        <v>4523439.60717396</v>
      </c>
      <c r="I70" s="22" t="n">
        <f aca="false">F70-H70</f>
        <v>9413988.53109772</v>
      </c>
      <c r="J70" s="22" t="n">
        <f aca="false">J69+I70</f>
        <v>613133560.675484</v>
      </c>
      <c r="K70" s="23" t="n">
        <f aca="false">IF(J69&gt;0,I70/J69*12,"")</f>
        <v>0.187119761534177</v>
      </c>
      <c r="L70" s="22" t="n">
        <f aca="false">IF($A70=MAX('1. Inputs'!$B$17,1),'1. Inputs'!$B$3,0)+IF($A70-'1. Inputs'!$B$17&gt;=1,INDEX($F$3:$F$86,$A70-'1. Inputs'!$B$17),0)</f>
        <v>13546112.2803898</v>
      </c>
      <c r="M70" s="23" t="n">
        <f aca="false">IF(F70&gt;0,H70/F70,"")</f>
        <v>0.324553394090891</v>
      </c>
    </row>
    <row r="71" customFormat="false" ht="15" hidden="false" customHeight="false" outlineLevel="0" collapsed="false">
      <c r="A71" s="7" t="n">
        <v>69</v>
      </c>
      <c r="B71" s="22" t="n">
        <f aca="false">'2. Conversion'!F70*'2. Conversion'!J70*'2. Conversion'!N70</f>
        <v>4223144.84869565</v>
      </c>
      <c r="C71" s="22" t="n">
        <f aca="false">'2. Conversion'!G70*'2. Conversion'!K70*'2. Conversion'!O70</f>
        <v>5588852.92772133</v>
      </c>
      <c r="D71" s="22" t="n">
        <f aca="false">'2. Conversion'!H70*'2. Conversion'!L70*'2. Conversion'!P70</f>
        <v>2422701.1668993</v>
      </c>
      <c r="E71" s="22" t="n">
        <f aca="false">'2. Conversion'!I70*'2. Conversion'!M70*'2. Conversion'!Q70</f>
        <v>1726869.18145236</v>
      </c>
      <c r="F71" s="22" t="n">
        <f aca="false">SUM(B71:E71)</f>
        <v>13961568.1247686</v>
      </c>
      <c r="G71" s="22" t="n">
        <f aca="false">G70*(1-'1. Inputs'!$B$18)+L71</f>
        <v>461408558.180492</v>
      </c>
      <c r="H71" s="22" t="n">
        <f aca="false">G71*'1. Inputs'!$B$18</f>
        <v>4614085.58180492</v>
      </c>
      <c r="I71" s="22" t="n">
        <f aca="false">F71-H71</f>
        <v>9347482.54296373</v>
      </c>
      <c r="J71" s="22" t="n">
        <f aca="false">J70+I71</f>
        <v>622481043.218448</v>
      </c>
      <c r="K71" s="23" t="n">
        <f aca="false">IF(J70&gt;0,I71/J70*12,"")</f>
        <v>0.182945116219031</v>
      </c>
      <c r="L71" s="22" t="n">
        <f aca="false">IF($A71=MAX('1. Inputs'!$B$17,1),'1. Inputs'!$B$3,0)+IF($A71-'1. Inputs'!$B$17&gt;=1,INDEX($F$3:$F$86,$A71-'1. Inputs'!$B$17),0)</f>
        <v>13588037.0702705</v>
      </c>
      <c r="M71" s="23" t="n">
        <f aca="false">IF(F71&gt;0,H71/F71,"")</f>
        <v>0.330484766508374</v>
      </c>
    </row>
    <row r="72" customFormat="false" ht="15" hidden="false" customHeight="false" outlineLevel="0" collapsed="false">
      <c r="A72" s="7" t="n">
        <v>70</v>
      </c>
      <c r="B72" s="22" t="n">
        <f aca="false">'2. Conversion'!F71*'2. Conversion'!J71*'2. Conversion'!N71</f>
        <v>4228771.1977017</v>
      </c>
      <c r="C72" s="22" t="n">
        <f aca="false">'2. Conversion'!G71*'2. Conversion'!K71*'2. Conversion'!O71</f>
        <v>5597910.58976375</v>
      </c>
      <c r="D72" s="22" t="n">
        <f aca="false">'2. Conversion'!H71*'2. Conversion'!L71*'2. Conversion'!P71</f>
        <v>2427569.12432432</v>
      </c>
      <c r="E72" s="22" t="n">
        <f aca="false">'2. Conversion'!I71*'2. Conversion'!M71*'2. Conversion'!Q71</f>
        <v>1730500.8334995</v>
      </c>
      <c r="F72" s="22" t="n">
        <f aca="false">SUM(B72:E72)</f>
        <v>13984751.7452893</v>
      </c>
      <c r="G72" s="22" t="n">
        <f aca="false">G71*(1-'1. Inputs'!$B$18)+L72</f>
        <v>470422331.277166</v>
      </c>
      <c r="H72" s="22" t="n">
        <f aca="false">G72*'1. Inputs'!$B$18</f>
        <v>4704223.31277166</v>
      </c>
      <c r="I72" s="22" t="n">
        <f aca="false">F72-H72</f>
        <v>9280528.43251761</v>
      </c>
      <c r="J72" s="22" t="n">
        <f aca="false">J71+I72</f>
        <v>631761571.650965</v>
      </c>
      <c r="K72" s="23" t="n">
        <f aca="false">IF(J71&gt;0,I72/J71*12,"")</f>
        <v>0.178907201116371</v>
      </c>
      <c r="L72" s="22" t="n">
        <f aca="false">IF($A72=MAX('1. Inputs'!$B$17,1),'1. Inputs'!$B$3,0)+IF($A72-'1. Inputs'!$B$17&gt;=1,INDEX($F$3:$F$86,$A72-'1. Inputs'!$B$17),0)</f>
        <v>13627858.6784789</v>
      </c>
      <c r="M72" s="23" t="n">
        <f aca="false">IF(F72&gt;0,H72/F72,"")</f>
        <v>0.336382325439296</v>
      </c>
    </row>
    <row r="73" customFormat="false" ht="15" hidden="false" customHeight="false" outlineLevel="0" collapsed="false">
      <c r="A73" s="7" t="n">
        <v>71</v>
      </c>
      <c r="B73" s="22" t="n">
        <f aca="false">'2. Conversion'!F72*'2. Conversion'!J72*'2. Conversion'!N72</f>
        <v>4234199.40731243</v>
      </c>
      <c r="C73" s="22" t="n">
        <f aca="false">'2. Conversion'!G72*'2. Conversion'!K72*'2. Conversion'!O72</f>
        <v>5606621.91598133</v>
      </c>
      <c r="D73" s="22" t="n">
        <f aca="false">'2. Conversion'!H72*'2. Conversion'!L72*'2. Conversion'!P72</f>
        <v>2432233.73059018</v>
      </c>
      <c r="E73" s="22" t="n">
        <f aca="false">'2. Conversion'!I72*'2. Conversion'!M72*'2. Conversion'!Q72</f>
        <v>1733977.94594595</v>
      </c>
      <c r="F73" s="22" t="n">
        <f aca="false">SUM(B73:E73)</f>
        <v>14007032.9998299</v>
      </c>
      <c r="G73" s="22" t="n">
        <f aca="false">G72*(1-'1. Inputs'!$B$18)+L73</f>
        <v>479383833.115835</v>
      </c>
      <c r="H73" s="22" t="n">
        <f aca="false">G73*'1. Inputs'!$B$18</f>
        <v>4793838.33115835</v>
      </c>
      <c r="I73" s="22" t="n">
        <f aca="false">F73-H73</f>
        <v>9213194.66867155</v>
      </c>
      <c r="J73" s="22" t="n">
        <f aca="false">J72+I73</f>
        <v>640974766.319637</v>
      </c>
      <c r="K73" s="23" t="n">
        <f aca="false">IF(J72&gt;0,I73/J72*12,"")</f>
        <v>0.175000096531892</v>
      </c>
      <c r="L73" s="22" t="n">
        <f aca="false">IF($A73=MAX('1. Inputs'!$B$17,1),'1. Inputs'!$B$3,0)+IF($A73-'1. Inputs'!$B$17&gt;=1,INDEX($F$3:$F$86,$A73-'1. Inputs'!$B$17),0)</f>
        <v>13665725.15144</v>
      </c>
      <c r="M73" s="23" t="n">
        <f aca="false">IF(F73&gt;0,H73/F73,"")</f>
        <v>0.342245094390551</v>
      </c>
    </row>
    <row r="74" customFormat="false" ht="15" hidden="false" customHeight="false" outlineLevel="0" collapsed="false">
      <c r="A74" s="7" t="n">
        <v>72</v>
      </c>
      <c r="B74" s="22" t="n">
        <f aca="false">'2. Conversion'!F73*'2. Conversion'!J73*'2. Conversion'!N73</f>
        <v>4239439.44827586</v>
      </c>
      <c r="C74" s="22" t="n">
        <f aca="false">'2. Conversion'!G73*'2. Conversion'!K73*'2. Conversion'!O73</f>
        <v>5615005.74007396</v>
      </c>
      <c r="D74" s="22" t="n">
        <f aca="false">'2. Conversion'!H73*'2. Conversion'!L73*'2. Conversion'!P73</f>
        <v>2436706.99922789</v>
      </c>
      <c r="E74" s="22" t="n">
        <f aca="false">'2. Conversion'!I73*'2. Conversion'!M73*'2. Conversion'!Q73</f>
        <v>1737309.80756442</v>
      </c>
      <c r="F74" s="22" t="n">
        <f aca="false">SUM(B74:E74)</f>
        <v>14028461.9951421</v>
      </c>
      <c r="G74" s="22" t="n">
        <f aca="false">G73*(1-'1. Inputs'!$B$18)+L74</f>
        <v>488291766.189969</v>
      </c>
      <c r="H74" s="22" t="n">
        <f aca="false">G74*'1. Inputs'!$B$18</f>
        <v>4882917.66189969</v>
      </c>
      <c r="I74" s="22" t="n">
        <f aca="false">F74-H74</f>
        <v>9145544.33324244</v>
      </c>
      <c r="J74" s="22" t="n">
        <f aca="false">J73+I74</f>
        <v>650120310.652879</v>
      </c>
      <c r="K74" s="23" t="n">
        <f aca="false">IF(J73&gt;0,I74/J73*12,"")</f>
        <v>0.171218178570514</v>
      </c>
      <c r="L74" s="22" t="n">
        <f aca="false">IF($A74=MAX('1. Inputs'!$B$17,1),'1. Inputs'!$B$3,0)+IF($A74-'1. Inputs'!$B$17&gt;=1,INDEX($F$3:$F$86,$A74-'1. Inputs'!$B$17),0)</f>
        <v>13701771.4052924</v>
      </c>
      <c r="M74" s="23" t="n">
        <f aca="false">IF(F74&gt;0,H74/F74,"")</f>
        <v>0.348072202326283</v>
      </c>
    </row>
    <row r="75" customFormat="false" ht="15" hidden="false" customHeight="false" outlineLevel="0" collapsed="false">
      <c r="A75" s="7" t="n">
        <v>73</v>
      </c>
      <c r="B75" s="22" t="n">
        <f aca="false">'2. Conversion'!F74*'2. Conversion'!J74*'2. Conversion'!N74</f>
        <v>4244500.64935703</v>
      </c>
      <c r="C75" s="22" t="n">
        <f aca="false">'2. Conversion'!G74*'2. Conversion'!K74*'2. Conversion'!O74</f>
        <v>5623079.59031847</v>
      </c>
      <c r="D75" s="22" t="n">
        <f aca="false">'2. Conversion'!H74*'2. Conversion'!L74*'2. Conversion'!P74</f>
        <v>2441000.04324324</v>
      </c>
      <c r="E75" s="22" t="n">
        <f aca="false">'2. Conversion'!I74*'2. Conversion'!M74*'2. Conversion'!Q74</f>
        <v>1740504.99944849</v>
      </c>
      <c r="F75" s="22" t="n">
        <f aca="false">SUM(B75:E75)</f>
        <v>14049085.2823672</v>
      </c>
      <c r="G75" s="22" t="n">
        <f aca="false">G74*(1-'1. Inputs'!$B$18)+L75</f>
        <v>497144969.136974</v>
      </c>
      <c r="H75" s="22" t="n">
        <f aca="false">G75*'1. Inputs'!$B$18</f>
        <v>4971449.69136974</v>
      </c>
      <c r="I75" s="22" t="n">
        <f aca="false">F75-H75</f>
        <v>9077635.5909975</v>
      </c>
      <c r="J75" s="22" t="n">
        <f aca="false">J74+I75</f>
        <v>659197946.243877</v>
      </c>
      <c r="K75" s="23" t="n">
        <f aca="false">IF(J74&gt;0,I75/J74*12,"")</f>
        <v>0.167556105088574</v>
      </c>
      <c r="L75" s="22" t="n">
        <f aca="false">IF($A75=MAX('1. Inputs'!$B$17,1),'1. Inputs'!$B$3,0)+IF($A75-'1. Inputs'!$B$17&gt;=1,INDEX($F$3:$F$86,$A75-'1. Inputs'!$B$17),0)</f>
        <v>13736120.6089053</v>
      </c>
      <c r="M75" s="23" t="n">
        <f aca="false">IF(F75&gt;0,H75/F75,"")</f>
        <v>0.353862873735226</v>
      </c>
    </row>
    <row r="76" customFormat="false" ht="15" hidden="false" customHeight="false" outlineLevel="0" collapsed="false">
      <c r="A76" s="7" t="n">
        <v>74</v>
      </c>
      <c r="B76" s="22" t="n">
        <f aca="false">'2. Conversion'!F75*'2. Conversion'!J75*'2. Conversion'!N75</f>
        <v>4249391.747158</v>
      </c>
      <c r="C76" s="22" t="n">
        <f aca="false">'2. Conversion'!G75*'2. Conversion'!K75*'2. Conversion'!O75</f>
        <v>5630859.79826087</v>
      </c>
      <c r="D76" s="22" t="n">
        <f aca="false">'2. Conversion'!H75*'2. Conversion'!L75*'2. Conversion'!P75</f>
        <v>2445123.15587808</v>
      </c>
      <c r="E76" s="22" t="n">
        <f aca="false">'2. Conversion'!I75*'2. Conversion'!M75*'2. Conversion'!Q75</f>
        <v>1743571.45945946</v>
      </c>
      <c r="F76" s="22" t="n">
        <f aca="false">SUM(B76:E76)</f>
        <v>14068946.1607564</v>
      </c>
      <c r="G76" s="22" t="n">
        <f aca="false">G75*(1-'1. Inputs'!$B$18)+L76</f>
        <v>505942404.845994</v>
      </c>
      <c r="H76" s="22" t="n">
        <f aca="false">G76*'1. Inputs'!$B$18</f>
        <v>5059424.04845994</v>
      </c>
      <c r="I76" s="22" t="n">
        <f aca="false">F76-H76</f>
        <v>9009522.11229647</v>
      </c>
      <c r="J76" s="22" t="n">
        <f aca="false">J75+I76</f>
        <v>668207468.356173</v>
      </c>
      <c r="K76" s="23" t="n">
        <f aca="false">IF(J75&gt;0,I76/J75*12,"")</f>
        <v>0.164008801853214</v>
      </c>
      <c r="L76" s="22" t="n">
        <f aca="false">IF($A76=MAX('1. Inputs'!$B$17,1),'1. Inputs'!$B$3,0)+IF($A76-'1. Inputs'!$B$17&gt;=1,INDEX($F$3:$F$86,$A76-'1. Inputs'!$B$17),0)</f>
        <v>13768885.4003896</v>
      </c>
      <c r="M76" s="23" t="n">
        <f aca="false">IF(F76&gt;0,H76/F76,"")</f>
        <v>0.359616419783635</v>
      </c>
    </row>
    <row r="77" customFormat="false" ht="15" hidden="false" customHeight="false" outlineLevel="0" collapsed="false">
      <c r="A77" s="7" t="n">
        <v>75</v>
      </c>
      <c r="B77" s="22" t="n">
        <f aca="false">'2. Conversion'!F76*'2. Conversion'!J76*'2. Conversion'!N76</f>
        <v>4254120.93144981</v>
      </c>
      <c r="C77" s="22" t="n">
        <f aca="false">'2. Conversion'!G76*'2. Conversion'!K76*'2. Conversion'!O76</f>
        <v>5638361.5969356</v>
      </c>
      <c r="D77" s="22" t="n">
        <f aca="false">'2. Conversion'!H76*'2. Conversion'!L76*'2. Conversion'!P76</f>
        <v>2449085.88302164</v>
      </c>
      <c r="E77" s="22" t="n">
        <f aca="false">'2. Conversion'!I76*'2. Conversion'!M76*'2. Conversion'!Q76</f>
        <v>1746516.53991292</v>
      </c>
      <c r="F77" s="22" t="n">
        <f aca="false">SUM(B77:E77)</f>
        <v>14088084.95132</v>
      </c>
      <c r="G77" s="22" t="n">
        <f aca="false">G76*(1-'1. Inputs'!$B$18)+L77</f>
        <v>514683149.756923</v>
      </c>
      <c r="H77" s="22" t="n">
        <f aca="false">G77*'1. Inputs'!$B$18</f>
        <v>5146831.49756923</v>
      </c>
      <c r="I77" s="22" t="n">
        <f aca="false">F77-H77</f>
        <v>8941253.45375074</v>
      </c>
      <c r="J77" s="22" t="n">
        <f aca="false">J76+I77</f>
        <v>677148721.809924</v>
      </c>
      <c r="K77" s="23" t="n">
        <f aca="false">IF(J76&gt;0,I77/J76*12,"")</f>
        <v>0.160571449027591</v>
      </c>
      <c r="L77" s="22" t="n">
        <f aca="false">IF($A77=MAX('1. Inputs'!$B$17,1),'1. Inputs'!$B$3,0)+IF($A77-'1. Inputs'!$B$17&gt;=1,INDEX($F$3:$F$86,$A77-'1. Inputs'!$B$17),0)</f>
        <v>13800168.9593889</v>
      </c>
      <c r="M77" s="23" t="n">
        <f aca="false">IF(F77&gt;0,H77/F77,"")</f>
        <v>0.365332230416953</v>
      </c>
    </row>
    <row r="78" customFormat="false" ht="15" hidden="false" customHeight="false" outlineLevel="0" collapsed="false">
      <c r="A78" s="7" t="n">
        <v>76</v>
      </c>
      <c r="B78" s="22" t="n">
        <f aca="false">'2. Conversion'!F77*'2. Conversion'!J77*'2. Conversion'!N77</f>
        <v>4258695.88647386</v>
      </c>
      <c r="C78" s="22" t="n">
        <f aca="false">'2. Conversion'!G77*'2. Conversion'!K77*'2. Conversion'!O77</f>
        <v>5645599.20974991</v>
      </c>
      <c r="D78" s="22" t="n">
        <f aca="false">'2. Conversion'!H77*'2. Conversion'!L77*'2. Conversion'!P77</f>
        <v>2452897.08824183</v>
      </c>
      <c r="E78" s="22" t="n">
        <f aca="false">'2. Conversion'!I77*'2. Conversion'!M77*'2. Conversion'!Q77</f>
        <v>1749347.05930117</v>
      </c>
      <c r="F78" s="22" t="n">
        <f aca="false">SUM(B78:E78)</f>
        <v>14106539.2437668</v>
      </c>
      <c r="G78" s="22" t="n">
        <f aca="false">G77*(1-'1. Inputs'!$B$18)+L78</f>
        <v>523366384.213544</v>
      </c>
      <c r="H78" s="22" t="n">
        <f aca="false">G78*'1. Inputs'!$B$18</f>
        <v>5233663.84213544</v>
      </c>
      <c r="I78" s="22" t="n">
        <f aca="false">F78-H78</f>
        <v>8872875.40163134</v>
      </c>
      <c r="J78" s="22" t="n">
        <f aca="false">J77+I78</f>
        <v>686021597.211555</v>
      </c>
      <c r="K78" s="23" t="n">
        <f aca="false">IF(J77&gt;0,I78/J77*12,"")</f>
        <v>0.157239468066904</v>
      </c>
      <c r="L78" s="22" t="n">
        <f aca="false">IF($A78=MAX('1. Inputs'!$B$17,1),'1. Inputs'!$B$3,0)+IF($A78-'1. Inputs'!$B$17&gt;=1,INDEX($F$3:$F$86,$A78-'1. Inputs'!$B$17),0)</f>
        <v>13830065.9541899</v>
      </c>
      <c r="M78" s="23" t="n">
        <f aca="false">IF(F78&gt;0,H78/F78,"")</f>
        <v>0.371009767292713</v>
      </c>
    </row>
    <row r="79" customFormat="false" ht="15" hidden="false" customHeight="false" outlineLevel="0" collapsed="false">
      <c r="A79" s="7" t="n">
        <v>77</v>
      </c>
      <c r="B79" s="22" t="n">
        <f aca="false">'2. Conversion'!F78*'2. Conversion'!J78*'2. Conversion'!N78</f>
        <v>4263123.82861808</v>
      </c>
      <c r="C79" s="22" t="n">
        <f aca="false">'2. Conversion'!G78*'2. Conversion'!K78*'2. Conversion'!O78</f>
        <v>5652585.93103448</v>
      </c>
      <c r="D79" s="22" t="n">
        <f aca="false">'2. Conversion'!H78*'2. Conversion'!L78*'2. Conversion'!P78</f>
        <v>2456565.01128236</v>
      </c>
      <c r="E79" s="22" t="n">
        <f aca="false">'2. Conversion'!I78*'2. Conversion'!M78*'2. Conversion'!Q78</f>
        <v>1752069.34874417</v>
      </c>
      <c r="F79" s="22" t="n">
        <f aca="false">SUM(B79:E79)</f>
        <v>14124344.1196791</v>
      </c>
      <c r="G79" s="22" t="n">
        <f aca="false">G78*(1-'1. Inputs'!$B$18)+L79</f>
        <v>531991383.751364</v>
      </c>
      <c r="H79" s="22" t="n">
        <f aca="false">G79*'1. Inputs'!$B$18</f>
        <v>5319913.83751365</v>
      </c>
      <c r="I79" s="22" t="n">
        <f aca="false">F79-H79</f>
        <v>8804430.28216544</v>
      </c>
      <c r="J79" s="22" t="n">
        <f aca="false">J78+I79</f>
        <v>694826027.493721</v>
      </c>
      <c r="K79" s="23" t="n">
        <f aca="false">IF(J78&gt;0,I79/J78*12,"")</f>
        <v>0.154008509084014</v>
      </c>
      <c r="L79" s="22" t="n">
        <f aca="false">IF($A79=MAX('1. Inputs'!$B$17,1),'1. Inputs'!$B$3,0)+IF($A79-'1. Inputs'!$B$17&gt;=1,INDEX($F$3:$F$86,$A79-'1. Inputs'!$B$17),0)</f>
        <v>13858663.3799563</v>
      </c>
      <c r="M79" s="23" t="n">
        <f aca="false">IF(F79&gt;0,H79/F79,"")</f>
        <v>0.376648557443566</v>
      </c>
    </row>
    <row r="80" customFormat="false" ht="15" hidden="false" customHeight="false" outlineLevel="0" collapsed="false">
      <c r="A80" s="7" t="n">
        <v>78</v>
      </c>
      <c r="B80" s="22" t="n">
        <f aca="false">'2. Conversion'!F79*'2. Conversion'!J79*'2. Conversion'!N79</f>
        <v>4267411.5408284</v>
      </c>
      <c r="C80" s="22" t="n">
        <f aca="false">'2. Conversion'!G79*'2. Conversion'!K79*'2. Conversion'!O79</f>
        <v>5659334.19914271</v>
      </c>
      <c r="D80" s="22" t="n">
        <f aca="false">'2. Conversion'!H79*'2. Conversion'!L79*'2. Conversion'!P79</f>
        <v>2460097.32076433</v>
      </c>
      <c r="E80" s="22" t="n">
        <f aca="false">'2. Conversion'!I79*'2. Conversion'!M79*'2. Conversion'!Q79</f>
        <v>1754689.29377311</v>
      </c>
      <c r="F80" s="22" t="n">
        <f aca="false">SUM(B80:E80)</f>
        <v>14141532.3545086</v>
      </c>
      <c r="G80" s="22" t="n">
        <f aca="false">G79*(1-'1. Inputs'!$B$18)+L80</f>
        <v>540557511.215922</v>
      </c>
      <c r="H80" s="22" t="n">
        <f aca="false">G80*'1. Inputs'!$B$18</f>
        <v>5405575.11215922</v>
      </c>
      <c r="I80" s="22" t="n">
        <f aca="false">F80-H80</f>
        <v>8735957.24234933</v>
      </c>
      <c r="J80" s="22" t="n">
        <f aca="false">J79+I80</f>
        <v>703561984.73607</v>
      </c>
      <c r="K80" s="23" t="n">
        <f aca="false">IF(J79&gt;0,I80/J79*12,"")</f>
        <v>0.150874438722921</v>
      </c>
      <c r="L80" s="22" t="n">
        <f aca="false">IF($A80=MAX('1. Inputs'!$B$17,1),'1. Inputs'!$B$3,0)+IF($A80-'1. Inputs'!$B$17&gt;=1,INDEX($F$3:$F$86,$A80-'1. Inputs'!$B$17),0)</f>
        <v>13886041.3020714</v>
      </c>
      <c r="M80" s="23" t="n">
        <f aca="false">IF(F80&gt;0,H80/F80,"")</f>
        <v>0.382248187583139</v>
      </c>
    </row>
    <row r="81" customFormat="false" ht="15" hidden="false" customHeight="false" outlineLevel="0" collapsed="false">
      <c r="A81" s="7" t="n">
        <v>79</v>
      </c>
      <c r="B81" s="22" t="n">
        <f aca="false">'2. Conversion'!F80*'2. Conversion'!J80*'2. Conversion'!N80</f>
        <v>4271565.4040759</v>
      </c>
      <c r="C81" s="22" t="n">
        <f aca="false">'2. Conversion'!G80*'2. Conversion'!K80*'2. Conversion'!O80</f>
        <v>5665855.66287733</v>
      </c>
      <c r="D81" s="22" t="n">
        <f aca="false">'2. Conversion'!H80*'2. Conversion'!L80*'2. Conversion'!P80</f>
        <v>2463501.16173913</v>
      </c>
      <c r="E81" s="22" t="n">
        <f aca="false">'2. Conversion'!I80*'2. Conversion'!M80*'2. Conversion'!Q80</f>
        <v>1757212.37197452</v>
      </c>
      <c r="F81" s="22" t="n">
        <f aca="false">SUM(B81:E81)</f>
        <v>14158134.6006669</v>
      </c>
      <c r="G81" s="22" t="n">
        <f aca="false">G80*(1-'1. Inputs'!$B$18)+L81</f>
        <v>549064209.62037</v>
      </c>
      <c r="H81" s="22" t="n">
        <f aca="false">G81*'1. Inputs'!$B$18</f>
        <v>5490642.0962037</v>
      </c>
      <c r="I81" s="22" t="n">
        <f aca="false">F81-H81</f>
        <v>8667492.50446319</v>
      </c>
      <c r="J81" s="22" t="n">
        <f aca="false">J80+I81</f>
        <v>712229477.240533</v>
      </c>
      <c r="K81" s="23" t="n">
        <f aca="false">IF(J80&gt;0,I81/J80*12,"")</f>
        <v>0.14783332856248</v>
      </c>
      <c r="L81" s="22" t="n">
        <f aca="false">IF($A81=MAX('1. Inputs'!$B$17,1),'1. Inputs'!$B$3,0)+IF($A81-'1. Inputs'!$B$17&gt;=1,INDEX($F$3:$F$86,$A81-'1. Inputs'!$B$17),0)</f>
        <v>13912273.5166071</v>
      </c>
      <c r="M81" s="23" t="n">
        <f aca="false">IF(F81&gt;0,H81/F81,"")</f>
        <v>0.387808298979237</v>
      </c>
    </row>
    <row r="82" customFormat="false" ht="15" hidden="false" customHeight="false" outlineLevel="0" collapsed="false">
      <c r="A82" s="7" t="n">
        <v>80</v>
      </c>
      <c r="B82" s="22" t="n">
        <f aca="false">'2. Conversion'!F81*'2. Conversion'!J81*'2. Conversion'!N81</f>
        <v>4275591.4261652</v>
      </c>
      <c r="C82" s="22" t="n">
        <f aca="false">'2. Conversion'!G81*'2. Conversion'!K81*'2. Conversion'!O81</f>
        <v>5672161.24193308</v>
      </c>
      <c r="D82" s="22" t="n">
        <f aca="false">'2. Conversion'!H81*'2. Conversion'!L81*'2. Conversion'!P81</f>
        <v>2466783.19865932</v>
      </c>
      <c r="E82" s="22" t="n">
        <f aca="false">'2. Conversion'!I81*'2. Conversion'!M81*'2. Conversion'!Q81</f>
        <v>1759643.68695652</v>
      </c>
      <c r="F82" s="22" t="n">
        <f aca="false">SUM(B82:E82)</f>
        <v>14174179.5537141</v>
      </c>
      <c r="G82" s="22" t="n">
        <f aca="false">G81*(1-'1. Inputs'!$B$18)+L82</f>
        <v>557510995.662438</v>
      </c>
      <c r="H82" s="22" t="n">
        <f aca="false">G82*'1. Inputs'!$B$18</f>
        <v>5575109.95662438</v>
      </c>
      <c r="I82" s="22" t="n">
        <f aca="false">F82-H82</f>
        <v>8599069.59708975</v>
      </c>
      <c r="J82" s="22" t="n">
        <f aca="false">J81+I82</f>
        <v>720828546.837623</v>
      </c>
      <c r="K82" s="23" t="n">
        <f aca="false">IF(J81&gt;0,I82/J81*12,"")</f>
        <v>0.144881444060519</v>
      </c>
      <c r="L82" s="22" t="n">
        <f aca="false">IF($A82=MAX('1. Inputs'!$B$17,1),'1. Inputs'!$B$3,0)+IF($A82-'1. Inputs'!$B$17&gt;=1,INDEX($F$3:$F$86,$A82-'1. Inputs'!$B$17),0)</f>
        <v>13937428.1382717</v>
      </c>
      <c r="M82" s="23" t="n">
        <f aca="false">IF(F82&gt;0,H82/F82,"")</f>
        <v>0.393328582828874</v>
      </c>
    </row>
    <row r="83" customFormat="false" ht="15" hidden="false" customHeight="false" outlineLevel="0" collapsed="false">
      <c r="A83" s="7" t="n">
        <v>81</v>
      </c>
      <c r="B83" s="22" t="n">
        <f aca="false">'2. Conversion'!F82*'2. Conversion'!J82*'2. Conversion'!N82</f>
        <v>4279495.2681388</v>
      </c>
      <c r="C83" s="22" t="n">
        <f aca="false">'2. Conversion'!G82*'2. Conversion'!K82*'2. Conversion'!O82</f>
        <v>5678261.18196515</v>
      </c>
      <c r="D83" s="22" t="n">
        <f aca="false">'2. Conversion'!H82*'2. Conversion'!L82*'2. Conversion'!P82</f>
        <v>2469949.65426558</v>
      </c>
      <c r="E83" s="22" t="n">
        <f aca="false">'2. Conversion'!I82*'2. Conversion'!M82*'2. Conversion'!Q82</f>
        <v>1761987.99904237</v>
      </c>
      <c r="F83" s="22" t="n">
        <f aca="false">SUM(B83:E83)</f>
        <v>14189694.1034119</v>
      </c>
      <c r="G83" s="22" t="n">
        <f aca="false">G82*(1-'1. Inputs'!$B$18)+L83</f>
        <v>565897453.830582</v>
      </c>
      <c r="H83" s="22" t="n">
        <f aca="false">G83*'1. Inputs'!$B$18</f>
        <v>5658974.53830582</v>
      </c>
      <c r="I83" s="22" t="n">
        <f aca="false">F83-H83</f>
        <v>8530719.56510609</v>
      </c>
      <c r="J83" s="22" t="n">
        <f aca="false">J82+I83</f>
        <v>729359266.402729</v>
      </c>
      <c r="K83" s="23" t="n">
        <f aca="false">IF(J82&gt;0,I83/J82*12,"")</f>
        <v>0.142015234039188</v>
      </c>
      <c r="L83" s="22" t="n">
        <f aca="false">IF($A83=MAX('1. Inputs'!$B$17,1),'1. Inputs'!$B$3,0)+IF($A83-'1. Inputs'!$B$17&gt;=1,INDEX($F$3:$F$86,$A83-'1. Inputs'!$B$17),0)</f>
        <v>13961568.1247686</v>
      </c>
      <c r="M83" s="23" t="n">
        <f aca="false">IF(F83&gt;0,H83/F83,"")</f>
        <v>0.398808776078205</v>
      </c>
    </row>
    <row r="84" customFormat="false" ht="15" hidden="false" customHeight="false" outlineLevel="0" collapsed="false">
      <c r="A84" s="7" t="n">
        <v>82</v>
      </c>
      <c r="B84" s="22" t="n">
        <f aca="false">'2. Conversion'!F83*'2. Conversion'!J83*'2. Conversion'!N83</f>
        <v>4283282.26850506</v>
      </c>
      <c r="C84" s="22" t="n">
        <f aca="false">'2. Conversion'!G83*'2. Conversion'!K83*'2. Conversion'!O83</f>
        <v>5684165.10482411</v>
      </c>
      <c r="D84" s="22" t="n">
        <f aca="false">'2. Conversion'!H83*'2. Conversion'!L83*'2. Conversion'!P83</f>
        <v>2473006.34482759</v>
      </c>
      <c r="E84" s="22" t="n">
        <f aca="false">'2. Conversion'!I83*'2. Conversion'!M83*'2. Conversion'!Q83</f>
        <v>1764249.75304685</v>
      </c>
      <c r="F84" s="22" t="n">
        <f aca="false">SUM(B84:E84)</f>
        <v>14204703.4712036</v>
      </c>
      <c r="G84" s="22" t="n">
        <f aca="false">G83*(1-'1. Inputs'!$B$18)+L84</f>
        <v>574223231.037566</v>
      </c>
      <c r="H84" s="22" t="n">
        <f aca="false">G84*'1. Inputs'!$B$18</f>
        <v>5742232.31037566</v>
      </c>
      <c r="I84" s="22" t="n">
        <f aca="false">F84-H84</f>
        <v>8462471.16082794</v>
      </c>
      <c r="J84" s="22" t="n">
        <f aca="false">J83+I84</f>
        <v>737821737.563557</v>
      </c>
      <c r="K84" s="23" t="n">
        <f aca="false">IF(J83&gt;0,I84/J83*12,"")</f>
        <v>0.139231320705348</v>
      </c>
      <c r="L84" s="22" t="n">
        <f aca="false">IF($A84=MAX('1. Inputs'!$B$17,1),'1. Inputs'!$B$3,0)+IF($A84-'1. Inputs'!$B$17&gt;=1,INDEX($F$3:$F$86,$A84-'1. Inputs'!$B$17),0)</f>
        <v>13984751.7452893</v>
      </c>
      <c r="M84" s="23" t="n">
        <f aca="false">IF(F84&gt;0,H84/F84,"")</f>
        <v>0.404248657637702</v>
      </c>
    </row>
    <row r="85" customFormat="false" ht="15" hidden="false" customHeight="false" outlineLevel="0" collapsed="false">
      <c r="A85" s="7" t="n">
        <v>83</v>
      </c>
      <c r="B85" s="22" t="n">
        <f aca="false">'2. Conversion'!F84*'2. Conversion'!J84*'2. Conversion'!N84</f>
        <v>4286957.46549325</v>
      </c>
      <c r="C85" s="22" t="n">
        <f aca="false">'2. Conversion'!G84*'2. Conversion'!K84*'2. Conversion'!O84</f>
        <v>5689882.05443787</v>
      </c>
      <c r="D85" s="22" t="n">
        <f aca="false">'2. Conversion'!H84*'2. Conversion'!L84*'2. Conversion'!P84</f>
        <v>2475958.71212494</v>
      </c>
      <c r="E85" s="22" t="n">
        <f aca="false">'2. Conversion'!I84*'2. Conversion'!M84*'2. Conversion'!Q84</f>
        <v>1766433.10344828</v>
      </c>
      <c r="F85" s="22" t="n">
        <f aca="false">SUM(B85:E85)</f>
        <v>14219231.3355043</v>
      </c>
      <c r="G85" s="22" t="n">
        <f aca="false">G84*(1-'1. Inputs'!$B$18)+L85</f>
        <v>582488031.72702</v>
      </c>
      <c r="H85" s="22" t="n">
        <f aca="false">G85*'1. Inputs'!$B$18</f>
        <v>5824880.3172702</v>
      </c>
      <c r="I85" s="22" t="n">
        <f aca="false">F85-H85</f>
        <v>8394351.01823414</v>
      </c>
      <c r="J85" s="22" t="n">
        <f aca="false">J84+I85</f>
        <v>746216088.581791</v>
      </c>
      <c r="K85" s="23" t="n">
        <f aca="false">IF(J84&gt;0,I85/J84*12,"")</f>
        <v>0.136526490194567</v>
      </c>
      <c r="L85" s="22" t="n">
        <f aca="false">IF($A85=MAX('1. Inputs'!$B$17,1),'1. Inputs'!$B$3,0)+IF($A85-'1. Inputs'!$B$17&gt;=1,INDEX($F$3:$F$86,$A85-'1. Inputs'!$B$17),0)</f>
        <v>14007032.9998299</v>
      </c>
      <c r="M85" s="23" t="n">
        <f aca="false">IF(F85&gt;0,H85/F85,"")</f>
        <v>0.409648044949231</v>
      </c>
    </row>
    <row r="86" customFormat="false" ht="15" hidden="false" customHeight="false" outlineLevel="0" collapsed="false">
      <c r="A86" s="7" t="n">
        <v>84</v>
      </c>
      <c r="B86" s="22" t="n">
        <f aca="false">'2. Conversion'!F85*'2. Conversion'!J85*'2. Conversion'!N85</f>
        <v>4290525.61751825</v>
      </c>
      <c r="C86" s="22" t="n">
        <f aca="false">'2. Conversion'!G85*'2. Conversion'!K85*'2. Conversion'!O85</f>
        <v>5695420.53876787</v>
      </c>
      <c r="D86" s="22" t="n">
        <f aca="false">'2. Conversion'!H85*'2. Conversion'!L85*'2. Conversion'!P85</f>
        <v>2478811.85250883</v>
      </c>
      <c r="E86" s="22" t="n">
        <f aca="false">'2. Conversion'!I85*'2. Conversion'!M85*'2. Conversion'!Q85</f>
        <v>1768541.9372321</v>
      </c>
      <c r="F86" s="22" t="n">
        <f aca="false">SUM(B86:E86)</f>
        <v>14233299.946027</v>
      </c>
      <c r="G86" s="22" t="n">
        <f aca="false">G85*(1-'1. Inputs'!$B$18)+L86</f>
        <v>590691613.404892</v>
      </c>
      <c r="H86" s="22" t="n">
        <f aca="false">G86*'1. Inputs'!$B$18</f>
        <v>5906916.13404892</v>
      </c>
      <c r="I86" s="22" t="n">
        <f aca="false">F86-H86</f>
        <v>8326383.81197813</v>
      </c>
      <c r="J86" s="22" t="n">
        <f aca="false">J85+I86</f>
        <v>754542472.393769</v>
      </c>
      <c r="K86" s="23" t="n">
        <f aca="false">IF(J85&gt;0,I86/J85*12,"")</f>
        <v>0.133897683623563</v>
      </c>
      <c r="L86" s="22" t="n">
        <f aca="false">IF($A86=MAX('1. Inputs'!$B$17,1),'1. Inputs'!$B$3,0)+IF($A86-'1. Inputs'!$B$17&gt;=1,INDEX($F$3:$F$86,$A86-'1. Inputs'!$B$17),0)</f>
        <v>14028461.9951421</v>
      </c>
      <c r="M86" s="23" t="n">
        <f aca="false">IF(F86&gt;0,H86/F86,"")</f>
        <v>0.415006790867056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20"/>
    <col collapsed="false" customWidth="true" hidden="false" outlineLevel="0" max="5" min="5" style="0" width="34"/>
  </cols>
  <sheetData>
    <row r="1" customFormat="false" ht="15" hidden="false" customHeight="false" outlineLevel="0" collapsed="false">
      <c r="A1" s="6" t="s">
        <v>86</v>
      </c>
    </row>
    <row r="3" customFormat="false" ht="41.75" hidden="false" customHeight="false" outlineLevel="0" collapsed="false">
      <c r="A3" s="24" t="s">
        <v>87</v>
      </c>
      <c r="B3" s="25" t="n">
        <f aca="false">INDEX('3. The forecast'!A3:A86,MATCH(MAX('3. The forecast'!F3:F86),'3. The forecast'!F3:F86,0))</f>
        <v>84</v>
      </c>
      <c r="C3" s="9" t="s">
        <v>88</v>
      </c>
    </row>
    <row r="4" customFormat="false" ht="15" hidden="false" customHeight="false" outlineLevel="0" collapsed="false">
      <c r="A4" s="7" t="s">
        <v>89</v>
      </c>
      <c r="B4" s="22" t="n">
        <f aca="false">MAX('3. The forecast'!F3:F86)</f>
        <v>14233299.946027</v>
      </c>
      <c r="C4" s="9"/>
    </row>
    <row r="5" customFormat="false" ht="15" hidden="false" customHeight="false" outlineLevel="0" collapsed="false">
      <c r="A5" s="24" t="s">
        <v>90</v>
      </c>
      <c r="B5" s="25" t="n">
        <f aca="false">INDEX('3. The forecast'!A3:A86,MATCH(MAX('3. The forecast'!I3:I86),'3. The forecast'!I3:I86,0))</f>
        <v>44</v>
      </c>
      <c r="C5" s="9"/>
    </row>
    <row r="6" customFormat="false" ht="15" hidden="false" customHeight="false" outlineLevel="0" collapsed="false">
      <c r="A6" s="7" t="s">
        <v>89</v>
      </c>
      <c r="B6" s="22" t="n">
        <f aca="false">MAX('3. The forecast'!I3:I86)</f>
        <v>10512004.9228671</v>
      </c>
      <c r="C6" s="9"/>
    </row>
    <row r="7" customFormat="false" ht="55.2" hidden="false" customHeight="false" outlineLevel="0" collapsed="false">
      <c r="A7" s="24" t="s">
        <v>91</v>
      </c>
      <c r="B7" s="25" t="n">
        <f aca="false">INDEX('3. The forecast'!A14:A86,MATCH(MAX('3. The forecast'!K14:K86),'3. The forecast'!K14:K86,0))</f>
        <v>29</v>
      </c>
      <c r="C7" s="9" t="s">
        <v>92</v>
      </c>
    </row>
    <row r="8" customFormat="false" ht="15" hidden="false" customHeight="false" outlineLevel="0" collapsed="false">
      <c r="A8" s="24" t="s">
        <v>89</v>
      </c>
      <c r="B8" s="26" t="n">
        <f aca="false">MAX('3. The forecast'!K14:K86)</f>
        <v>0.480965961861037</v>
      </c>
      <c r="C8" s="9"/>
    </row>
    <row r="10" customFormat="false" ht="15" hidden="false" customHeight="false" outlineLevel="0" collapsed="false">
      <c r="A10" s="24" t="s">
        <v>93</v>
      </c>
      <c r="B10" s="25" t="n">
        <f aca="false">B5-B7</f>
        <v>15</v>
      </c>
      <c r="C10" s="9"/>
    </row>
    <row r="11" customFormat="false" ht="68.65" hidden="false" customHeight="false" outlineLevel="0" collapsed="false">
      <c r="A11" s="24" t="s">
        <v>94</v>
      </c>
      <c r="B11" s="25" t="n">
        <f aca="false">B3-B7</f>
        <v>55</v>
      </c>
      <c r="C11" s="9" t="s">
        <v>95</v>
      </c>
    </row>
    <row r="13" customFormat="false" ht="55.2" hidden="false" customHeight="false" outlineLevel="0" collapsed="false">
      <c r="A13" s="27" t="s">
        <v>96</v>
      </c>
    </row>
    <row r="15" customFormat="false" ht="15" hidden="false" customHeight="false" outlineLevel="0" collapsed="false">
      <c r="A15" s="6" t="s">
        <v>97</v>
      </c>
    </row>
    <row r="16" customFormat="false" ht="15" hidden="false" customHeight="false" outlineLevel="0" collapsed="false">
      <c r="A16" s="7" t="s">
        <v>98</v>
      </c>
      <c r="B16" s="28" t="n">
        <v>0.4</v>
      </c>
      <c r="C16" s="25" t="n">
        <f aca="false">INDEX('3. The forecast'!$A$14:$A$86,MATCH(TRUE(),INDEX(('3. The forecast'!$K$14:$K$86&lt;B16)*('3. The forecast'!$A$14:$A$86&gt;$B$7),0),0))</f>
        <v>40</v>
      </c>
      <c r="D16" s="7" t="s">
        <v>99</v>
      </c>
    </row>
    <row r="17" customFormat="false" ht="15" hidden="false" customHeight="false" outlineLevel="0" collapsed="false">
      <c r="A17" s="7" t="s">
        <v>98</v>
      </c>
      <c r="B17" s="28" t="n">
        <v>0.3</v>
      </c>
      <c r="C17" s="25" t="n">
        <f aca="false">INDEX('3. The forecast'!$A$14:$A$86,MATCH(TRUE(),INDEX(('3. The forecast'!$K$14:$K$86&lt;B17)*('3. The forecast'!$A$14:$A$86&gt;$B$7),0),0))</f>
        <v>50</v>
      </c>
      <c r="D17" s="7" t="s">
        <v>99</v>
      </c>
    </row>
    <row r="18" customFormat="false" ht="15" hidden="false" customHeight="false" outlineLevel="0" collapsed="false">
      <c r="A18" s="7" t="s">
        <v>98</v>
      </c>
      <c r="B18" s="28" t="n">
        <v>0.2</v>
      </c>
      <c r="C18" s="25" t="n">
        <f aca="false">INDEX('3. The forecast'!$A$14:$A$86,MATCH(TRUE(),INDEX(('3. The forecast'!$K$14:$K$86&lt;B18)*('3. The forecast'!$A$14:$A$86&gt;$B$7),0),0))</f>
        <v>66</v>
      </c>
      <c r="D18" s="7" t="s">
        <v>99</v>
      </c>
    </row>
    <row r="19" customFormat="false" ht="15" hidden="false" customHeight="false" outlineLevel="0" collapsed="false">
      <c r="A19" s="7" t="s">
        <v>98</v>
      </c>
      <c r="B19" s="28" t="n">
        <v>0.15</v>
      </c>
      <c r="C19" s="25" t="n">
        <f aca="false">INDEX('3. The forecast'!$A$14:$A$86,MATCH(TRUE(),INDEX(('3. The forecast'!$K$14:$K$86&lt;B19)*('3. The forecast'!$A$14:$A$86&gt;$B$7),0),0))</f>
        <v>79</v>
      </c>
      <c r="D19" s="7" t="s">
        <v>99</v>
      </c>
    </row>
    <row r="21" customFormat="false" ht="15" hidden="false" customHeight="false" outlineLevel="0" collapsed="false">
      <c r="A21" s="6" t="s">
        <v>100</v>
      </c>
    </row>
    <row r="22" customFormat="false" ht="28.35" hidden="false" customHeight="false" outlineLevel="0" collapsed="false">
      <c r="A22" s="14" t="s">
        <v>57</v>
      </c>
      <c r="B22" s="14" t="s">
        <v>80</v>
      </c>
      <c r="C22" s="14" t="s">
        <v>101</v>
      </c>
      <c r="D22" s="14" t="s">
        <v>102</v>
      </c>
      <c r="E22" s="14" t="s">
        <v>103</v>
      </c>
    </row>
    <row r="23" customFormat="false" ht="15" hidden="false" customHeight="false" outlineLevel="0" collapsed="false">
      <c r="A23" s="7" t="n">
        <v>18</v>
      </c>
      <c r="B23" s="22" t="n">
        <f aca="false">'3. The forecast'!H20</f>
        <v>1412220.2241015</v>
      </c>
      <c r="C23" s="22" t="n">
        <f aca="false">'3. The forecast'!F20</f>
        <v>3651154.43720153</v>
      </c>
      <c r="D23" s="23" t="n">
        <f aca="false">B23/C23</f>
        <v>0.386787315735653</v>
      </c>
      <c r="E23" s="29" t="n">
        <f aca="false">B23/'3. The forecast'!J19*12</f>
        <v>0.110078642439369</v>
      </c>
    </row>
    <row r="24" customFormat="false" ht="15" hidden="false" customHeight="false" outlineLevel="0" collapsed="false">
      <c r="A24" s="7" t="n">
        <v>24</v>
      </c>
      <c r="B24" s="22" t="n">
        <f aca="false">'3. The forecast'!H26</f>
        <v>1351427.5252129</v>
      </c>
      <c r="C24" s="22" t="n">
        <f aca="false">'3. The forecast'!F26</f>
        <v>7459489.15191031</v>
      </c>
      <c r="D24" s="23" t="n">
        <f aca="false">B24/C24</f>
        <v>0.181168910858569</v>
      </c>
      <c r="E24" s="29" t="n">
        <f aca="false">B24/'3. The forecast'!J25*12</f>
        <v>0.0916040831356469</v>
      </c>
    </row>
    <row r="25" customFormat="false" ht="15" hidden="false" customHeight="false" outlineLevel="0" collapsed="false">
      <c r="A25" s="7" t="n">
        <v>30</v>
      </c>
      <c r="B25" s="22" t="n">
        <f aca="false">'3. The forecast'!H32</f>
        <v>1411379.82731038</v>
      </c>
      <c r="C25" s="22" t="n">
        <f aca="false">'3. The forecast'!F32</f>
        <v>10262094.0667327</v>
      </c>
      <c r="D25" s="23" t="n">
        <f aca="false">B25/C25</f>
        <v>0.137533316117784</v>
      </c>
      <c r="E25" s="29" t="n">
        <f aca="false">B25/'3. The forecast'!J31*12</f>
        <v>0.0765395579543054</v>
      </c>
    </row>
    <row r="26" customFormat="false" ht="15" hidden="false" customHeight="false" outlineLevel="0" collapsed="false">
      <c r="A26" s="7" t="n">
        <v>36</v>
      </c>
      <c r="B26" s="22" t="n">
        <f aca="false">'3. The forecast'!H38</f>
        <v>1673038.21088811</v>
      </c>
      <c r="C26" s="22" t="n">
        <f aca="false">'3. The forecast'!F38</f>
        <v>11805457.9222806</v>
      </c>
      <c r="D26" s="23" t="n">
        <f aca="false">B26/C26</f>
        <v>0.141717349881918</v>
      </c>
      <c r="E26" s="29" t="n">
        <f aca="false">B26/'3. The forecast'!J37*12</f>
        <v>0.0721700888349428</v>
      </c>
    </row>
    <row r="27" customFormat="false" ht="15" hidden="false" customHeight="false" outlineLevel="0" collapsed="false">
      <c r="A27" s="7" t="n">
        <v>42</v>
      </c>
      <c r="B27" s="22" t="n">
        <f aca="false">'3. The forecast'!H44</f>
        <v>2114485.54428304</v>
      </c>
      <c r="C27" s="22" t="n">
        <f aca="false">'3. The forecast'!F44</f>
        <v>12605031.9306072</v>
      </c>
      <c r="D27" s="23" t="n">
        <f aca="false">B27/C27</f>
        <v>0.167749320741402</v>
      </c>
      <c r="E27" s="29" t="n">
        <f aca="false">B27/'3. The forecast'!J43*12</f>
        <v>0.0746002034343825</v>
      </c>
    </row>
    <row r="28" customFormat="false" ht="15" hidden="false" customHeight="false" outlineLevel="0" collapsed="false">
      <c r="A28" s="7" t="n">
        <v>48</v>
      </c>
      <c r="B28" s="22" t="n">
        <f aca="false">'3. The forecast'!H50</f>
        <v>2649169.4951556</v>
      </c>
      <c r="C28" s="22" t="n">
        <f aca="false">'3. The forecast'!F50</f>
        <v>13111414.5690735</v>
      </c>
      <c r="D28" s="23" t="n">
        <f aca="false">B28/C28</f>
        <v>0.202050623996309</v>
      </c>
      <c r="E28" s="29" t="n">
        <f aca="false">B28/'3. The forecast'!J49*12</f>
        <v>0.0788573705419944</v>
      </c>
    </row>
    <row r="29" customFormat="false" ht="15" hidden="false" customHeight="false" outlineLevel="0" collapsed="false">
      <c r="A29" s="7" t="n">
        <v>60</v>
      </c>
      <c r="B29" s="22" t="n">
        <f aca="false">'3. The forecast'!H62</f>
        <v>3782339.4909687</v>
      </c>
      <c r="C29" s="22" t="n">
        <f aca="false">'3. The forecast'!F62</f>
        <v>13701771.4052924</v>
      </c>
      <c r="D29" s="23" t="n">
        <f aca="false">B29/C29</f>
        <v>0.276047481678737</v>
      </c>
      <c r="E29" s="29" t="n">
        <f aca="false">B29/'3. The forecast'!J61*12</f>
        <v>0.0862735159378832</v>
      </c>
    </row>
    <row r="30" customFormat="false" ht="15" hidden="false" customHeight="false" outlineLevel="0" collapsed="false">
      <c r="A30" s="7" t="n">
        <v>72</v>
      </c>
      <c r="B30" s="22" t="n">
        <f aca="false">'3. The forecast'!H74</f>
        <v>4882917.66189969</v>
      </c>
      <c r="C30" s="22" t="n">
        <f aca="false">'3. The forecast'!F74</f>
        <v>14028461.9951421</v>
      </c>
      <c r="D30" s="23" t="n">
        <f aca="false">B30/C30</f>
        <v>0.348072202326283</v>
      </c>
      <c r="E30" s="29" t="n">
        <f aca="false">B30/'3. The forecast'!J73*12</f>
        <v>0.0914154737779123</v>
      </c>
    </row>
    <row r="31" customFormat="false" ht="15" hidden="false" customHeight="false" outlineLevel="0" collapsed="false">
      <c r="A31" s="7" t="n">
        <v>84</v>
      </c>
      <c r="B31" s="22" t="n">
        <f aca="false">'3. The forecast'!H86</f>
        <v>5906916.13404892</v>
      </c>
      <c r="C31" s="22" t="n">
        <f aca="false">'3. The forecast'!F86</f>
        <v>14233299.946027</v>
      </c>
      <c r="D31" s="23" t="n">
        <f aca="false">B31/C31</f>
        <v>0.415006790867056</v>
      </c>
      <c r="E31" s="29" t="n">
        <f aca="false">B31/'3. The forecast'!J85*12</f>
        <v>0.094989902647774</v>
      </c>
    </row>
    <row r="33" customFormat="false" ht="55.2" hidden="false" customHeight="false" outlineLevel="0" collapsed="false">
      <c r="A33" s="27" t="s">
        <v>104</v>
      </c>
    </row>
    <row r="35" customFormat="false" ht="15" hidden="false" customHeight="false" outlineLevel="0" collapsed="false">
      <c r="A35" s="6" t="s">
        <v>105</v>
      </c>
    </row>
    <row r="36" customFormat="false" ht="28.35" hidden="false" customHeight="false" outlineLevel="0" collapsed="false">
      <c r="A36" s="27" t="s">
        <v>106</v>
      </c>
      <c r="B36" s="23" t="n">
        <f aca="false">12^'1. Inputs'!$B$7/('1. Inputs'!$B$6^'1. Inputs'!$B$7+12^'1. Inputs'!$B$7)</f>
        <v>0.64</v>
      </c>
    </row>
    <row r="37" customFormat="false" ht="28.35" hidden="false" customHeight="false" outlineLevel="0" collapsed="false">
      <c r="A37" s="27" t="s">
        <v>107</v>
      </c>
      <c r="B37" s="23" t="n">
        <f aca="false">7^'1. Inputs'!$B$7/('1. Inputs'!$B$6^'1. Inputs'!$B$7+7^'1. Inputs'!$B$7)</f>
        <v>0.376923076923077</v>
      </c>
    </row>
    <row r="38" customFormat="false" ht="28.35" hidden="false" customHeight="false" outlineLevel="0" collapsed="false">
      <c r="A38" s="27" t="s">
        <v>108</v>
      </c>
      <c r="B38" s="23" t="n">
        <f aca="false">2^'1. Inputs'!$B$7/('1. Inputs'!$B$6^'1. Inputs'!$B$7+2^'1. Inputs'!$B$7)</f>
        <v>0.0470588235294118</v>
      </c>
    </row>
    <row r="40" customFormat="false" ht="15" hidden="false" customHeight="false" outlineLevel="0" collapsed="false">
      <c r="A40" s="27" t="s">
        <v>109</v>
      </c>
      <c r="B40" s="19" t="n">
        <f aca="false">INDEX('3. The forecast'!A3:A86,MATCH(TRUE(),INDEX('3. The forecast'!F3:F86&gt;0,0),0))</f>
        <v>7</v>
      </c>
    </row>
    <row r="41" customFormat="false" ht="15" hidden="false" customHeight="false" outlineLevel="0" collapsed="false">
      <c r="A41" s="27" t="s">
        <v>110</v>
      </c>
      <c r="B41" s="19" t="n">
        <f aca="false">SUMPRODUCT(--('3. The forecast'!F4:F86&gt;'3. The forecast'!F3:F85))</f>
        <v>78</v>
      </c>
    </row>
    <row r="42" customFormat="false" ht="15" hidden="false" customHeight="false" outlineLevel="0" collapsed="false">
      <c r="A42" s="27" t="s">
        <v>111</v>
      </c>
      <c r="B42" s="19" t="n">
        <f aca="false">SUMPRODUCT(--('3. The forecast'!F4:F86&lt;'3. The forecast'!F3:F85))</f>
        <v>0</v>
      </c>
    </row>
    <row r="43" customFormat="false" ht="15" hidden="false" customHeight="false" outlineLevel="0" collapsed="false">
      <c r="A43" s="27" t="s">
        <v>112</v>
      </c>
      <c r="B43" s="23" t="n">
        <f aca="false">MIN('3. The forecast'!M15:M86)</f>
        <v>0.135515725375664</v>
      </c>
    </row>
    <row r="44" customFormat="false" ht="15" hidden="false" customHeight="false" outlineLevel="0" collapsed="false">
      <c r="A44" s="27" t="s">
        <v>113</v>
      </c>
      <c r="B44" s="19" t="n">
        <f aca="false">INDEX('3. The forecast'!A15:A86,MATCH(B43,'3. The forecast'!M15:M86,0))</f>
        <v>32</v>
      </c>
    </row>
    <row r="46" customFormat="false" ht="15" hidden="false" customHeight="false" outlineLevel="0" collapsed="false">
      <c r="A46" s="27" t="s">
        <v>114</v>
      </c>
      <c r="B46" s="30" t="n">
        <f aca="false">'3. The forecast'!F47/'3. The forecast'!F24</f>
        <v>2.0796764562411</v>
      </c>
    </row>
    <row r="47" customFormat="false" ht="15" hidden="false" customHeight="false" outlineLevel="0" collapsed="false">
      <c r="A47" s="27" t="s">
        <v>115</v>
      </c>
      <c r="B47" s="23" t="n">
        <f aca="false">'3. The forecast'!K24</f>
        <v>0.347751551109265</v>
      </c>
    </row>
    <row r="48" customFormat="false" ht="15" hidden="false" customHeight="false" outlineLevel="0" collapsed="false">
      <c r="A48" s="27" t="s">
        <v>116</v>
      </c>
      <c r="B48" s="23" t="n">
        <f aca="false">'3. The forecast'!K47</f>
        <v>0.339356476349109</v>
      </c>
    </row>
    <row r="49" customFormat="false" ht="15" hidden="false" customHeight="false" outlineLevel="0" collapsed="false">
      <c r="A49" s="27" t="s">
        <v>117</v>
      </c>
      <c r="B49" s="30" t="n">
        <f aca="false">'3. The forecast'!F86/INDEX('3. The forecast'!F3:F86,B7)</f>
        <v>1.43539677610651</v>
      </c>
    </row>
    <row r="50" customFormat="false" ht="15" hidden="false" customHeight="false" outlineLevel="0" collapsed="false">
      <c r="A50" s="27" t="s">
        <v>118</v>
      </c>
      <c r="B50" s="23" t="n">
        <f aca="false">1-'3. The forecast'!K86/B8</f>
        <v>0.721606736773091</v>
      </c>
    </row>
    <row r="52" customFormat="false" ht="15" hidden="false" customHeight="false" outlineLevel="0" collapsed="false">
      <c r="A52" s="6" t="s">
        <v>119</v>
      </c>
    </row>
    <row r="53" customFormat="false" ht="15" hidden="false" customHeight="false" outlineLevel="0" collapsed="false">
      <c r="A53" s="27" t="s">
        <v>120</v>
      </c>
      <c r="B53" s="31" t="n">
        <v>0.3</v>
      </c>
    </row>
    <row r="54" customFormat="false" ht="15" hidden="false" customHeight="false" outlineLevel="0" collapsed="false">
      <c r="A54" s="27" t="s">
        <v>121</v>
      </c>
      <c r="B54" s="32" t="n">
        <v>60</v>
      </c>
    </row>
    <row r="55" customFormat="false" ht="28.35" hidden="false" customHeight="false" outlineLevel="0" collapsed="false">
      <c r="A55" s="27" t="s">
        <v>122</v>
      </c>
      <c r="B55" s="22" t="n">
        <f aca="false">B53*INDEX('3. The forecast'!J2:J86,B54)/12</f>
        <v>13152377.4701334</v>
      </c>
    </row>
    <row r="56" customFormat="false" ht="15" hidden="false" customHeight="false" outlineLevel="0" collapsed="false">
      <c r="A56" s="27" t="s">
        <v>123</v>
      </c>
      <c r="B56" s="22" t="n">
        <f aca="false">INDEX('3. The forecast'!H2:H86,B54+1)</f>
        <v>3782339.4909687</v>
      </c>
    </row>
    <row r="57" customFormat="false" ht="15" hidden="false" customHeight="false" outlineLevel="0" collapsed="false">
      <c r="A57" s="27" t="s">
        <v>124</v>
      </c>
      <c r="B57" s="22" t="n">
        <f aca="false">B55+B56</f>
        <v>16934716.9611021</v>
      </c>
    </row>
    <row r="58" customFormat="false" ht="15" hidden="false" customHeight="false" outlineLevel="0" collapsed="false">
      <c r="A58" s="27" t="s">
        <v>125</v>
      </c>
      <c r="B58" s="22" t="n">
        <f aca="false">INDEX('3. The forecast'!F2:F86,B54+1)</f>
        <v>13701771.4052924</v>
      </c>
    </row>
    <row r="59" customFormat="false" ht="15" hidden="false" customHeight="false" outlineLevel="0" collapsed="false">
      <c r="A59" s="27" t="s">
        <v>126</v>
      </c>
      <c r="B59" s="23" t="n">
        <f aca="false">B57/B58-1</f>
        <v>0.235950919058606</v>
      </c>
    </row>
    <row r="61" customFormat="false" ht="15" hidden="false" customHeight="false" outlineLevel="0" collapsed="false">
      <c r="A61" s="6" t="s">
        <v>127</v>
      </c>
    </row>
    <row r="62" customFormat="false" ht="15" hidden="false" customHeight="false" outlineLevel="0" collapsed="false">
      <c r="A62" s="27" t="s">
        <v>128</v>
      </c>
      <c r="B62" s="22" t="n">
        <f aca="false">SUM('3. The forecast'!F3:F86)</f>
        <v>823606427.563261</v>
      </c>
    </row>
    <row r="63" customFormat="false" ht="15" hidden="false" customHeight="false" outlineLevel="0" collapsed="false">
      <c r="A63" s="27" t="s">
        <v>129</v>
      </c>
      <c r="B63" s="22" t="n">
        <f aca="false">IF(84&gt;=MAX('1. Inputs'!B17,1),'1. Inputs'!B3*(1-'1. Inputs'!B18)^(84-MAX('1. Inputs'!B17,1)+1),'1. Inputs'!B3)</f>
        <v>72021218.4857132</v>
      </c>
    </row>
    <row r="64" customFormat="false" ht="15" hidden="false" customHeight="false" outlineLevel="0" collapsed="false">
      <c r="A64" s="27" t="s">
        <v>130</v>
      </c>
      <c r="B64" s="22" t="n">
        <f aca="false">'3. The forecast'!J86-B63</f>
        <v>682521253.908056</v>
      </c>
    </row>
    <row r="65" customFormat="false" ht="15" hidden="false" customHeight="false" outlineLevel="0" collapsed="false">
      <c r="A65" s="27" t="s">
        <v>131</v>
      </c>
      <c r="B65" s="23" t="n">
        <f aca="false">B64/B62</f>
        <v>0.828698309127307</v>
      </c>
    </row>
    <row r="66" customFormat="false" ht="28.35" hidden="false" customHeight="false" outlineLevel="0" collapsed="false">
      <c r="A66" s="27" t="s">
        <v>132</v>
      </c>
      <c r="B66" s="23" t="n">
        <f aca="false">'3. The forecast'!J86/B62</f>
        <v>0.916144467966544</v>
      </c>
    </row>
    <row r="67" customFormat="false" ht="15" hidden="false" customHeight="false" outlineLevel="0" collapsed="false">
      <c r="A67" s="27" t="s">
        <v>133</v>
      </c>
      <c r="B67" s="23" t="n">
        <f aca="false">'3. The forecast'!J86/('1. Inputs'!B3+B62)</f>
        <v>0.77499742301644</v>
      </c>
    </row>
    <row r="69" customFormat="false" ht="15" hidden="false" customHeight="false" outlineLevel="0" collapsed="false">
      <c r="A69" s="6" t="s">
        <v>134</v>
      </c>
    </row>
    <row r="70" customFormat="false" ht="15" hidden="false" customHeight="false" outlineLevel="0" collapsed="false">
      <c r="A70" s="14" t="s">
        <v>135</v>
      </c>
      <c r="B70" s="14" t="s">
        <v>136</v>
      </c>
      <c r="C70" s="14" t="s">
        <v>137</v>
      </c>
      <c r="D70" s="14" t="s">
        <v>138</v>
      </c>
    </row>
    <row r="71" customFormat="false" ht="15" hidden="false" customHeight="false" outlineLevel="0" collapsed="false">
      <c r="A71" s="27" t="s">
        <v>139</v>
      </c>
      <c r="B71" s="18" t="n">
        <v>3.65</v>
      </c>
      <c r="C71" s="30" t="n">
        <f aca="false">'3. The forecast'!F20/1000000</f>
        <v>3.65115443720153</v>
      </c>
      <c r="D71" s="25" t="str">
        <f aca="false">IF(ABS(C71-B71)&lt;=0.005,"OK","CHECK")</f>
        <v>OK</v>
      </c>
    </row>
    <row r="72" customFormat="false" ht="15" hidden="false" customHeight="false" outlineLevel="0" collapsed="false">
      <c r="A72" s="27" t="s">
        <v>140</v>
      </c>
      <c r="B72" s="18" t="n">
        <v>1.41</v>
      </c>
      <c r="C72" s="30" t="n">
        <f aca="false">'3. The forecast'!H20/1000000</f>
        <v>1.4122202241015</v>
      </c>
      <c r="D72" s="25" t="str">
        <f aca="false">IF(ABS(C72-B72)&lt;=0.005,"OK","CHECK")</f>
        <v>OK</v>
      </c>
    </row>
    <row r="73" customFormat="false" ht="15" hidden="false" customHeight="false" outlineLevel="0" collapsed="false">
      <c r="A73" s="27" t="s">
        <v>141</v>
      </c>
      <c r="B73" s="18" t="n">
        <v>2.24</v>
      </c>
      <c r="C73" s="30" t="n">
        <f aca="false">'3. The forecast'!I20/1000000</f>
        <v>2.23893421310003</v>
      </c>
      <c r="D73" s="25" t="str">
        <f aca="false">IF(ABS(C73-B73)&lt;=0.005,"OK","CHECK")</f>
        <v>OK</v>
      </c>
    </row>
    <row r="74" customFormat="false" ht="15" hidden="false" customHeight="false" outlineLevel="0" collapsed="false">
      <c r="A74" s="27" t="s">
        <v>142</v>
      </c>
      <c r="B74" s="18" t="n">
        <v>156</v>
      </c>
      <c r="C74" s="30" t="n">
        <f aca="false">'3. The forecast'!J20/1000000</f>
        <v>156.189258396577</v>
      </c>
      <c r="D74" s="25" t="str">
        <f aca="false">IF(ABS(C74-B74)&lt;=0.5,"OK","CHECK")</f>
        <v>OK</v>
      </c>
    </row>
    <row r="75" customFormat="false" ht="15" hidden="false" customHeight="false" outlineLevel="0" collapsed="false">
      <c r="A75" s="27" t="s">
        <v>143</v>
      </c>
      <c r="B75" s="18" t="n">
        <v>17.5</v>
      </c>
      <c r="C75" s="30" t="n">
        <f aca="false">'3. The forecast'!K20/0.01</f>
        <v>17.4518700754278</v>
      </c>
      <c r="D75" s="25" t="str">
        <f aca="false">IF(ABS(C75-B75)&lt;=0.05,"OK","CHECK")</f>
        <v>OK</v>
      </c>
    </row>
    <row r="76" customFormat="false" ht="15" hidden="false" customHeight="false" outlineLevel="0" collapsed="false">
      <c r="A76" s="27" t="s">
        <v>144</v>
      </c>
      <c r="B76" s="18" t="n">
        <v>11.81</v>
      </c>
      <c r="C76" s="30" t="n">
        <f aca="false">'3. The forecast'!F38/1000000</f>
        <v>11.8054579222806</v>
      </c>
      <c r="D76" s="25" t="str">
        <f aca="false">IF(ABS(C76-B76)&lt;=0.005,"OK","CHECK")</f>
        <v>OK</v>
      </c>
    </row>
    <row r="77" customFormat="false" ht="15" hidden="false" customHeight="false" outlineLevel="0" collapsed="false">
      <c r="A77" s="27" t="s">
        <v>145</v>
      </c>
      <c r="B77" s="18" t="n">
        <v>1.67</v>
      </c>
      <c r="C77" s="30" t="n">
        <f aca="false">'3. The forecast'!H38/1000000</f>
        <v>1.67303821088811</v>
      </c>
      <c r="D77" s="25" t="str">
        <f aca="false">IF(ABS(C77-B77)&lt;=0.005,"OK","CHECK")</f>
        <v>OK</v>
      </c>
    </row>
    <row r="78" customFormat="false" ht="15" hidden="false" customHeight="false" outlineLevel="0" collapsed="false">
      <c r="A78" s="27" t="s">
        <v>146</v>
      </c>
      <c r="B78" s="18" t="n">
        <v>10.13</v>
      </c>
      <c r="C78" s="30" t="n">
        <f aca="false">'3. The forecast'!I38/1000000</f>
        <v>10.1324197113925</v>
      </c>
      <c r="D78" s="25" t="str">
        <f aca="false">IF(ABS(C78-B78)&lt;=0.005,"OK","CHECK")</f>
        <v>OK</v>
      </c>
    </row>
    <row r="79" customFormat="false" ht="15" hidden="false" customHeight="false" outlineLevel="0" collapsed="false">
      <c r="A79" s="27" t="s">
        <v>147</v>
      </c>
      <c r="B79" s="18" t="n">
        <v>288</v>
      </c>
      <c r="C79" s="30" t="n">
        <f aca="false">'3. The forecast'!J38/1000000</f>
        <v>288.31495841622</v>
      </c>
      <c r="D79" s="25" t="str">
        <f aca="false">IF(ABS(C79-B79)&lt;=0.5,"OK","CHECK")</f>
        <v>OK</v>
      </c>
    </row>
    <row r="80" customFormat="false" ht="15" hidden="false" customHeight="false" outlineLevel="0" collapsed="false">
      <c r="A80" s="27" t="s">
        <v>148</v>
      </c>
      <c r="B80" s="18" t="n">
        <v>43.7</v>
      </c>
      <c r="C80" s="30" t="n">
        <f aca="false">'3. The forecast'!K38/0.01</f>
        <v>43.7083639766928</v>
      </c>
      <c r="D80" s="25" t="str">
        <f aca="false">IF(ABS(C80-B80)&lt;=0.05,"OK","CHECK")</f>
        <v>OK</v>
      </c>
    </row>
    <row r="81" customFormat="false" ht="15" hidden="false" customHeight="false" outlineLevel="0" collapsed="false">
      <c r="A81" s="27" t="s">
        <v>149</v>
      </c>
      <c r="B81" s="18" t="n">
        <v>13.7</v>
      </c>
      <c r="C81" s="30" t="n">
        <f aca="false">'3. The forecast'!F62/1000000</f>
        <v>13.7017714052924</v>
      </c>
      <c r="D81" s="25" t="str">
        <f aca="false">IF(ABS(C81-B81)&lt;=0.005,"OK","CHECK")</f>
        <v>OK</v>
      </c>
    </row>
    <row r="82" customFormat="false" ht="15" hidden="false" customHeight="false" outlineLevel="0" collapsed="false">
      <c r="A82" s="27" t="s">
        <v>150</v>
      </c>
      <c r="B82" s="18" t="n">
        <v>3.78</v>
      </c>
      <c r="C82" s="30" t="n">
        <f aca="false">'3. The forecast'!H62/1000000</f>
        <v>3.7823394909687</v>
      </c>
      <c r="D82" s="25" t="str">
        <f aca="false">IF(ABS(C82-B82)&lt;=0.005,"OK","CHECK")</f>
        <v>OK</v>
      </c>
    </row>
    <row r="83" customFormat="false" ht="15" hidden="false" customHeight="false" outlineLevel="0" collapsed="false">
      <c r="A83" s="27" t="s">
        <v>151</v>
      </c>
      <c r="B83" s="18" t="n">
        <v>9.92</v>
      </c>
      <c r="C83" s="30" t="n">
        <f aca="false">'3. The forecast'!I62/1000000</f>
        <v>9.91943191432372</v>
      </c>
      <c r="D83" s="25" t="str">
        <f aca="false">IF(ABS(C83-B83)&lt;=0.005,"OK","CHECK")</f>
        <v>OK</v>
      </c>
    </row>
    <row r="84" customFormat="false" ht="15" hidden="false" customHeight="false" outlineLevel="0" collapsed="false">
      <c r="A84" s="27" t="s">
        <v>152</v>
      </c>
      <c r="B84" s="18" t="n">
        <v>536</v>
      </c>
      <c r="C84" s="30" t="n">
        <f aca="false">'3. The forecast'!J62/1000000</f>
        <v>536.01453071966</v>
      </c>
      <c r="D84" s="25" t="str">
        <f aca="false">IF(ABS(C84-B84)&lt;=0.5,"OK","CHECK")</f>
        <v>OK</v>
      </c>
    </row>
    <row r="85" customFormat="false" ht="15" hidden="false" customHeight="false" outlineLevel="0" collapsed="false">
      <c r="A85" s="27" t="s">
        <v>153</v>
      </c>
      <c r="B85" s="18" t="n">
        <v>22.6</v>
      </c>
      <c r="C85" s="30" t="n">
        <f aca="false">'3. The forecast'!K62/0.01</f>
        <v>22.6257920368745</v>
      </c>
      <c r="D85" s="25" t="str">
        <f aca="false">IF(ABS(C85-B85)&lt;=0.05,"OK","CHECK")</f>
        <v>OK</v>
      </c>
    </row>
    <row r="86" customFormat="false" ht="15" hidden="false" customHeight="false" outlineLevel="0" collapsed="false">
      <c r="A86" s="27" t="s">
        <v>154</v>
      </c>
      <c r="B86" s="18" t="n">
        <v>14.23</v>
      </c>
      <c r="C86" s="30" t="n">
        <f aca="false">'3. The forecast'!F86/1000000</f>
        <v>14.233299946027</v>
      </c>
      <c r="D86" s="25" t="str">
        <f aca="false">IF(ABS(C86-B86)&lt;=0.005,"OK","CHECK")</f>
        <v>OK</v>
      </c>
    </row>
    <row r="87" customFormat="false" ht="15" hidden="false" customHeight="false" outlineLevel="0" collapsed="false">
      <c r="A87" s="27" t="s">
        <v>155</v>
      </c>
      <c r="B87" s="18" t="n">
        <v>5.91</v>
      </c>
      <c r="C87" s="30" t="n">
        <f aca="false">'3. The forecast'!H86/1000000</f>
        <v>5.90691613404892</v>
      </c>
      <c r="D87" s="25" t="str">
        <f aca="false">IF(ABS(C87-B87)&lt;=0.005,"OK","CHECK")</f>
        <v>OK</v>
      </c>
    </row>
    <row r="88" customFormat="false" ht="15" hidden="false" customHeight="false" outlineLevel="0" collapsed="false">
      <c r="A88" s="27" t="s">
        <v>156</v>
      </c>
      <c r="B88" s="18" t="n">
        <v>8.33</v>
      </c>
      <c r="C88" s="30" t="n">
        <f aca="false">'3. The forecast'!I86/1000000</f>
        <v>8.32638381197813</v>
      </c>
      <c r="D88" s="25" t="str">
        <f aca="false">IF(ABS(C88-B88)&lt;=0.005,"OK","CHECK")</f>
        <v>OK</v>
      </c>
    </row>
    <row r="89" customFormat="false" ht="15" hidden="false" customHeight="false" outlineLevel="0" collapsed="false">
      <c r="A89" s="27" t="s">
        <v>157</v>
      </c>
      <c r="B89" s="18" t="n">
        <v>755</v>
      </c>
      <c r="C89" s="30" t="n">
        <f aca="false">'3. The forecast'!J86/1000000</f>
        <v>754.542472393769</v>
      </c>
      <c r="D89" s="25" t="str">
        <f aca="false">IF(ABS(C89-B89)&lt;=0.5,"OK","CHECK")</f>
        <v>OK</v>
      </c>
    </row>
    <row r="90" customFormat="false" ht="15" hidden="false" customHeight="false" outlineLevel="0" collapsed="false">
      <c r="A90" s="27" t="s">
        <v>158</v>
      </c>
      <c r="B90" s="18" t="n">
        <v>13.4</v>
      </c>
      <c r="C90" s="30" t="n">
        <f aca="false">'3. The forecast'!K86/0.01</f>
        <v>13.3897683623563</v>
      </c>
      <c r="D90" s="25" t="str">
        <f aca="false">IF(ABS(C90-B90)&lt;=0.05,"OK","CHECK")</f>
        <v>OK</v>
      </c>
    </row>
    <row r="91" customFormat="false" ht="15" hidden="false" customHeight="false" outlineLevel="0" collapsed="false">
      <c r="A91" s="27" t="s">
        <v>159</v>
      </c>
      <c r="B91" s="13" t="n">
        <f aca="false">COUNTIF(D71:D90,"OK")</f>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8"/>
    <col collapsed="false" customWidth="true" hidden="false" outlineLevel="0" max="5" min="4" style="0" width="16"/>
    <col collapsed="false" customWidth="true" hidden="false" outlineLevel="0" max="6" min="6" style="0" width="44"/>
  </cols>
  <sheetData>
    <row r="1" customFormat="false" ht="15" hidden="false" customHeight="false" outlineLevel="0" collapsed="false">
      <c r="A1" s="6" t="str">
        <f aca="false">"What each kind of miss looks like at month "&amp;B3</f>
        <v>What each kind of miss looks like at month 36</v>
      </c>
    </row>
    <row r="2" customFormat="false" ht="41.75" hidden="false" customHeight="false" outlineLevel="0" collapsed="false">
      <c r="A2" s="27" t="s">
        <v>160</v>
      </c>
    </row>
    <row r="3" customFormat="false" ht="15" hidden="false" customHeight="false" outlineLevel="0" collapsed="false">
      <c r="A3" s="24" t="s">
        <v>161</v>
      </c>
      <c r="B3" s="32" t="n">
        <v>36</v>
      </c>
    </row>
    <row r="4" customFormat="false" ht="28.35" hidden="false" customHeight="false" outlineLevel="0" collapsed="false">
      <c r="A4" s="14" t="s">
        <v>162</v>
      </c>
      <c r="B4" s="14" t="str">
        <f aca="false">"Gross flow, month "&amp;B3</f>
        <v>Gross flow, month 36</v>
      </c>
      <c r="C4" s="14" t="str">
        <f aca="false">"Assets, month "&amp;B3</f>
        <v>Assets, month 36</v>
      </c>
      <c r="D4" s="14" t="s">
        <v>163</v>
      </c>
      <c r="E4" s="14" t="s">
        <v>164</v>
      </c>
      <c r="F4" s="14"/>
    </row>
    <row r="5" customFormat="false" ht="28.35" hidden="false" customHeight="false" outlineLevel="0" collapsed="false">
      <c r="A5" s="24" t="s">
        <v>165</v>
      </c>
      <c r="B5" s="22" t="n">
        <f aca="false">INDEX('7. Scenario engine'!F3:F86,$B$3)</f>
        <v>11805457.9222806</v>
      </c>
      <c r="C5" s="22" t="n">
        <f aca="false">INDEX('7. Scenario engine'!J3:J86,$B$3)</f>
        <v>288314958.41622</v>
      </c>
      <c r="D5" s="29" t="n">
        <f aca="false">B5/$B$5-1</f>
        <v>0</v>
      </c>
      <c r="E5" s="29" t="n">
        <f aca="false">C5/$C$5-1</f>
        <v>0</v>
      </c>
      <c r="F5" s="27" t="s">
        <v>166</v>
      </c>
    </row>
    <row r="6" customFormat="false" ht="15" hidden="false" customHeight="false" outlineLevel="0" collapsed="false">
      <c r="A6" s="7" t="s">
        <v>167</v>
      </c>
      <c r="B6" s="22" t="n">
        <f aca="false">INDEX('7. Scenario engine'!O3:O86,$B$3)</f>
        <v>10493740.3753605</v>
      </c>
      <c r="C6" s="22" t="n">
        <f aca="false">INDEX('7. Scenario engine'!S3:S86,$B$3)</f>
        <v>269243652.359959</v>
      </c>
      <c r="D6" s="29" t="n">
        <f aca="false">B6/$B$5-1</f>
        <v>-0.111111111111111</v>
      </c>
      <c r="E6" s="29" t="n">
        <f aca="false">C6/$C$5-1</f>
        <v>-0.0661474734471776</v>
      </c>
    </row>
    <row r="7" customFormat="false" ht="15" hidden="false" customHeight="false" outlineLevel="0" collapsed="false">
      <c r="A7" s="7" t="s">
        <v>168</v>
      </c>
      <c r="B7" s="22" t="n">
        <f aca="false">INDEX('7. Scenario engine'!X3:X86,$B$3)</f>
        <v>10624912.1300525</v>
      </c>
      <c r="C7" s="22" t="n">
        <f aca="false">INDEX('7. Scenario engine'!AB3:AB86,$B$3)</f>
        <v>271150782.965585</v>
      </c>
      <c r="D7" s="29" t="n">
        <f aca="false">B7/$B$5-1</f>
        <v>-0.1</v>
      </c>
      <c r="E7" s="29" t="n">
        <f aca="false">C7/$C$5-1</f>
        <v>-0.0595327261024596</v>
      </c>
    </row>
    <row r="8" customFormat="false" ht="15" hidden="false" customHeight="false" outlineLevel="0" collapsed="false">
      <c r="A8" s="7" t="s">
        <v>169</v>
      </c>
      <c r="B8" s="22" t="n">
        <f aca="false">INDEX('7. Scenario engine'!AG3:AG86,$B$3)</f>
        <v>11155874.9588582</v>
      </c>
      <c r="C8" s="22" t="n">
        <f aca="false">INDEX('7. Scenario engine'!AK3:AK86,$B$3)</f>
        <v>254746420.127737</v>
      </c>
      <c r="D8" s="29" t="n">
        <f aca="false">B8/$B$5-1</f>
        <v>-0.0550239531324283</v>
      </c>
      <c r="E8" s="29" t="n">
        <f aca="false">C8/$C$5-1</f>
        <v>-0.116430096006403</v>
      </c>
    </row>
    <row r="11" customFormat="false" ht="15" hidden="false" customHeight="false" outlineLevel="0" collapsed="false">
      <c r="A11" s="16" t="s">
        <v>170</v>
      </c>
      <c r="B11" s="22" t="n">
        <f aca="false">INDEX('3. The forecast'!F3:F86,$B$3)</f>
        <v>11805457.9222806</v>
      </c>
      <c r="C11" s="22" t="n">
        <f aca="false">INDEX('3. The forecast'!J3:J86,$B$3)</f>
        <v>288314958.41622</v>
      </c>
    </row>
    <row r="13" customFormat="false" ht="15" hidden="false" customHeight="false" outlineLevel="0" collapsed="false">
      <c r="A13" s="24" t="s">
        <v>171</v>
      </c>
      <c r="B13" s="24"/>
      <c r="C13" s="24"/>
      <c r="D13" s="33" t="n">
        <f aca="false">C8/C5-1-(B8/B5-1)</f>
        <v>-0.0614061428739743</v>
      </c>
      <c r="F13" s="9" t="s">
        <v>172</v>
      </c>
    </row>
    <row r="14" customFormat="false" ht="15" hidden="false" customHeight="false" outlineLevel="0" collapsed="false">
      <c r="A14" s="24" t="s">
        <v>173</v>
      </c>
      <c r="B14" s="24"/>
      <c r="C14" s="24"/>
      <c r="D14" s="33" t="n">
        <f aca="false">B6/B5-1-(C6/C5-1)</f>
        <v>-0.0449636376639334</v>
      </c>
      <c r="F14" s="9" t="s">
        <v>174</v>
      </c>
    </row>
    <row r="16" customFormat="false" ht="95.5" hidden="false" customHeight="false" outlineLevel="0" collapsed="false">
      <c r="A16" s="27" t="s">
        <v>175</v>
      </c>
    </row>
    <row r="18" customFormat="false" ht="95.5" hidden="false" customHeight="false" outlineLevel="0" collapsed="false">
      <c r="A18" s="27" t="s">
        <v>176</v>
      </c>
    </row>
    <row r="20" customFormat="false" ht="15" hidden="false" customHeight="false" outlineLevel="0" collapsed="false">
      <c r="A20" s="34" t="s">
        <v>177</v>
      </c>
    </row>
    <row r="21" customFormat="false" ht="15" hidden="false" customHeight="false" outlineLevel="0" collapsed="false">
      <c r="A21" s="27" t="s">
        <v>178</v>
      </c>
      <c r="B21" s="28" t="n">
        <v>0.02</v>
      </c>
    </row>
    <row r="22" customFormat="false" ht="28.35" hidden="false" customHeight="false" outlineLevel="0" collapsed="false">
      <c r="A22" s="27" t="s">
        <v>179</v>
      </c>
      <c r="B22" s="18" t="n">
        <v>0.9</v>
      </c>
    </row>
    <row r="23" customFormat="false" ht="15" hidden="false" customHeight="false" outlineLevel="0" collapsed="false">
      <c r="A23" s="27" t="s">
        <v>180</v>
      </c>
      <c r="B23" s="32" t="n">
        <v>3</v>
      </c>
    </row>
  </sheetData>
  <mergeCells count="2">
    <mergeCell ref="A13:C13"/>
    <mergeCell ref="A14:C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14" t="s">
        <v>181</v>
      </c>
      <c r="B1" s="14" t="s">
        <v>182</v>
      </c>
      <c r="C1" s="14" t="s">
        <v>183</v>
      </c>
      <c r="D1" s="14" t="s">
        <v>138</v>
      </c>
    </row>
    <row r="2" customFormat="false" ht="15" hidden="false" customHeight="false" outlineLevel="0" collapsed="false">
      <c r="A2" s="7" t="n">
        <v>1</v>
      </c>
      <c r="B2" s="9" t="s">
        <v>184</v>
      </c>
      <c r="C2" s="35" t="n">
        <f aca="false">'1. Inputs'!B28</f>
        <v>4000</v>
      </c>
      <c r="D2" s="24" t="str">
        <f aca="false">IF(C2=4000,"PASS","FAIL")</f>
        <v>PASS</v>
      </c>
    </row>
    <row r="3" customFormat="false" ht="15" hidden="false" customHeight="false" outlineLevel="0" collapsed="false">
      <c r="A3" s="7" t="n">
        <v>2</v>
      </c>
      <c r="B3" s="9" t="s">
        <v>185</v>
      </c>
      <c r="C3" s="35" t="n">
        <f aca="false">'3. The forecast'!I14</f>
        <v>-636930.461538461</v>
      </c>
      <c r="D3" s="24" t="str">
        <f aca="false">IF(AND(C3&lt;0,C3&gt;-700000),"PASS","FAIL")</f>
        <v>PASS</v>
      </c>
    </row>
    <row r="4" customFormat="false" ht="15" hidden="false" customHeight="false" outlineLevel="0" collapsed="false">
      <c r="A4" s="7" t="n">
        <v>3</v>
      </c>
      <c r="B4" s="9" t="s">
        <v>186</v>
      </c>
      <c r="C4" s="35" t="n">
        <f aca="false">'3. The forecast'!F20</f>
        <v>3651154.43720153</v>
      </c>
      <c r="D4" s="24" t="str">
        <f aca="false">IF(ABS(C4-3651154)&lt;2000,"PASS","FAIL")</f>
        <v>PASS</v>
      </c>
    </row>
    <row r="5" customFormat="false" ht="15" hidden="false" customHeight="false" outlineLevel="0" collapsed="false">
      <c r="A5" s="7" t="n">
        <v>4</v>
      </c>
      <c r="B5" s="9" t="s">
        <v>187</v>
      </c>
      <c r="C5" s="36" t="n">
        <f aca="false">'3. The forecast'!K20</f>
        <v>0.174518700754278</v>
      </c>
      <c r="D5" s="24" t="str">
        <f aca="false">IF(ABS(C5-0.1751)&lt;0.002,"PASS","FAIL")</f>
        <v>PASS</v>
      </c>
    </row>
    <row r="6" customFormat="false" ht="15" hidden="false" customHeight="false" outlineLevel="0" collapsed="false">
      <c r="A6" s="7" t="n">
        <v>5</v>
      </c>
      <c r="B6" s="9" t="s">
        <v>188</v>
      </c>
      <c r="C6" s="35" t="n">
        <f aca="false">'3. The forecast'!F38</f>
        <v>11805457.9222806</v>
      </c>
      <c r="D6" s="24" t="str">
        <f aca="false">IF(ABS(C6-11805458)&lt;5000,"PASS","FAIL")</f>
        <v>PASS</v>
      </c>
    </row>
    <row r="7" customFormat="false" ht="15" hidden="false" customHeight="false" outlineLevel="0" collapsed="false">
      <c r="A7" s="7" t="n">
        <v>6</v>
      </c>
      <c r="B7" s="9" t="s">
        <v>189</v>
      </c>
      <c r="C7" s="35" t="n">
        <f aca="false">'3. The forecast'!J38</f>
        <v>288314958.41622</v>
      </c>
      <c r="D7" s="24" t="str">
        <f aca="false">IF(ABS(C7-288314958)&lt;200000,"PASS","FAIL")</f>
        <v>PASS</v>
      </c>
    </row>
    <row r="8" customFormat="false" ht="15" hidden="false" customHeight="false" outlineLevel="0" collapsed="false">
      <c r="A8" s="7" t="n">
        <v>7</v>
      </c>
      <c r="B8" s="9" t="s">
        <v>190</v>
      </c>
      <c r="C8" s="36" t="n">
        <f aca="false">'3. The forecast'!K62</f>
        <v>0.226257920368745</v>
      </c>
      <c r="D8" s="24" t="str">
        <f aca="false">IF(ABS(C8-0.2264)&lt;0.002,"PASS","FAIL")</f>
        <v>PASS</v>
      </c>
    </row>
    <row r="9" customFormat="false" ht="15" hidden="false" customHeight="false" outlineLevel="0" collapsed="false">
      <c r="A9" s="7" t="n">
        <v>8</v>
      </c>
      <c r="B9" s="9" t="s">
        <v>191</v>
      </c>
      <c r="C9" s="36" t="n">
        <f aca="false">'3. The forecast'!K86</f>
        <v>0.133897683623563</v>
      </c>
      <c r="D9" s="24" t="str">
        <f aca="false">IF(ABS(C9-0.1341)&lt;0.002,"PASS","FAIL")</f>
        <v>PASS</v>
      </c>
    </row>
    <row r="10" customFormat="false" ht="15" hidden="false" customHeight="false" outlineLevel="0" collapsed="false">
      <c r="A10" s="7" t="n">
        <v>9</v>
      </c>
      <c r="B10" s="9" t="s">
        <v>192</v>
      </c>
      <c r="C10" s="35" t="n">
        <f aca="false">'3. The forecast'!J86</f>
        <v>754542472.393769</v>
      </c>
      <c r="D10" s="24" t="str">
        <f aca="false">IF(ABS(C10-754542472)&lt;500000,"PASS","FAIL")</f>
        <v>PASS</v>
      </c>
    </row>
    <row r="11" customFormat="false" ht="15" hidden="false" customHeight="false" outlineLevel="0" collapsed="false">
      <c r="A11" s="7" t="n">
        <v>10</v>
      </c>
      <c r="B11" s="9" t="s">
        <v>193</v>
      </c>
      <c r="C11" s="37" t="n">
        <f aca="false">SUMPRODUCT(--('3. The forecast'!F4:F86&lt;'3. The forecast'!F3:F85))</f>
        <v>0</v>
      </c>
      <c r="D11" s="24" t="str">
        <f aca="false">IF(C11=0,"PASS","FAIL")</f>
        <v>PASS</v>
      </c>
    </row>
    <row r="12" customFormat="false" ht="15" hidden="false" customHeight="false" outlineLevel="0" collapsed="false">
      <c r="A12" s="7" t="n">
        <v>11</v>
      </c>
      <c r="B12" s="9" t="s">
        <v>194</v>
      </c>
      <c r="C12" s="37" t="n">
        <f aca="false">'4. Peaks and drag'!B7</f>
        <v>29</v>
      </c>
      <c r="D12" s="24" t="str">
        <f aca="false">IF(C12=29,"PASS","FAIL")</f>
        <v>PASS</v>
      </c>
    </row>
    <row r="13" customFormat="false" ht="15" hidden="false" customHeight="false" outlineLevel="0" collapsed="false">
      <c r="A13" s="7" t="n">
        <v>12</v>
      </c>
      <c r="B13" s="9" t="s">
        <v>195</v>
      </c>
      <c r="C13" s="37" t="n">
        <f aca="false">'4. Peaks and drag'!B5</f>
        <v>44</v>
      </c>
      <c r="D13" s="24" t="str">
        <f aca="false">IF(C13=44,"PASS","FAIL")</f>
        <v>PASS</v>
      </c>
    </row>
    <row r="14" customFormat="false" ht="15" hidden="false" customHeight="false" outlineLevel="0" collapsed="false">
      <c r="A14" s="7" t="n">
        <v>13</v>
      </c>
      <c r="B14" s="9" t="s">
        <v>196</v>
      </c>
      <c r="C14" s="37" t="n">
        <f aca="false">'4. Peaks and drag'!B3</f>
        <v>84</v>
      </c>
      <c r="D14" s="24" t="str">
        <f aca="false">IF(C14=84,"PASS","FAIL")</f>
        <v>PASS</v>
      </c>
    </row>
    <row r="15" customFormat="false" ht="15" hidden="false" customHeight="false" outlineLevel="0" collapsed="false">
      <c r="A15" s="7" t="n">
        <v>14</v>
      </c>
      <c r="B15" s="9" t="s">
        <v>197</v>
      </c>
      <c r="C15" s="37" t="n">
        <f aca="false">'4. Peaks and drag'!B10</f>
        <v>15</v>
      </c>
      <c r="D15" s="24" t="str">
        <f aca="false">IF(C15=15,"PASS","FAIL")</f>
        <v>PASS</v>
      </c>
    </row>
    <row r="16" customFormat="false" ht="15" hidden="false" customHeight="false" outlineLevel="0" collapsed="false">
      <c r="A16" s="7" t="n">
        <v>15</v>
      </c>
      <c r="B16" s="9" t="s">
        <v>198</v>
      </c>
      <c r="C16" s="37" t="n">
        <f aca="false">'4. Peaks and drag'!B11</f>
        <v>55</v>
      </c>
      <c r="D16" s="24" t="str">
        <f aca="false">IF(C16=55,"PASS","FAIL")</f>
        <v>PASS</v>
      </c>
    </row>
    <row r="17" customFormat="false" ht="15" hidden="false" customHeight="false" outlineLevel="0" collapsed="false">
      <c r="A17" s="7" t="n">
        <v>16</v>
      </c>
      <c r="B17" s="9" t="s">
        <v>199</v>
      </c>
      <c r="C17" s="36" t="n">
        <f aca="false">'4. Peaks and drag'!B8</f>
        <v>0.480965961861037</v>
      </c>
      <c r="D17" s="24" t="str">
        <f aca="false">IF(ABS(C17-0.4808)&lt;0.002,"PASS","FAIL")</f>
        <v>PASS</v>
      </c>
    </row>
    <row r="18" customFormat="false" ht="15" hidden="false" customHeight="false" outlineLevel="0" collapsed="false">
      <c r="A18" s="7" t="n">
        <v>17</v>
      </c>
      <c r="B18" s="9" t="s">
        <v>200</v>
      </c>
      <c r="C18" s="37" t="n">
        <f aca="false">'4. Peaks and drag'!C16</f>
        <v>40</v>
      </c>
      <c r="D18" s="24" t="str">
        <f aca="false">IF(C18=40,"PASS","FAIL")</f>
        <v>PASS</v>
      </c>
    </row>
    <row r="19" customFormat="false" ht="15" hidden="false" customHeight="false" outlineLevel="0" collapsed="false">
      <c r="A19" s="7" t="n">
        <v>18</v>
      </c>
      <c r="B19" s="9" t="s">
        <v>201</v>
      </c>
      <c r="C19" s="37" t="n">
        <f aca="false">'4. Peaks and drag'!C17</f>
        <v>50</v>
      </c>
      <c r="D19" s="24" t="str">
        <f aca="false">IF(C19=50,"PASS","FAIL")</f>
        <v>PASS</v>
      </c>
    </row>
    <row r="20" customFormat="false" ht="15" hidden="false" customHeight="false" outlineLevel="0" collapsed="false">
      <c r="A20" s="7" t="n">
        <v>19</v>
      </c>
      <c r="B20" s="9" t="s">
        <v>202</v>
      </c>
      <c r="C20" s="37" t="n">
        <f aca="false">'4. Peaks and drag'!C18</f>
        <v>66</v>
      </c>
      <c r="D20" s="24" t="str">
        <f aca="false">IF(C20=66,"PASS","FAIL")</f>
        <v>PASS</v>
      </c>
    </row>
    <row r="21" customFormat="false" ht="15" hidden="false" customHeight="false" outlineLevel="0" collapsed="false">
      <c r="A21" s="7" t="n">
        <v>20</v>
      </c>
      <c r="B21" s="9" t="s">
        <v>203</v>
      </c>
      <c r="C21" s="38" t="n">
        <f aca="false">'4. Peaks and drag'!D23</f>
        <v>0.386787315735653</v>
      </c>
      <c r="D21" s="24" t="str">
        <f aca="false">IF(ABS(C21-0.387)&lt;0.005,"PASS","FAIL")</f>
        <v>PASS</v>
      </c>
    </row>
    <row r="22" customFormat="false" ht="15" hidden="false" customHeight="false" outlineLevel="0" collapsed="false">
      <c r="A22" s="7" t="n">
        <v>21</v>
      </c>
      <c r="B22" s="9" t="s">
        <v>204</v>
      </c>
      <c r="C22" s="38" t="n">
        <f aca="false">'4. Peaks and drag'!D26</f>
        <v>0.141717349881918</v>
      </c>
      <c r="D22" s="24" t="str">
        <f aca="false">IF(ABS(C22-0.142)&lt;0.005,"PASS","FAIL")</f>
        <v>PASS</v>
      </c>
    </row>
    <row r="23" customFormat="false" ht="15" hidden="false" customHeight="false" outlineLevel="0" collapsed="false">
      <c r="A23" s="7" t="n">
        <v>22</v>
      </c>
      <c r="B23" s="9" t="s">
        <v>205</v>
      </c>
      <c r="C23" s="38" t="n">
        <f aca="false">'4. Peaks and drag'!D31</f>
        <v>0.415006790867056</v>
      </c>
      <c r="D23" s="24" t="str">
        <f aca="false">IF(ABS(C23-0.415)&lt;0.005,"PASS","FAIL")</f>
        <v>PASS</v>
      </c>
    </row>
    <row r="24" customFormat="false" ht="15" hidden="false" customHeight="false" outlineLevel="0" collapsed="false">
      <c r="A24" s="7" t="n">
        <v>23</v>
      </c>
      <c r="B24" s="9" t="s">
        <v>206</v>
      </c>
      <c r="C24" s="38" t="n">
        <f aca="false">'4. Peaks and drag'!D26</f>
        <v>0.141717349881918</v>
      </c>
      <c r="D24" s="24" t="str">
        <f aca="false">IF(AND(C24&lt;'4. Peaks and drag'!D23,C24&lt;'4. Peaks and drag'!D31),"PASS","FAIL")</f>
        <v>PASS</v>
      </c>
    </row>
    <row r="25" customFormat="false" ht="15" hidden="false" customHeight="false" outlineLevel="0" collapsed="false">
      <c r="A25" s="7" t="n">
        <v>24</v>
      </c>
      <c r="B25" s="9" t="s">
        <v>207</v>
      </c>
      <c r="C25" s="36" t="n">
        <f aca="false">'5. Diagnosing a miss'!D13</f>
        <v>-0.0614061428739743</v>
      </c>
      <c r="D25" s="24" t="str">
        <f aca="false">IF(C25&lt;0,"PASS","FAIL")</f>
        <v>PASS</v>
      </c>
    </row>
    <row r="26" customFormat="false" ht="15" hidden="false" customHeight="false" outlineLevel="0" collapsed="false">
      <c r="A26" s="7" t="n">
        <v>25</v>
      </c>
      <c r="B26" s="9" t="s">
        <v>208</v>
      </c>
      <c r="C26" s="36" t="n">
        <f aca="false">'5. Diagnosing a miss'!D14</f>
        <v>-0.0449636376639334</v>
      </c>
      <c r="D26" s="24" t="str">
        <f aca="false">IF(C26&lt;0,"PASS","FAIL")</f>
        <v>PASS</v>
      </c>
    </row>
    <row r="27" customFormat="false" ht="15" hidden="false" customHeight="false" outlineLevel="0" collapsed="false">
      <c r="A27" s="7" t="n">
        <v>26</v>
      </c>
      <c r="B27" s="9" t="s">
        <v>209</v>
      </c>
      <c r="C27" s="36" t="n">
        <f aca="false">'5. Diagnosing a miss'!E8</f>
        <v>-0.116430096006403</v>
      </c>
      <c r="D27" s="24" t="str">
        <f aca="false">IF(AND(C27&lt;'5. Diagnosing a miss'!E6,C27&lt;'5. Diagnosing a miss'!E7),"PASS","FAIL")</f>
        <v>PASS</v>
      </c>
    </row>
    <row r="28" customFormat="false" ht="15" hidden="false" customHeight="false" outlineLevel="0" collapsed="false">
      <c r="A28" s="7" t="n">
        <v>27</v>
      </c>
      <c r="B28" s="9" t="s">
        <v>210</v>
      </c>
      <c r="C28" s="36" t="n">
        <f aca="false">'5. Diagnosing a miss'!D8</f>
        <v>-0.0550239531324283</v>
      </c>
      <c r="D28" s="24" t="str">
        <f aca="false">IF(AND(C28&gt;'5. Diagnosing a miss'!D6,C28&gt;'5. Diagnosing a miss'!D7),"PASS","FAIL")</f>
        <v>PASS</v>
      </c>
    </row>
    <row r="29" customFormat="false" ht="28.35" hidden="false" customHeight="false" outlineLevel="0" collapsed="false">
      <c r="A29" s="7" t="n">
        <v>28</v>
      </c>
      <c r="B29" s="9" t="s">
        <v>211</v>
      </c>
      <c r="C29" s="35" t="n">
        <f aca="false">SUMPRODUCT(ABS('7. Scenario engine'!F3:F86-'3. The forecast'!F3:F86))+SUMPRODUCT(ABS('7. Scenario engine'!J3:J86-'3. The forecast'!J3:J86))</f>
        <v>0</v>
      </c>
      <c r="D29" s="24" t="str">
        <f aca="false">IF(C29&lt;1,"PASS","FAIL")</f>
        <v>PASS</v>
      </c>
    </row>
    <row r="30" customFormat="false" ht="28.35" hidden="false" customHeight="false" outlineLevel="0" collapsed="false">
      <c r="A30" s="7" t="n">
        <v>29</v>
      </c>
      <c r="B30" s="9" t="s">
        <v>212</v>
      </c>
      <c r="C30" s="37" t="n">
        <f aca="false">'4. Peaks and drag'!B41</f>
        <v>78</v>
      </c>
      <c r="D30" s="24" t="str">
        <f aca="false">IF(AND(C30=78,'4. Peaks and drag'!B40=7),"PASS","FAIL")</f>
        <v>PASS</v>
      </c>
    </row>
    <row r="31" customFormat="false" ht="28.35" hidden="false" customHeight="false" outlineLevel="0" collapsed="false">
      <c r="A31" s="7" t="n">
        <v>30</v>
      </c>
      <c r="B31" s="9" t="s">
        <v>213</v>
      </c>
      <c r="C31" s="39" t="n">
        <f aca="false">SUM('3. The forecast'!L3:L86)-(IF(84&gt;=MAX('1. Inputs'!B17,1),'1. Inputs'!B3,0)+SUMPRODUCT(('3. The forecast'!A3:A86&lt;=84-'1. Inputs'!B17)*'3. The forecast'!F3:F86))</f>
        <v>0</v>
      </c>
      <c r="D31" s="24" t="str">
        <f aca="false">IF(ABS(C31)&lt;1,"PASS","FAIL")</f>
        <v>PASS</v>
      </c>
    </row>
    <row r="32" customFormat="false" ht="15" hidden="false" customHeight="false" outlineLevel="0" collapsed="false">
      <c r="A32" s="7" t="n">
        <v>31</v>
      </c>
      <c r="B32" s="9" t="s">
        <v>214</v>
      </c>
      <c r="C32" s="39" t="n">
        <f aca="false">'3. The forecast'!J86-'1. Inputs'!B3-SUM('3. The forecast'!F3:F86)+SUM('3. The forecast'!H3:H86)</f>
        <v>0</v>
      </c>
      <c r="D32" s="24" t="str">
        <f aca="false">IF(ABS(C32)&lt;1,"PASS","FAIL")</f>
        <v>PASS</v>
      </c>
    </row>
    <row r="33" customFormat="false" ht="15" hidden="false" customHeight="false" outlineLevel="0" collapsed="false">
      <c r="A33" s="7" t="n">
        <v>32</v>
      </c>
      <c r="B33" s="9" t="s">
        <v>215</v>
      </c>
      <c r="C33" s="37" t="n">
        <f aca="false">SUMPRODUCT(--('3. The forecast'!G3:G86-'3. The forecast'!H3:H86&gt;'3. The forecast'!J3:J86+1))</f>
        <v>0</v>
      </c>
      <c r="D33" s="24" t="str">
        <f aca="false">IF(C33=0,"PASS","FAIL")</f>
        <v>PASS</v>
      </c>
    </row>
    <row r="34" customFormat="false" ht="15" hidden="false" customHeight="false" outlineLevel="0" collapsed="false">
      <c r="A34" s="7" t="n">
        <v>33</v>
      </c>
      <c r="B34" s="9" t="s">
        <v>216</v>
      </c>
      <c r="C34" s="39" t="n">
        <f aca="false">ABS('5. Diagnosing a miss'!B5-'5. Diagnosing a miss'!B11)+ABS('5. Diagnosing a miss'!C5-'5. Diagnosing a miss'!C11)</f>
        <v>0</v>
      </c>
      <c r="D34" s="24" t="str">
        <f aca="false">IF(C34&lt;1,"PASS","FAIL")</f>
        <v>PASS</v>
      </c>
    </row>
    <row r="35" customFormat="false" ht="28.35" hidden="false" customHeight="false" outlineLevel="0" collapsed="false">
      <c r="A35" s="7" t="n">
        <v>34</v>
      </c>
      <c r="B35" s="9" t="s">
        <v>217</v>
      </c>
      <c r="C35" s="38" t="n">
        <f aca="false">'4. Peaks and drag'!B36</f>
        <v>0.64</v>
      </c>
      <c r="D35" s="24" t="str">
        <f aca="false">IF(AND(ABS(C35-0.64)&lt;0.005,ABS('4. Peaks and drag'!B37-0.38)&lt;0.005,ABS('4. Peaks and drag'!B38-0.05)&lt;0.005),"PASS","FAIL")</f>
        <v>PASS</v>
      </c>
    </row>
    <row r="36" customFormat="false" ht="15" hidden="false" customHeight="false" outlineLevel="0" collapsed="false">
      <c r="A36" s="7" t="n">
        <v>35</v>
      </c>
      <c r="B36" s="9" t="s">
        <v>218</v>
      </c>
      <c r="C36" s="37" t="n">
        <f aca="false">'4. Peaks and drag'!B91</f>
        <v>20</v>
      </c>
      <c r="D36" s="24" t="str">
        <f aca="false">IF(C36=20,"PASS","FAIL")</f>
        <v>PASS</v>
      </c>
    </row>
    <row r="37" customFormat="false" ht="15" hidden="false" customHeight="false" outlineLevel="0" collapsed="false">
      <c r="A37" s="7" t="n">
        <v>36</v>
      </c>
      <c r="B37" s="9" t="s">
        <v>219</v>
      </c>
      <c r="C37" s="35" t="n">
        <f aca="false">'4. Peaks and drag'!B6</f>
        <v>10512004.9228671</v>
      </c>
      <c r="D37" s="24" t="str">
        <f aca="false">IF(ABS(C37-10510000)&lt;5000,"PASS","FAIL")</f>
        <v>PASS</v>
      </c>
    </row>
    <row r="38" customFormat="false" ht="28.35" hidden="false" customHeight="false" outlineLevel="0" collapsed="false">
      <c r="A38" s="7" t="n">
        <v>37</v>
      </c>
      <c r="B38" s="9" t="s">
        <v>220</v>
      </c>
      <c r="C38" s="38" t="n">
        <f aca="false">'4. Peaks and drag'!D24</f>
        <v>0.181168910858569</v>
      </c>
      <c r="D38" s="24" t="str">
        <f aca="false">IF(AND(ABS(C38-0.181)&lt;0.0005,ABS('4. Peaks and drag'!D28-0.202)&lt;0.0005,ABS('4. Peaks and drag'!D29-0.276)&lt;0.0005,ABS('4. Peaks and drag'!D30-0.348)&lt;0.0005),"PASS","FAIL")</f>
        <v>PASS</v>
      </c>
    </row>
    <row r="39" customFormat="false" ht="28.35" hidden="false" customHeight="false" outlineLevel="0" collapsed="false">
      <c r="A39" s="7" t="n">
        <v>38</v>
      </c>
      <c r="B39" s="9" t="s">
        <v>221</v>
      </c>
      <c r="C39" s="37" t="n">
        <f aca="false">'4. Peaks and drag'!B44</f>
        <v>32</v>
      </c>
      <c r="D39" s="24" t="str">
        <f aca="false">IF(AND(C39&gt;=25,C39&lt;=36),"PASS","FAIL")</f>
        <v>PASS</v>
      </c>
    </row>
    <row r="40" customFormat="false" ht="28.35" hidden="false" customHeight="false" outlineLevel="0" collapsed="false">
      <c r="A40" s="7" t="n">
        <v>39</v>
      </c>
      <c r="B40" s="9" t="s">
        <v>222</v>
      </c>
      <c r="C40" s="40" t="n">
        <f aca="false">'4. Peaks and drag'!B46</f>
        <v>2.0796764562411</v>
      </c>
      <c r="D40" s="24" t="str">
        <f aca="false">IF(AND(ABS(C40-2.08)&lt;0.005,ABS('4. Peaks and drag'!B47-0.348)&lt;0.0005,ABS('4. Peaks and drag'!B48-0.339)&lt;0.0005),"PASS","FAIL")</f>
        <v>PASS</v>
      </c>
    </row>
    <row r="41" customFormat="false" ht="28.35" hidden="false" customHeight="false" outlineLevel="0" collapsed="false">
      <c r="A41" s="7" t="n">
        <v>40</v>
      </c>
      <c r="B41" s="9" t="s">
        <v>223</v>
      </c>
      <c r="C41" s="40" t="n">
        <f aca="false">'4. Peaks and drag'!B49</f>
        <v>1.43539677610651</v>
      </c>
      <c r="D41" s="24" t="str">
        <f aca="false">IF(ABS(C41-1.44)&lt;0.005,"PASS","FAIL")</f>
        <v>PASS</v>
      </c>
    </row>
    <row r="42" customFormat="false" ht="28.35" hidden="false" customHeight="false" outlineLevel="0" collapsed="false">
      <c r="A42" s="7" t="n">
        <v>41</v>
      </c>
      <c r="B42" s="9" t="s">
        <v>224</v>
      </c>
      <c r="C42" s="38" t="n">
        <f aca="false">'4. Peaks and drag'!B59</f>
        <v>0.235950919058606</v>
      </c>
      <c r="D42" s="24" t="str">
        <f aca="false">IF(AND(ABS('4. Peaks and drag'!B55-13150000)&lt;5000,ABS('4. Peaks and drag'!B57-16930000)&lt;5000,ABS(C42-0.24)&lt;0.005),"PASS","FAIL")</f>
        <v>PASS</v>
      </c>
    </row>
    <row r="43" customFormat="false" ht="15" hidden="false" customHeight="false" outlineLevel="0" collapsed="false">
      <c r="A43" s="7" t="n">
        <v>42</v>
      </c>
      <c r="B43" s="9" t="s">
        <v>225</v>
      </c>
      <c r="C43" s="35" t="n">
        <f aca="false">'4. Peaks and drag'!B62</f>
        <v>823606427.563261</v>
      </c>
      <c r="D43" s="24" t="str">
        <f aca="false">IF(ABS(C43-824000000)&lt;500000,"PASS","FAIL")</f>
        <v>PASS</v>
      </c>
    </row>
    <row r="44" customFormat="false" ht="15" hidden="false" customHeight="false" outlineLevel="0" collapsed="false">
      <c r="A44" s="7" t="n">
        <v>43</v>
      </c>
      <c r="B44" s="9" t="s">
        <v>226</v>
      </c>
      <c r="C44" s="38" t="n">
        <f aca="false">'4. Peaks and drag'!B65</f>
        <v>0.828698309127307</v>
      </c>
      <c r="D44" s="24" t="str">
        <f aca="false">IF(ABS(C44-0.83)&lt;0.005,"PASS","FAIL")</f>
        <v>PASS</v>
      </c>
    </row>
    <row r="45" customFormat="false" ht="28.35" hidden="false" customHeight="false" outlineLevel="0" collapsed="false">
      <c r="A45" s="7" t="n">
        <v>44</v>
      </c>
      <c r="B45" s="9" t="s">
        <v>227</v>
      </c>
      <c r="C45" s="38" t="n">
        <f aca="false">'4. Peaks and drag'!B50</f>
        <v>0.721606736773091</v>
      </c>
      <c r="D45" s="24" t="str">
        <f aca="false">IF(ABS(C45-0.72)&lt;0.005,"PASS","FAIL")</f>
        <v>PASS</v>
      </c>
    </row>
    <row r="47" customFormat="false" ht="15" hidden="false" customHeight="false" outlineLevel="0" collapsed="false">
      <c r="B47" s="24" t="s">
        <v>228</v>
      </c>
      <c r="D47" s="24" t="str">
        <f aca="false">IF(COUNTIF(D2:D45,"PASS")=44,"ALL PASS",COUNTIF(D2:D45,"PASS")&amp;" / 44 PASS")</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37" min="2" style="0" width="13"/>
  </cols>
  <sheetData>
    <row r="1" customFormat="false" ht="28.35" hidden="false" customHeight="false" outlineLevel="0" collapsed="false">
      <c r="A1" s="14" t="s">
        <v>57</v>
      </c>
      <c r="B1" s="14" t="s">
        <v>229</v>
      </c>
      <c r="C1" s="14" t="s">
        <v>230</v>
      </c>
      <c r="D1" s="14" t="s">
        <v>231</v>
      </c>
      <c r="E1" s="14" t="s">
        <v>232</v>
      </c>
      <c r="F1" s="14" t="s">
        <v>233</v>
      </c>
      <c r="G1" s="14" t="s">
        <v>234</v>
      </c>
      <c r="H1" s="14" t="s">
        <v>235</v>
      </c>
      <c r="I1" s="14" t="s">
        <v>236</v>
      </c>
      <c r="J1" s="14" t="s">
        <v>237</v>
      </c>
      <c r="K1" s="14" t="s">
        <v>238</v>
      </c>
      <c r="L1" s="14" t="s">
        <v>239</v>
      </c>
      <c r="M1" s="14" t="s">
        <v>240</v>
      </c>
      <c r="N1" s="14" t="s">
        <v>241</v>
      </c>
      <c r="O1" s="14" t="s">
        <v>242</v>
      </c>
      <c r="P1" s="14" t="s">
        <v>243</v>
      </c>
      <c r="Q1" s="14" t="s">
        <v>244</v>
      </c>
      <c r="R1" s="14" t="s">
        <v>245</v>
      </c>
      <c r="S1" s="14" t="s">
        <v>246</v>
      </c>
      <c r="T1" s="14" t="s">
        <v>247</v>
      </c>
      <c r="U1" s="14" t="s">
        <v>248</v>
      </c>
      <c r="V1" s="14" t="s">
        <v>249</v>
      </c>
      <c r="W1" s="14" t="s">
        <v>250</v>
      </c>
      <c r="X1" s="14" t="s">
        <v>251</v>
      </c>
      <c r="Y1" s="14" t="s">
        <v>252</v>
      </c>
      <c r="Z1" s="14" t="s">
        <v>253</v>
      </c>
      <c r="AA1" s="14" t="s">
        <v>254</v>
      </c>
      <c r="AB1" s="14" t="s">
        <v>255</v>
      </c>
      <c r="AC1" s="14" t="s">
        <v>256</v>
      </c>
      <c r="AD1" s="14" t="s">
        <v>257</v>
      </c>
      <c r="AE1" s="14" t="s">
        <v>258</v>
      </c>
      <c r="AF1" s="14" t="s">
        <v>259</v>
      </c>
      <c r="AG1" s="14" t="s">
        <v>260</v>
      </c>
      <c r="AH1" s="14" t="s">
        <v>261</v>
      </c>
      <c r="AI1" s="14" t="s">
        <v>262</v>
      </c>
      <c r="AJ1" s="14" t="s">
        <v>263</v>
      </c>
      <c r="AK1" s="14" t="s">
        <v>264</v>
      </c>
    </row>
    <row r="2" customFormat="false" ht="15" hidden="false" customHeight="false" outlineLevel="0" collapsed="false">
      <c r="A2" s="7" t="n">
        <v>0</v>
      </c>
      <c r="B2" s="22" t="n">
        <v>0</v>
      </c>
      <c r="C2" s="22" t="n">
        <v>0</v>
      </c>
      <c r="D2" s="22" t="n">
        <v>0</v>
      </c>
      <c r="E2" s="22" t="n">
        <v>0</v>
      </c>
      <c r="F2" s="22" t="n">
        <v>0</v>
      </c>
      <c r="G2" s="22" t="n">
        <v>0</v>
      </c>
      <c r="H2" s="22" t="n">
        <v>0</v>
      </c>
      <c r="I2" s="22" t="n">
        <v>0</v>
      </c>
      <c r="J2" s="22" t="n">
        <f aca="false">'1. Inputs'!$B$3</f>
        <v>150000000</v>
      </c>
      <c r="K2" s="22" t="n">
        <v>0</v>
      </c>
      <c r="L2" s="22" t="n">
        <v>0</v>
      </c>
      <c r="M2" s="22" t="n">
        <v>0</v>
      </c>
      <c r="N2" s="22" t="n">
        <v>0</v>
      </c>
      <c r="O2" s="22" t="n">
        <v>0</v>
      </c>
      <c r="P2" s="22" t="n">
        <v>0</v>
      </c>
      <c r="Q2" s="22" t="n">
        <v>0</v>
      </c>
      <c r="R2" s="22" t="n">
        <v>0</v>
      </c>
      <c r="S2" s="22" t="n">
        <f aca="false">'1. Inputs'!$B$3</f>
        <v>150000000</v>
      </c>
      <c r="T2" s="22" t="n">
        <v>0</v>
      </c>
      <c r="U2" s="22" t="n">
        <v>0</v>
      </c>
      <c r="V2" s="22" t="n">
        <v>0</v>
      </c>
      <c r="W2" s="22" t="n">
        <v>0</v>
      </c>
      <c r="X2" s="22" t="n">
        <v>0</v>
      </c>
      <c r="Y2" s="22" t="n">
        <v>0</v>
      </c>
      <c r="Z2" s="22" t="n">
        <v>0</v>
      </c>
      <c r="AA2" s="22" t="n">
        <v>0</v>
      </c>
      <c r="AB2" s="22" t="n">
        <f aca="false">'1. Inputs'!$B$3</f>
        <v>150000000</v>
      </c>
      <c r="AC2" s="22" t="n">
        <v>0</v>
      </c>
      <c r="AD2" s="22" t="n">
        <v>0</v>
      </c>
      <c r="AE2" s="22" t="n">
        <v>0</v>
      </c>
      <c r="AF2" s="22" t="n">
        <v>0</v>
      </c>
      <c r="AG2" s="22" t="n">
        <v>0</v>
      </c>
      <c r="AH2" s="22" t="n">
        <v>0</v>
      </c>
      <c r="AI2" s="22" t="n">
        <v>0</v>
      </c>
      <c r="AJ2" s="22" t="n">
        <v>0</v>
      </c>
      <c r="AK2" s="22" t="n">
        <f aca="false">'1. Inputs'!$B$3</f>
        <v>150000000</v>
      </c>
    </row>
    <row r="3" customFormat="false" ht="15" hidden="false" customHeight="false" outlineLevel="0" collapsed="false">
      <c r="A3" s="7" t="n">
        <v>1</v>
      </c>
      <c r="B3" s="22" t="n">
        <f aca="false">IF(MAX(0,$A3-'1. Inputs'!$C$24-'1. Inputs'!$B$30+1)&lt;=0,0,'1. Inputs'!$B$24*'1. Inputs'!$B$5*MAX(0,$A3-'1. Inputs'!$C$24-'1. Inputs'!$B$30+1)^'1. Inputs'!$B$7/('1. Inputs'!$B$6^'1. Inputs'!$B$7+MAX(0,$A3-'1. Inputs'!$C$24-'1. Inputs'!$B$30+1)^'1. Inputs'!$B$7)*('1. Inputs'!$B$9+'1. Inputs'!$B$10*MAX(0,$A3-'1. Inputs'!$C$24-'1. Inputs'!$B$30+1)/(MAX(0,$A3-'1. Inputs'!$C$24-'1. Inputs'!$B$30+1)+'1. Inputs'!$B$11))*'1. Inputs'!$B$13*(1+'1. Inputs'!$B$14*MIN(MAX(0,$A3-'1. Inputs'!$C$24-'1. Inputs'!$B$30+1),'1. Inputs'!$B$15))*'1. Inputs'!$B$31)</f>
        <v>0</v>
      </c>
      <c r="C3" s="22" t="n">
        <f aca="false">IF(MAX(0,$A3-'1. Inputs'!$C$25-'1. Inputs'!$B$30+1)&lt;=0,0,'1. Inputs'!$B$25*'1. Inputs'!$B$5*MAX(0,$A3-'1. Inputs'!$C$25-'1. Inputs'!$B$30+1)^'1. Inputs'!$B$7/('1. Inputs'!$B$6^'1. Inputs'!$B$7+MAX(0,$A3-'1. Inputs'!$C$25-'1. Inputs'!$B$30+1)^'1. Inputs'!$B$7)*('1. Inputs'!$B$9+'1. Inputs'!$B$10*MAX(0,$A3-'1. Inputs'!$C$25-'1. Inputs'!$B$30+1)/(MAX(0,$A3-'1. Inputs'!$C$25-'1. Inputs'!$B$30+1)+'1. Inputs'!$B$11))*'1. Inputs'!$B$13*(1+'1. Inputs'!$B$14*MIN(MAX(0,$A3-'1. Inputs'!$C$25-'1. Inputs'!$B$30+1),'1. Inputs'!$B$15))*'1. Inputs'!$B$31)</f>
        <v>0</v>
      </c>
      <c r="D3" s="22" t="n">
        <f aca="false">IF(MAX(0,$A3-'1. Inputs'!$C$26-'1. Inputs'!$B$30+1)&lt;=0,0,'1. Inputs'!$B$26*'1. Inputs'!$B$5*MAX(0,$A3-'1. Inputs'!$C$26-'1. Inputs'!$B$30+1)^'1. Inputs'!$B$7/('1. Inputs'!$B$6^'1. Inputs'!$B$7+MAX(0,$A3-'1. Inputs'!$C$26-'1. Inputs'!$B$30+1)^'1. Inputs'!$B$7)*('1. Inputs'!$B$9+'1. Inputs'!$B$10*MAX(0,$A3-'1. Inputs'!$C$26-'1. Inputs'!$B$30+1)/(MAX(0,$A3-'1. Inputs'!$C$26-'1. Inputs'!$B$30+1)+'1. Inputs'!$B$11))*'1. Inputs'!$B$13*(1+'1. Inputs'!$B$14*MIN(MAX(0,$A3-'1. Inputs'!$C$26-'1. Inputs'!$B$30+1),'1. Inputs'!$B$15))*'1. Inputs'!$B$31)</f>
        <v>0</v>
      </c>
      <c r="E3" s="22" t="n">
        <f aca="false">IF(MAX(0,$A3-'1. Inputs'!$C$27-'1. Inputs'!$B$30+1)&lt;=0,0,'1. Inputs'!$B$27*'1. Inputs'!$B$5*MAX(0,$A3-'1. Inputs'!$C$27-'1. Inputs'!$B$30+1)^'1. Inputs'!$B$7/('1. Inputs'!$B$6^'1. Inputs'!$B$7+MAX(0,$A3-'1. Inputs'!$C$27-'1. Inputs'!$B$30+1)^'1. Inputs'!$B$7)*('1. Inputs'!$B$9+'1. Inputs'!$B$10*MAX(0,$A3-'1. Inputs'!$C$27-'1. Inputs'!$B$30+1)/(MAX(0,$A3-'1. Inputs'!$C$27-'1. Inputs'!$B$30+1)+'1. Inputs'!$B$11))*'1. Inputs'!$B$13*(1+'1. Inputs'!$B$14*MIN(MAX(0,$A3-'1. Inputs'!$C$27-'1. Inputs'!$B$30+1),'1. Inputs'!$B$15))*'1. Inputs'!$B$31)</f>
        <v>0</v>
      </c>
      <c r="F3" s="22" t="n">
        <f aca="false">SUM(B3:E3)</f>
        <v>0</v>
      </c>
      <c r="G3" s="22" t="n">
        <f aca="false">IF($A3=MAX('1. Inputs'!$B$17,1),'1. Inputs'!$B$3,0)+IF($A3-'1. Inputs'!$B$17&gt;=1,INDEX(F$3:F$86,$A3-'1. Inputs'!$B$17),0)</f>
        <v>0</v>
      </c>
      <c r="H3" s="22" t="n">
        <f aca="false">H2*(1-'1. Inputs'!$B$18)+G3</f>
        <v>0</v>
      </c>
      <c r="I3" s="22" t="n">
        <f aca="false">H3*'1. Inputs'!$B$18</f>
        <v>0</v>
      </c>
      <c r="J3" s="22" t="n">
        <f aca="false">J2+F3-I3</f>
        <v>150000000</v>
      </c>
      <c r="K3" s="22" t="n">
        <f aca="false">IF(MAX(0,$A3-'1. Inputs'!$C$24-'1. Inputs'!$B$30+1)&lt;=0,0,'1. Inputs'!$B$24*('1. Inputs'!$B$5-'5. Diagnosing a miss'!$B$21)*MAX(0,$A3-'1. Inputs'!$C$24-'1. Inputs'!$B$30+1)^'1. Inputs'!$B$7/('1. Inputs'!$B$6^'1. Inputs'!$B$7+MAX(0,$A3-'1. Inputs'!$C$24-'1. Inputs'!$B$30+1)^'1. Inputs'!$B$7)*('1. Inputs'!$B$9+'1. Inputs'!$B$10*MAX(0,$A3-'1. Inputs'!$C$24-'1. Inputs'!$B$30+1)/(MAX(0,$A3-'1. Inputs'!$C$24-'1. Inputs'!$B$30+1)+'1. Inputs'!$B$11))*'1. Inputs'!$B$13*(1+'1. Inputs'!$B$14*MIN(MAX(0,$A3-'1. Inputs'!$C$24-'1. Inputs'!$B$30+1),'1. Inputs'!$B$15))*'1. Inputs'!$B$31)</f>
        <v>0</v>
      </c>
      <c r="L3" s="22" t="n">
        <f aca="false">IF(MAX(0,$A3-'1. Inputs'!$C$25-'1. Inputs'!$B$30+1)&lt;=0,0,'1. Inputs'!$B$25*('1. Inputs'!$B$5-'5. Diagnosing a miss'!$B$21)*MAX(0,$A3-'1. Inputs'!$C$25-'1. Inputs'!$B$30+1)^'1. Inputs'!$B$7/('1. Inputs'!$B$6^'1. Inputs'!$B$7+MAX(0,$A3-'1. Inputs'!$C$25-'1. Inputs'!$B$30+1)^'1. Inputs'!$B$7)*('1. Inputs'!$B$9+'1. Inputs'!$B$10*MAX(0,$A3-'1. Inputs'!$C$25-'1. Inputs'!$B$30+1)/(MAX(0,$A3-'1. Inputs'!$C$25-'1. Inputs'!$B$30+1)+'1. Inputs'!$B$11))*'1. Inputs'!$B$13*(1+'1. Inputs'!$B$14*MIN(MAX(0,$A3-'1. Inputs'!$C$25-'1. Inputs'!$B$30+1),'1. Inputs'!$B$15))*'1. Inputs'!$B$31)</f>
        <v>0</v>
      </c>
      <c r="M3" s="22" t="n">
        <f aca="false">IF(MAX(0,$A3-'1. Inputs'!$C$26-'1. Inputs'!$B$30+1)&lt;=0,0,'1. Inputs'!$B$26*('1. Inputs'!$B$5-'5. Diagnosing a miss'!$B$21)*MAX(0,$A3-'1. Inputs'!$C$26-'1. Inputs'!$B$30+1)^'1. Inputs'!$B$7/('1. Inputs'!$B$6^'1. Inputs'!$B$7+MAX(0,$A3-'1. Inputs'!$C$26-'1. Inputs'!$B$30+1)^'1. Inputs'!$B$7)*('1. Inputs'!$B$9+'1. Inputs'!$B$10*MAX(0,$A3-'1. Inputs'!$C$26-'1. Inputs'!$B$30+1)/(MAX(0,$A3-'1. Inputs'!$C$26-'1. Inputs'!$B$30+1)+'1. Inputs'!$B$11))*'1. Inputs'!$B$13*(1+'1. Inputs'!$B$14*MIN(MAX(0,$A3-'1. Inputs'!$C$26-'1. Inputs'!$B$30+1),'1. Inputs'!$B$15))*'1. Inputs'!$B$31)</f>
        <v>0</v>
      </c>
      <c r="N3" s="22" t="n">
        <f aca="false">IF(MAX(0,$A3-'1. Inputs'!$C$27-'1. Inputs'!$B$30+1)&lt;=0,0,'1. Inputs'!$B$27*('1. Inputs'!$B$5-'5. Diagnosing a miss'!$B$21)*MAX(0,$A3-'1. Inputs'!$C$27-'1. Inputs'!$B$30+1)^'1. Inputs'!$B$7/('1. Inputs'!$B$6^'1. Inputs'!$B$7+MAX(0,$A3-'1. Inputs'!$C$27-'1. Inputs'!$B$30+1)^'1. Inputs'!$B$7)*('1. Inputs'!$B$9+'1. Inputs'!$B$10*MAX(0,$A3-'1. Inputs'!$C$27-'1. Inputs'!$B$30+1)/(MAX(0,$A3-'1. Inputs'!$C$27-'1. Inputs'!$B$30+1)+'1. Inputs'!$B$11))*'1. Inputs'!$B$13*(1+'1. Inputs'!$B$14*MIN(MAX(0,$A3-'1. Inputs'!$C$27-'1. Inputs'!$B$30+1),'1. Inputs'!$B$15))*'1. Inputs'!$B$31)</f>
        <v>0</v>
      </c>
      <c r="O3" s="22" t="n">
        <f aca="false">SUM(K3:N3)</f>
        <v>0</v>
      </c>
      <c r="P3" s="22" t="n">
        <f aca="false">IF($A3=MAX('1. Inputs'!$B$17,1),'1. Inputs'!$B$3,0)+IF($A3-'1. Inputs'!$B$17&gt;=1,INDEX(O$3:O$86,$A3-'1. Inputs'!$B$17),0)</f>
        <v>0</v>
      </c>
      <c r="Q3" s="22" t="n">
        <f aca="false">Q2*(1-'1. Inputs'!$B$18)+P3</f>
        <v>0</v>
      </c>
      <c r="R3" s="22" t="n">
        <f aca="false">Q3*'1. Inputs'!$B$18</f>
        <v>0</v>
      </c>
      <c r="S3" s="22" t="n">
        <f aca="false">S2+O3-R3</f>
        <v>150000000</v>
      </c>
      <c r="T3" s="22" t="n">
        <f aca="false">IF(MAX(0,$A3-'1. Inputs'!$C$24-'1. Inputs'!$B$30+1)&lt;=0,0,'1. Inputs'!$B$24*'1. Inputs'!$B$5*MAX(0,$A3-'1. Inputs'!$C$24-'1. Inputs'!$B$30+1)^'1. Inputs'!$B$7/('1. Inputs'!$B$6^'1. Inputs'!$B$7+MAX(0,$A3-'1. Inputs'!$C$24-'1. Inputs'!$B$30+1)^'1. Inputs'!$B$7)*('1. Inputs'!$B$9+'1. Inputs'!$B$10*MAX(0,$A3-'1. Inputs'!$C$24-'1. Inputs'!$B$30+1)/(MAX(0,$A3-'1. Inputs'!$C$24-'1. Inputs'!$B$30+1)+'1. Inputs'!$B$11))*'1. Inputs'!$B$13*(1+'1. Inputs'!$B$14*MIN(MAX(0,$A3-'1. Inputs'!$C$24-'1. Inputs'!$B$30+1),'1. Inputs'!$B$15))*('1. Inputs'!$B$31*'5. Diagnosing a miss'!$B$22))</f>
        <v>0</v>
      </c>
      <c r="U3" s="22" t="n">
        <f aca="false">IF(MAX(0,$A3-'1. Inputs'!$C$25-'1. Inputs'!$B$30+1)&lt;=0,0,'1. Inputs'!$B$25*'1. Inputs'!$B$5*MAX(0,$A3-'1. Inputs'!$C$25-'1. Inputs'!$B$30+1)^'1. Inputs'!$B$7/('1. Inputs'!$B$6^'1. Inputs'!$B$7+MAX(0,$A3-'1. Inputs'!$C$25-'1. Inputs'!$B$30+1)^'1. Inputs'!$B$7)*('1. Inputs'!$B$9+'1. Inputs'!$B$10*MAX(0,$A3-'1. Inputs'!$C$25-'1. Inputs'!$B$30+1)/(MAX(0,$A3-'1. Inputs'!$C$25-'1. Inputs'!$B$30+1)+'1. Inputs'!$B$11))*'1. Inputs'!$B$13*(1+'1. Inputs'!$B$14*MIN(MAX(0,$A3-'1. Inputs'!$C$25-'1. Inputs'!$B$30+1),'1. Inputs'!$B$15))*('1. Inputs'!$B$31*'5. Diagnosing a miss'!$B$22))</f>
        <v>0</v>
      </c>
      <c r="V3" s="22" t="n">
        <f aca="false">IF(MAX(0,$A3-'1. Inputs'!$C$26-'1. Inputs'!$B$30+1)&lt;=0,0,'1. Inputs'!$B$26*'1. Inputs'!$B$5*MAX(0,$A3-'1. Inputs'!$C$26-'1. Inputs'!$B$30+1)^'1. Inputs'!$B$7/('1. Inputs'!$B$6^'1. Inputs'!$B$7+MAX(0,$A3-'1. Inputs'!$C$26-'1. Inputs'!$B$30+1)^'1. Inputs'!$B$7)*('1. Inputs'!$B$9+'1. Inputs'!$B$10*MAX(0,$A3-'1. Inputs'!$C$26-'1. Inputs'!$B$30+1)/(MAX(0,$A3-'1. Inputs'!$C$26-'1. Inputs'!$B$30+1)+'1. Inputs'!$B$11))*'1. Inputs'!$B$13*(1+'1. Inputs'!$B$14*MIN(MAX(0,$A3-'1. Inputs'!$C$26-'1. Inputs'!$B$30+1),'1. Inputs'!$B$15))*('1. Inputs'!$B$31*'5. Diagnosing a miss'!$B$22))</f>
        <v>0</v>
      </c>
      <c r="W3" s="22" t="n">
        <f aca="false">IF(MAX(0,$A3-'1. Inputs'!$C$27-'1. Inputs'!$B$30+1)&lt;=0,0,'1. Inputs'!$B$27*'1. Inputs'!$B$5*MAX(0,$A3-'1. Inputs'!$C$27-'1. Inputs'!$B$30+1)^'1. Inputs'!$B$7/('1. Inputs'!$B$6^'1. Inputs'!$B$7+MAX(0,$A3-'1. Inputs'!$C$27-'1. Inputs'!$B$30+1)^'1. Inputs'!$B$7)*('1. Inputs'!$B$9+'1. Inputs'!$B$10*MAX(0,$A3-'1. Inputs'!$C$27-'1. Inputs'!$B$30+1)/(MAX(0,$A3-'1. Inputs'!$C$27-'1. Inputs'!$B$30+1)+'1. Inputs'!$B$11))*'1. Inputs'!$B$13*(1+'1. Inputs'!$B$14*MIN(MAX(0,$A3-'1. Inputs'!$C$27-'1. Inputs'!$B$30+1),'1. Inputs'!$B$15))*('1. Inputs'!$B$31*'5. Diagnosing a miss'!$B$22))</f>
        <v>0</v>
      </c>
      <c r="X3" s="22" t="n">
        <f aca="false">SUM(T3:W3)</f>
        <v>0</v>
      </c>
      <c r="Y3" s="22" t="n">
        <f aca="false">IF($A3=MAX('1. Inputs'!$B$17,1),'1. Inputs'!$B$3,0)+IF($A3-'1. Inputs'!$B$17&gt;=1,INDEX(X$3:X$86,$A3-'1. Inputs'!$B$17),0)</f>
        <v>0</v>
      </c>
      <c r="Z3" s="22" t="n">
        <f aca="false">Z2*(1-'1. Inputs'!$B$18)+Y3</f>
        <v>0</v>
      </c>
      <c r="AA3" s="22" t="n">
        <f aca="false">Z3*'1. Inputs'!$B$18</f>
        <v>0</v>
      </c>
      <c r="AB3" s="22" t="n">
        <f aca="false">AB2+X3-AA3</f>
        <v>150000000</v>
      </c>
      <c r="AC3" s="22" t="n">
        <f aca="false">IF(MAX(0,$A3-'1. Inputs'!$C$24-('1. Inputs'!$B$30+'5. Diagnosing a miss'!$B$23)+1)&lt;=0,0,'1. Inputs'!$B$24*'1. Inputs'!$B$5*MAX(0,$A3-'1. Inputs'!$C$24-('1. Inputs'!$B$30+'5. Diagnosing a miss'!$B$23)+1)^'1. Inputs'!$B$7/('1. Inputs'!$B$6^'1. Inputs'!$B$7+MAX(0,$A3-'1. Inputs'!$C$24-('1. Inputs'!$B$30+'5. Diagnosing a miss'!$B$23)+1)^'1. Inputs'!$B$7)*('1. Inputs'!$B$9+'1. Inputs'!$B$10*MAX(0,$A3-'1. Inputs'!$C$24-('1. Inputs'!$B$30+'5. Diagnosing a miss'!$B$23)+1)/(MAX(0,$A3-'1. Inputs'!$C$24-('1. Inputs'!$B$30+'5. Diagnosing a miss'!$B$23)+1)+'1. Inputs'!$B$11))*'1. Inputs'!$B$13*(1+'1. Inputs'!$B$14*MIN(MAX(0,$A3-'1. Inputs'!$C$24-('1. Inputs'!$B$30+'5. Diagnosing a miss'!$B$23)+1),'1. Inputs'!$B$15))*'1. Inputs'!$B$31)</f>
        <v>0</v>
      </c>
      <c r="AD3" s="22" t="n">
        <f aca="false">IF(MAX(0,$A3-'1. Inputs'!$C$25-('1. Inputs'!$B$30+'5. Diagnosing a miss'!$B$23)+1)&lt;=0,0,'1. Inputs'!$B$25*'1. Inputs'!$B$5*MAX(0,$A3-'1. Inputs'!$C$25-('1. Inputs'!$B$30+'5. Diagnosing a miss'!$B$23)+1)^'1. Inputs'!$B$7/('1. Inputs'!$B$6^'1. Inputs'!$B$7+MAX(0,$A3-'1. Inputs'!$C$25-('1. Inputs'!$B$30+'5. Diagnosing a miss'!$B$23)+1)^'1. Inputs'!$B$7)*('1. Inputs'!$B$9+'1. Inputs'!$B$10*MAX(0,$A3-'1. Inputs'!$C$25-('1. Inputs'!$B$30+'5. Diagnosing a miss'!$B$23)+1)/(MAX(0,$A3-'1. Inputs'!$C$25-('1. Inputs'!$B$30+'5. Diagnosing a miss'!$B$23)+1)+'1. Inputs'!$B$11))*'1. Inputs'!$B$13*(1+'1. Inputs'!$B$14*MIN(MAX(0,$A3-'1. Inputs'!$C$25-('1. Inputs'!$B$30+'5. Diagnosing a miss'!$B$23)+1),'1. Inputs'!$B$15))*'1. Inputs'!$B$31)</f>
        <v>0</v>
      </c>
      <c r="AE3" s="22" t="n">
        <f aca="false">IF(MAX(0,$A3-'1. Inputs'!$C$26-('1. Inputs'!$B$30+'5. Diagnosing a miss'!$B$23)+1)&lt;=0,0,'1. Inputs'!$B$26*'1. Inputs'!$B$5*MAX(0,$A3-'1. Inputs'!$C$26-('1. Inputs'!$B$30+'5. Diagnosing a miss'!$B$23)+1)^'1. Inputs'!$B$7/('1. Inputs'!$B$6^'1. Inputs'!$B$7+MAX(0,$A3-'1. Inputs'!$C$26-('1. Inputs'!$B$30+'5. Diagnosing a miss'!$B$23)+1)^'1. Inputs'!$B$7)*('1. Inputs'!$B$9+'1. Inputs'!$B$10*MAX(0,$A3-'1. Inputs'!$C$26-('1. Inputs'!$B$30+'5. Diagnosing a miss'!$B$23)+1)/(MAX(0,$A3-'1. Inputs'!$C$26-('1. Inputs'!$B$30+'5. Diagnosing a miss'!$B$23)+1)+'1. Inputs'!$B$11))*'1. Inputs'!$B$13*(1+'1. Inputs'!$B$14*MIN(MAX(0,$A3-'1. Inputs'!$C$26-('1. Inputs'!$B$30+'5. Diagnosing a miss'!$B$23)+1),'1. Inputs'!$B$15))*'1. Inputs'!$B$31)</f>
        <v>0</v>
      </c>
      <c r="AF3" s="22" t="n">
        <f aca="false">IF(MAX(0,$A3-'1. Inputs'!$C$27-('1. Inputs'!$B$30+'5. Diagnosing a miss'!$B$23)+1)&lt;=0,0,'1. Inputs'!$B$27*'1. Inputs'!$B$5*MAX(0,$A3-'1. Inputs'!$C$27-('1. Inputs'!$B$30+'5. Diagnosing a miss'!$B$23)+1)^'1. Inputs'!$B$7/('1. Inputs'!$B$6^'1. Inputs'!$B$7+MAX(0,$A3-'1. Inputs'!$C$27-('1. Inputs'!$B$30+'5. Diagnosing a miss'!$B$23)+1)^'1. Inputs'!$B$7)*('1. Inputs'!$B$9+'1. Inputs'!$B$10*MAX(0,$A3-'1. Inputs'!$C$27-('1. Inputs'!$B$30+'5. Diagnosing a miss'!$B$23)+1)/(MAX(0,$A3-'1. Inputs'!$C$27-('1. Inputs'!$B$30+'5. Diagnosing a miss'!$B$23)+1)+'1. Inputs'!$B$11))*'1. Inputs'!$B$13*(1+'1. Inputs'!$B$14*MIN(MAX(0,$A3-'1. Inputs'!$C$27-('1. Inputs'!$B$30+'5. Diagnosing a miss'!$B$23)+1),'1. Inputs'!$B$15))*'1. Inputs'!$B$31)</f>
        <v>0</v>
      </c>
      <c r="AG3" s="22" t="n">
        <f aca="false">SUM(AC3:AF3)</f>
        <v>0</v>
      </c>
      <c r="AH3" s="22" t="n">
        <f aca="false">IF($A3=MAX('1. Inputs'!$B$17,1),'1. Inputs'!$B$3,0)+IF($A3-'1. Inputs'!$B$17&gt;=1,INDEX(AG$3:AG$86,$A3-'1. Inputs'!$B$17),0)</f>
        <v>0</v>
      </c>
      <c r="AI3" s="22" t="n">
        <f aca="false">AI2*(1-'1. Inputs'!$B$18)+AH3</f>
        <v>0</v>
      </c>
      <c r="AJ3" s="22" t="n">
        <f aca="false">AI3*'1. Inputs'!$B$18</f>
        <v>0</v>
      </c>
      <c r="AK3" s="22" t="n">
        <f aca="false">AK2+AG3-AJ3</f>
        <v>150000000</v>
      </c>
    </row>
    <row r="4" customFormat="false" ht="15" hidden="false" customHeight="false" outlineLevel="0" collapsed="false">
      <c r="A4" s="7" t="n">
        <v>2</v>
      </c>
      <c r="B4" s="22" t="n">
        <f aca="false">IF(MAX(0,$A4-'1. Inputs'!$C$24-'1. Inputs'!$B$30+1)&lt;=0,0,'1. Inputs'!$B$24*'1. Inputs'!$B$5*MAX(0,$A4-'1. Inputs'!$C$24-'1. Inputs'!$B$30+1)^'1. Inputs'!$B$7/('1. Inputs'!$B$6^'1. Inputs'!$B$7+MAX(0,$A4-'1. Inputs'!$C$24-'1. Inputs'!$B$30+1)^'1. Inputs'!$B$7)*('1. Inputs'!$B$9+'1. Inputs'!$B$10*MAX(0,$A4-'1. Inputs'!$C$24-'1. Inputs'!$B$30+1)/(MAX(0,$A4-'1. Inputs'!$C$24-'1. Inputs'!$B$30+1)+'1. Inputs'!$B$11))*'1. Inputs'!$B$13*(1+'1. Inputs'!$B$14*MIN(MAX(0,$A4-'1. Inputs'!$C$24-'1. Inputs'!$B$30+1),'1. Inputs'!$B$15))*'1. Inputs'!$B$31)</f>
        <v>0</v>
      </c>
      <c r="C4" s="22" t="n">
        <f aca="false">IF(MAX(0,$A4-'1. Inputs'!$C$25-'1. Inputs'!$B$30+1)&lt;=0,0,'1. Inputs'!$B$25*'1. Inputs'!$B$5*MAX(0,$A4-'1. Inputs'!$C$25-'1. Inputs'!$B$30+1)^'1. Inputs'!$B$7/('1. Inputs'!$B$6^'1. Inputs'!$B$7+MAX(0,$A4-'1. Inputs'!$C$25-'1. Inputs'!$B$30+1)^'1. Inputs'!$B$7)*('1. Inputs'!$B$9+'1. Inputs'!$B$10*MAX(0,$A4-'1. Inputs'!$C$25-'1. Inputs'!$B$30+1)/(MAX(0,$A4-'1. Inputs'!$C$25-'1. Inputs'!$B$30+1)+'1. Inputs'!$B$11))*'1. Inputs'!$B$13*(1+'1. Inputs'!$B$14*MIN(MAX(0,$A4-'1. Inputs'!$C$25-'1. Inputs'!$B$30+1),'1. Inputs'!$B$15))*'1. Inputs'!$B$31)</f>
        <v>0</v>
      </c>
      <c r="D4" s="22" t="n">
        <f aca="false">IF(MAX(0,$A4-'1. Inputs'!$C$26-'1. Inputs'!$B$30+1)&lt;=0,0,'1. Inputs'!$B$26*'1. Inputs'!$B$5*MAX(0,$A4-'1. Inputs'!$C$26-'1. Inputs'!$B$30+1)^'1. Inputs'!$B$7/('1. Inputs'!$B$6^'1. Inputs'!$B$7+MAX(0,$A4-'1. Inputs'!$C$26-'1. Inputs'!$B$30+1)^'1. Inputs'!$B$7)*('1. Inputs'!$B$9+'1. Inputs'!$B$10*MAX(0,$A4-'1. Inputs'!$C$26-'1. Inputs'!$B$30+1)/(MAX(0,$A4-'1. Inputs'!$C$26-'1. Inputs'!$B$30+1)+'1. Inputs'!$B$11))*'1. Inputs'!$B$13*(1+'1. Inputs'!$B$14*MIN(MAX(0,$A4-'1. Inputs'!$C$26-'1. Inputs'!$B$30+1),'1. Inputs'!$B$15))*'1. Inputs'!$B$31)</f>
        <v>0</v>
      </c>
      <c r="E4" s="22" t="n">
        <f aca="false">IF(MAX(0,$A4-'1. Inputs'!$C$27-'1. Inputs'!$B$30+1)&lt;=0,0,'1. Inputs'!$B$27*'1. Inputs'!$B$5*MAX(0,$A4-'1. Inputs'!$C$27-'1. Inputs'!$B$30+1)^'1. Inputs'!$B$7/('1. Inputs'!$B$6^'1. Inputs'!$B$7+MAX(0,$A4-'1. Inputs'!$C$27-'1. Inputs'!$B$30+1)^'1. Inputs'!$B$7)*('1. Inputs'!$B$9+'1. Inputs'!$B$10*MAX(0,$A4-'1. Inputs'!$C$27-'1. Inputs'!$B$30+1)/(MAX(0,$A4-'1. Inputs'!$C$27-'1. Inputs'!$B$30+1)+'1. Inputs'!$B$11))*'1. Inputs'!$B$13*(1+'1. Inputs'!$B$14*MIN(MAX(0,$A4-'1. Inputs'!$C$27-'1. Inputs'!$B$30+1),'1. Inputs'!$B$15))*'1. Inputs'!$B$31)</f>
        <v>0</v>
      </c>
      <c r="F4" s="22" t="n">
        <f aca="false">SUM(B4:E4)</f>
        <v>0</v>
      </c>
      <c r="G4" s="22" t="n">
        <f aca="false">IF($A4=MAX('1. Inputs'!$B$17,1),'1. Inputs'!$B$3,0)+IF($A4-'1. Inputs'!$B$17&gt;=1,INDEX(F$3:F$86,$A4-'1. Inputs'!$B$17),0)</f>
        <v>0</v>
      </c>
      <c r="H4" s="22" t="n">
        <f aca="false">H3*(1-'1. Inputs'!$B$18)+G4</f>
        <v>0</v>
      </c>
      <c r="I4" s="22" t="n">
        <f aca="false">H4*'1. Inputs'!$B$18</f>
        <v>0</v>
      </c>
      <c r="J4" s="22" t="n">
        <f aca="false">J3+F4-I4</f>
        <v>150000000</v>
      </c>
      <c r="K4" s="22" t="n">
        <f aca="false">IF(MAX(0,$A4-'1. Inputs'!$C$24-'1. Inputs'!$B$30+1)&lt;=0,0,'1. Inputs'!$B$24*('1. Inputs'!$B$5-'5. Diagnosing a miss'!$B$21)*MAX(0,$A4-'1. Inputs'!$C$24-'1. Inputs'!$B$30+1)^'1. Inputs'!$B$7/('1. Inputs'!$B$6^'1. Inputs'!$B$7+MAX(0,$A4-'1. Inputs'!$C$24-'1. Inputs'!$B$30+1)^'1. Inputs'!$B$7)*('1. Inputs'!$B$9+'1. Inputs'!$B$10*MAX(0,$A4-'1. Inputs'!$C$24-'1. Inputs'!$B$30+1)/(MAX(0,$A4-'1. Inputs'!$C$24-'1. Inputs'!$B$30+1)+'1. Inputs'!$B$11))*'1. Inputs'!$B$13*(1+'1. Inputs'!$B$14*MIN(MAX(0,$A4-'1. Inputs'!$C$24-'1. Inputs'!$B$30+1),'1. Inputs'!$B$15))*'1. Inputs'!$B$31)</f>
        <v>0</v>
      </c>
      <c r="L4" s="22" t="n">
        <f aca="false">IF(MAX(0,$A4-'1. Inputs'!$C$25-'1. Inputs'!$B$30+1)&lt;=0,0,'1. Inputs'!$B$25*('1. Inputs'!$B$5-'5. Diagnosing a miss'!$B$21)*MAX(0,$A4-'1. Inputs'!$C$25-'1. Inputs'!$B$30+1)^'1. Inputs'!$B$7/('1. Inputs'!$B$6^'1. Inputs'!$B$7+MAX(0,$A4-'1. Inputs'!$C$25-'1. Inputs'!$B$30+1)^'1. Inputs'!$B$7)*('1. Inputs'!$B$9+'1. Inputs'!$B$10*MAX(0,$A4-'1. Inputs'!$C$25-'1. Inputs'!$B$30+1)/(MAX(0,$A4-'1. Inputs'!$C$25-'1. Inputs'!$B$30+1)+'1. Inputs'!$B$11))*'1. Inputs'!$B$13*(1+'1. Inputs'!$B$14*MIN(MAX(0,$A4-'1. Inputs'!$C$25-'1. Inputs'!$B$30+1),'1. Inputs'!$B$15))*'1. Inputs'!$B$31)</f>
        <v>0</v>
      </c>
      <c r="M4" s="22" t="n">
        <f aca="false">IF(MAX(0,$A4-'1. Inputs'!$C$26-'1. Inputs'!$B$30+1)&lt;=0,0,'1. Inputs'!$B$26*('1. Inputs'!$B$5-'5. Diagnosing a miss'!$B$21)*MAX(0,$A4-'1. Inputs'!$C$26-'1. Inputs'!$B$30+1)^'1. Inputs'!$B$7/('1. Inputs'!$B$6^'1. Inputs'!$B$7+MAX(0,$A4-'1. Inputs'!$C$26-'1. Inputs'!$B$30+1)^'1. Inputs'!$B$7)*('1. Inputs'!$B$9+'1. Inputs'!$B$10*MAX(0,$A4-'1. Inputs'!$C$26-'1. Inputs'!$B$30+1)/(MAX(0,$A4-'1. Inputs'!$C$26-'1. Inputs'!$B$30+1)+'1. Inputs'!$B$11))*'1. Inputs'!$B$13*(1+'1. Inputs'!$B$14*MIN(MAX(0,$A4-'1. Inputs'!$C$26-'1. Inputs'!$B$30+1),'1. Inputs'!$B$15))*'1. Inputs'!$B$31)</f>
        <v>0</v>
      </c>
      <c r="N4" s="22" t="n">
        <f aca="false">IF(MAX(0,$A4-'1. Inputs'!$C$27-'1. Inputs'!$B$30+1)&lt;=0,0,'1. Inputs'!$B$27*('1. Inputs'!$B$5-'5. Diagnosing a miss'!$B$21)*MAX(0,$A4-'1. Inputs'!$C$27-'1. Inputs'!$B$30+1)^'1. Inputs'!$B$7/('1. Inputs'!$B$6^'1. Inputs'!$B$7+MAX(0,$A4-'1. Inputs'!$C$27-'1. Inputs'!$B$30+1)^'1. Inputs'!$B$7)*('1. Inputs'!$B$9+'1. Inputs'!$B$10*MAX(0,$A4-'1. Inputs'!$C$27-'1. Inputs'!$B$30+1)/(MAX(0,$A4-'1. Inputs'!$C$27-'1. Inputs'!$B$30+1)+'1. Inputs'!$B$11))*'1. Inputs'!$B$13*(1+'1. Inputs'!$B$14*MIN(MAX(0,$A4-'1. Inputs'!$C$27-'1. Inputs'!$B$30+1),'1. Inputs'!$B$15))*'1. Inputs'!$B$31)</f>
        <v>0</v>
      </c>
      <c r="O4" s="22" t="n">
        <f aca="false">SUM(K4:N4)</f>
        <v>0</v>
      </c>
      <c r="P4" s="22" t="n">
        <f aca="false">IF($A4=MAX('1. Inputs'!$B$17,1),'1. Inputs'!$B$3,0)+IF($A4-'1. Inputs'!$B$17&gt;=1,INDEX(O$3:O$86,$A4-'1. Inputs'!$B$17),0)</f>
        <v>0</v>
      </c>
      <c r="Q4" s="22" t="n">
        <f aca="false">Q3*(1-'1. Inputs'!$B$18)+P4</f>
        <v>0</v>
      </c>
      <c r="R4" s="22" t="n">
        <f aca="false">Q4*'1. Inputs'!$B$18</f>
        <v>0</v>
      </c>
      <c r="S4" s="22" t="n">
        <f aca="false">S3+O4-R4</f>
        <v>150000000</v>
      </c>
      <c r="T4" s="22" t="n">
        <f aca="false">IF(MAX(0,$A4-'1. Inputs'!$C$24-'1. Inputs'!$B$30+1)&lt;=0,0,'1. Inputs'!$B$24*'1. Inputs'!$B$5*MAX(0,$A4-'1. Inputs'!$C$24-'1. Inputs'!$B$30+1)^'1. Inputs'!$B$7/('1. Inputs'!$B$6^'1. Inputs'!$B$7+MAX(0,$A4-'1. Inputs'!$C$24-'1. Inputs'!$B$30+1)^'1. Inputs'!$B$7)*('1. Inputs'!$B$9+'1. Inputs'!$B$10*MAX(0,$A4-'1. Inputs'!$C$24-'1. Inputs'!$B$30+1)/(MAX(0,$A4-'1. Inputs'!$C$24-'1. Inputs'!$B$30+1)+'1. Inputs'!$B$11))*'1. Inputs'!$B$13*(1+'1. Inputs'!$B$14*MIN(MAX(0,$A4-'1. Inputs'!$C$24-'1. Inputs'!$B$30+1),'1. Inputs'!$B$15))*('1. Inputs'!$B$31*'5. Diagnosing a miss'!$B$22))</f>
        <v>0</v>
      </c>
      <c r="U4" s="22" t="n">
        <f aca="false">IF(MAX(0,$A4-'1. Inputs'!$C$25-'1. Inputs'!$B$30+1)&lt;=0,0,'1. Inputs'!$B$25*'1. Inputs'!$B$5*MAX(0,$A4-'1. Inputs'!$C$25-'1. Inputs'!$B$30+1)^'1. Inputs'!$B$7/('1. Inputs'!$B$6^'1. Inputs'!$B$7+MAX(0,$A4-'1. Inputs'!$C$25-'1. Inputs'!$B$30+1)^'1. Inputs'!$B$7)*('1. Inputs'!$B$9+'1. Inputs'!$B$10*MAX(0,$A4-'1. Inputs'!$C$25-'1. Inputs'!$B$30+1)/(MAX(0,$A4-'1. Inputs'!$C$25-'1. Inputs'!$B$30+1)+'1. Inputs'!$B$11))*'1. Inputs'!$B$13*(1+'1. Inputs'!$B$14*MIN(MAX(0,$A4-'1. Inputs'!$C$25-'1. Inputs'!$B$30+1),'1. Inputs'!$B$15))*('1. Inputs'!$B$31*'5. Diagnosing a miss'!$B$22))</f>
        <v>0</v>
      </c>
      <c r="V4" s="22" t="n">
        <f aca="false">IF(MAX(0,$A4-'1. Inputs'!$C$26-'1. Inputs'!$B$30+1)&lt;=0,0,'1. Inputs'!$B$26*'1. Inputs'!$B$5*MAX(0,$A4-'1. Inputs'!$C$26-'1. Inputs'!$B$30+1)^'1. Inputs'!$B$7/('1. Inputs'!$B$6^'1. Inputs'!$B$7+MAX(0,$A4-'1. Inputs'!$C$26-'1. Inputs'!$B$30+1)^'1. Inputs'!$B$7)*('1. Inputs'!$B$9+'1. Inputs'!$B$10*MAX(0,$A4-'1. Inputs'!$C$26-'1. Inputs'!$B$30+1)/(MAX(0,$A4-'1. Inputs'!$C$26-'1. Inputs'!$B$30+1)+'1. Inputs'!$B$11))*'1. Inputs'!$B$13*(1+'1. Inputs'!$B$14*MIN(MAX(0,$A4-'1. Inputs'!$C$26-'1. Inputs'!$B$30+1),'1. Inputs'!$B$15))*('1. Inputs'!$B$31*'5. Diagnosing a miss'!$B$22))</f>
        <v>0</v>
      </c>
      <c r="W4" s="22" t="n">
        <f aca="false">IF(MAX(0,$A4-'1. Inputs'!$C$27-'1. Inputs'!$B$30+1)&lt;=0,0,'1. Inputs'!$B$27*'1. Inputs'!$B$5*MAX(0,$A4-'1. Inputs'!$C$27-'1. Inputs'!$B$30+1)^'1. Inputs'!$B$7/('1. Inputs'!$B$6^'1. Inputs'!$B$7+MAX(0,$A4-'1. Inputs'!$C$27-'1. Inputs'!$B$30+1)^'1. Inputs'!$B$7)*('1. Inputs'!$B$9+'1. Inputs'!$B$10*MAX(0,$A4-'1. Inputs'!$C$27-'1. Inputs'!$B$30+1)/(MAX(0,$A4-'1. Inputs'!$C$27-'1. Inputs'!$B$30+1)+'1. Inputs'!$B$11))*'1. Inputs'!$B$13*(1+'1. Inputs'!$B$14*MIN(MAX(0,$A4-'1. Inputs'!$C$27-'1. Inputs'!$B$30+1),'1. Inputs'!$B$15))*('1. Inputs'!$B$31*'5. Diagnosing a miss'!$B$22))</f>
        <v>0</v>
      </c>
      <c r="X4" s="22" t="n">
        <f aca="false">SUM(T4:W4)</f>
        <v>0</v>
      </c>
      <c r="Y4" s="22" t="n">
        <f aca="false">IF($A4=MAX('1. Inputs'!$B$17,1),'1. Inputs'!$B$3,0)+IF($A4-'1. Inputs'!$B$17&gt;=1,INDEX(X$3:X$86,$A4-'1. Inputs'!$B$17),0)</f>
        <v>0</v>
      </c>
      <c r="Z4" s="22" t="n">
        <f aca="false">Z3*(1-'1. Inputs'!$B$18)+Y4</f>
        <v>0</v>
      </c>
      <c r="AA4" s="22" t="n">
        <f aca="false">Z4*'1. Inputs'!$B$18</f>
        <v>0</v>
      </c>
      <c r="AB4" s="22" t="n">
        <f aca="false">AB3+X4-AA4</f>
        <v>150000000</v>
      </c>
      <c r="AC4" s="22" t="n">
        <f aca="false">IF(MAX(0,$A4-'1. Inputs'!$C$24-('1. Inputs'!$B$30+'5. Diagnosing a miss'!$B$23)+1)&lt;=0,0,'1. Inputs'!$B$24*'1. Inputs'!$B$5*MAX(0,$A4-'1. Inputs'!$C$24-('1. Inputs'!$B$30+'5. Diagnosing a miss'!$B$23)+1)^'1. Inputs'!$B$7/('1. Inputs'!$B$6^'1. Inputs'!$B$7+MAX(0,$A4-'1. Inputs'!$C$24-('1. Inputs'!$B$30+'5. Diagnosing a miss'!$B$23)+1)^'1. Inputs'!$B$7)*('1. Inputs'!$B$9+'1. Inputs'!$B$10*MAX(0,$A4-'1. Inputs'!$C$24-('1. Inputs'!$B$30+'5. Diagnosing a miss'!$B$23)+1)/(MAX(0,$A4-'1. Inputs'!$C$24-('1. Inputs'!$B$30+'5. Diagnosing a miss'!$B$23)+1)+'1. Inputs'!$B$11))*'1. Inputs'!$B$13*(1+'1. Inputs'!$B$14*MIN(MAX(0,$A4-'1. Inputs'!$C$24-('1. Inputs'!$B$30+'5. Diagnosing a miss'!$B$23)+1),'1. Inputs'!$B$15))*'1. Inputs'!$B$31)</f>
        <v>0</v>
      </c>
      <c r="AD4" s="22" t="n">
        <f aca="false">IF(MAX(0,$A4-'1. Inputs'!$C$25-('1. Inputs'!$B$30+'5. Diagnosing a miss'!$B$23)+1)&lt;=0,0,'1. Inputs'!$B$25*'1. Inputs'!$B$5*MAX(0,$A4-'1. Inputs'!$C$25-('1. Inputs'!$B$30+'5. Diagnosing a miss'!$B$23)+1)^'1. Inputs'!$B$7/('1. Inputs'!$B$6^'1. Inputs'!$B$7+MAX(0,$A4-'1. Inputs'!$C$25-('1. Inputs'!$B$30+'5. Diagnosing a miss'!$B$23)+1)^'1. Inputs'!$B$7)*('1. Inputs'!$B$9+'1. Inputs'!$B$10*MAX(0,$A4-'1. Inputs'!$C$25-('1. Inputs'!$B$30+'5. Diagnosing a miss'!$B$23)+1)/(MAX(0,$A4-'1. Inputs'!$C$25-('1. Inputs'!$B$30+'5. Diagnosing a miss'!$B$23)+1)+'1. Inputs'!$B$11))*'1. Inputs'!$B$13*(1+'1. Inputs'!$B$14*MIN(MAX(0,$A4-'1. Inputs'!$C$25-('1. Inputs'!$B$30+'5. Diagnosing a miss'!$B$23)+1),'1. Inputs'!$B$15))*'1. Inputs'!$B$31)</f>
        <v>0</v>
      </c>
      <c r="AE4" s="22" t="n">
        <f aca="false">IF(MAX(0,$A4-'1. Inputs'!$C$26-('1. Inputs'!$B$30+'5. Diagnosing a miss'!$B$23)+1)&lt;=0,0,'1. Inputs'!$B$26*'1. Inputs'!$B$5*MAX(0,$A4-'1. Inputs'!$C$26-('1. Inputs'!$B$30+'5. Diagnosing a miss'!$B$23)+1)^'1. Inputs'!$B$7/('1. Inputs'!$B$6^'1. Inputs'!$B$7+MAX(0,$A4-'1. Inputs'!$C$26-('1. Inputs'!$B$30+'5. Diagnosing a miss'!$B$23)+1)^'1. Inputs'!$B$7)*('1. Inputs'!$B$9+'1. Inputs'!$B$10*MAX(0,$A4-'1. Inputs'!$C$26-('1. Inputs'!$B$30+'5. Diagnosing a miss'!$B$23)+1)/(MAX(0,$A4-'1. Inputs'!$C$26-('1. Inputs'!$B$30+'5. Diagnosing a miss'!$B$23)+1)+'1. Inputs'!$B$11))*'1. Inputs'!$B$13*(1+'1. Inputs'!$B$14*MIN(MAX(0,$A4-'1. Inputs'!$C$26-('1. Inputs'!$B$30+'5. Diagnosing a miss'!$B$23)+1),'1. Inputs'!$B$15))*'1. Inputs'!$B$31)</f>
        <v>0</v>
      </c>
      <c r="AF4" s="22" t="n">
        <f aca="false">IF(MAX(0,$A4-'1. Inputs'!$C$27-('1. Inputs'!$B$30+'5. Diagnosing a miss'!$B$23)+1)&lt;=0,0,'1. Inputs'!$B$27*'1. Inputs'!$B$5*MAX(0,$A4-'1. Inputs'!$C$27-('1. Inputs'!$B$30+'5. Diagnosing a miss'!$B$23)+1)^'1. Inputs'!$B$7/('1. Inputs'!$B$6^'1. Inputs'!$B$7+MAX(0,$A4-'1. Inputs'!$C$27-('1. Inputs'!$B$30+'5. Diagnosing a miss'!$B$23)+1)^'1. Inputs'!$B$7)*('1. Inputs'!$B$9+'1. Inputs'!$B$10*MAX(0,$A4-'1. Inputs'!$C$27-('1. Inputs'!$B$30+'5. Diagnosing a miss'!$B$23)+1)/(MAX(0,$A4-'1. Inputs'!$C$27-('1. Inputs'!$B$30+'5. Diagnosing a miss'!$B$23)+1)+'1. Inputs'!$B$11))*'1. Inputs'!$B$13*(1+'1. Inputs'!$B$14*MIN(MAX(0,$A4-'1. Inputs'!$C$27-('1. Inputs'!$B$30+'5. Diagnosing a miss'!$B$23)+1),'1. Inputs'!$B$15))*'1. Inputs'!$B$31)</f>
        <v>0</v>
      </c>
      <c r="AG4" s="22" t="n">
        <f aca="false">SUM(AC4:AF4)</f>
        <v>0</v>
      </c>
      <c r="AH4" s="22" t="n">
        <f aca="false">IF($A4=MAX('1. Inputs'!$B$17,1),'1. Inputs'!$B$3,0)+IF($A4-'1. Inputs'!$B$17&gt;=1,INDEX(AG$3:AG$86,$A4-'1. Inputs'!$B$17),0)</f>
        <v>0</v>
      </c>
      <c r="AI4" s="22" t="n">
        <f aca="false">AI3*(1-'1. Inputs'!$B$18)+AH4</f>
        <v>0</v>
      </c>
      <c r="AJ4" s="22" t="n">
        <f aca="false">AI4*'1. Inputs'!$B$18</f>
        <v>0</v>
      </c>
      <c r="AK4" s="22" t="n">
        <f aca="false">AK3+AG4-AJ4</f>
        <v>150000000</v>
      </c>
    </row>
    <row r="5" customFormat="false" ht="15" hidden="false" customHeight="false" outlineLevel="0" collapsed="false">
      <c r="A5" s="7" t="n">
        <v>3</v>
      </c>
      <c r="B5" s="22" t="n">
        <f aca="false">IF(MAX(0,$A5-'1. Inputs'!$C$24-'1. Inputs'!$B$30+1)&lt;=0,0,'1. Inputs'!$B$24*'1. Inputs'!$B$5*MAX(0,$A5-'1. Inputs'!$C$24-'1. Inputs'!$B$30+1)^'1. Inputs'!$B$7/('1. Inputs'!$B$6^'1. Inputs'!$B$7+MAX(0,$A5-'1. Inputs'!$C$24-'1. Inputs'!$B$30+1)^'1. Inputs'!$B$7)*('1. Inputs'!$B$9+'1. Inputs'!$B$10*MAX(0,$A5-'1. Inputs'!$C$24-'1. Inputs'!$B$30+1)/(MAX(0,$A5-'1. Inputs'!$C$24-'1. Inputs'!$B$30+1)+'1. Inputs'!$B$11))*'1. Inputs'!$B$13*(1+'1. Inputs'!$B$14*MIN(MAX(0,$A5-'1. Inputs'!$C$24-'1. Inputs'!$B$30+1),'1. Inputs'!$B$15))*'1. Inputs'!$B$31)</f>
        <v>0</v>
      </c>
      <c r="C5" s="22" t="n">
        <f aca="false">IF(MAX(0,$A5-'1. Inputs'!$C$25-'1. Inputs'!$B$30+1)&lt;=0,0,'1. Inputs'!$B$25*'1. Inputs'!$B$5*MAX(0,$A5-'1. Inputs'!$C$25-'1. Inputs'!$B$30+1)^'1. Inputs'!$B$7/('1. Inputs'!$B$6^'1. Inputs'!$B$7+MAX(0,$A5-'1. Inputs'!$C$25-'1. Inputs'!$B$30+1)^'1. Inputs'!$B$7)*('1. Inputs'!$B$9+'1. Inputs'!$B$10*MAX(0,$A5-'1. Inputs'!$C$25-'1. Inputs'!$B$30+1)/(MAX(0,$A5-'1. Inputs'!$C$25-'1. Inputs'!$B$30+1)+'1. Inputs'!$B$11))*'1. Inputs'!$B$13*(1+'1. Inputs'!$B$14*MIN(MAX(0,$A5-'1. Inputs'!$C$25-'1. Inputs'!$B$30+1),'1. Inputs'!$B$15))*'1. Inputs'!$B$31)</f>
        <v>0</v>
      </c>
      <c r="D5" s="22" t="n">
        <f aca="false">IF(MAX(0,$A5-'1. Inputs'!$C$26-'1. Inputs'!$B$30+1)&lt;=0,0,'1. Inputs'!$B$26*'1. Inputs'!$B$5*MAX(0,$A5-'1. Inputs'!$C$26-'1. Inputs'!$B$30+1)^'1. Inputs'!$B$7/('1. Inputs'!$B$6^'1. Inputs'!$B$7+MAX(0,$A5-'1. Inputs'!$C$26-'1. Inputs'!$B$30+1)^'1. Inputs'!$B$7)*('1. Inputs'!$B$9+'1. Inputs'!$B$10*MAX(0,$A5-'1. Inputs'!$C$26-'1. Inputs'!$B$30+1)/(MAX(0,$A5-'1. Inputs'!$C$26-'1. Inputs'!$B$30+1)+'1. Inputs'!$B$11))*'1. Inputs'!$B$13*(1+'1. Inputs'!$B$14*MIN(MAX(0,$A5-'1. Inputs'!$C$26-'1. Inputs'!$B$30+1),'1. Inputs'!$B$15))*'1. Inputs'!$B$31)</f>
        <v>0</v>
      </c>
      <c r="E5" s="22" t="n">
        <f aca="false">IF(MAX(0,$A5-'1. Inputs'!$C$27-'1. Inputs'!$B$30+1)&lt;=0,0,'1. Inputs'!$B$27*'1. Inputs'!$B$5*MAX(0,$A5-'1. Inputs'!$C$27-'1. Inputs'!$B$30+1)^'1. Inputs'!$B$7/('1. Inputs'!$B$6^'1. Inputs'!$B$7+MAX(0,$A5-'1. Inputs'!$C$27-'1. Inputs'!$B$30+1)^'1. Inputs'!$B$7)*('1. Inputs'!$B$9+'1. Inputs'!$B$10*MAX(0,$A5-'1. Inputs'!$C$27-'1. Inputs'!$B$30+1)/(MAX(0,$A5-'1. Inputs'!$C$27-'1. Inputs'!$B$30+1)+'1. Inputs'!$B$11))*'1. Inputs'!$B$13*(1+'1. Inputs'!$B$14*MIN(MAX(0,$A5-'1. Inputs'!$C$27-'1. Inputs'!$B$30+1),'1. Inputs'!$B$15))*'1. Inputs'!$B$31)</f>
        <v>0</v>
      </c>
      <c r="F5" s="22" t="n">
        <f aca="false">SUM(B5:E5)</f>
        <v>0</v>
      </c>
      <c r="G5" s="22" t="n">
        <f aca="false">IF($A5=MAX('1. Inputs'!$B$17,1),'1. Inputs'!$B$3,0)+IF($A5-'1. Inputs'!$B$17&gt;=1,INDEX(F$3:F$86,$A5-'1. Inputs'!$B$17),0)</f>
        <v>0</v>
      </c>
      <c r="H5" s="22" t="n">
        <f aca="false">H4*(1-'1. Inputs'!$B$18)+G5</f>
        <v>0</v>
      </c>
      <c r="I5" s="22" t="n">
        <f aca="false">H5*'1. Inputs'!$B$18</f>
        <v>0</v>
      </c>
      <c r="J5" s="22" t="n">
        <f aca="false">J4+F5-I5</f>
        <v>150000000</v>
      </c>
      <c r="K5" s="22" t="n">
        <f aca="false">IF(MAX(0,$A5-'1. Inputs'!$C$24-'1. Inputs'!$B$30+1)&lt;=0,0,'1. Inputs'!$B$24*('1. Inputs'!$B$5-'5. Diagnosing a miss'!$B$21)*MAX(0,$A5-'1. Inputs'!$C$24-'1. Inputs'!$B$30+1)^'1. Inputs'!$B$7/('1. Inputs'!$B$6^'1. Inputs'!$B$7+MAX(0,$A5-'1. Inputs'!$C$24-'1. Inputs'!$B$30+1)^'1. Inputs'!$B$7)*('1. Inputs'!$B$9+'1. Inputs'!$B$10*MAX(0,$A5-'1. Inputs'!$C$24-'1. Inputs'!$B$30+1)/(MAX(0,$A5-'1. Inputs'!$C$24-'1. Inputs'!$B$30+1)+'1. Inputs'!$B$11))*'1. Inputs'!$B$13*(1+'1. Inputs'!$B$14*MIN(MAX(0,$A5-'1. Inputs'!$C$24-'1. Inputs'!$B$30+1),'1. Inputs'!$B$15))*'1. Inputs'!$B$31)</f>
        <v>0</v>
      </c>
      <c r="L5" s="22" t="n">
        <f aca="false">IF(MAX(0,$A5-'1. Inputs'!$C$25-'1. Inputs'!$B$30+1)&lt;=0,0,'1. Inputs'!$B$25*('1. Inputs'!$B$5-'5. Diagnosing a miss'!$B$21)*MAX(0,$A5-'1. Inputs'!$C$25-'1. Inputs'!$B$30+1)^'1. Inputs'!$B$7/('1. Inputs'!$B$6^'1. Inputs'!$B$7+MAX(0,$A5-'1. Inputs'!$C$25-'1. Inputs'!$B$30+1)^'1. Inputs'!$B$7)*('1. Inputs'!$B$9+'1. Inputs'!$B$10*MAX(0,$A5-'1. Inputs'!$C$25-'1. Inputs'!$B$30+1)/(MAX(0,$A5-'1. Inputs'!$C$25-'1. Inputs'!$B$30+1)+'1. Inputs'!$B$11))*'1. Inputs'!$B$13*(1+'1. Inputs'!$B$14*MIN(MAX(0,$A5-'1. Inputs'!$C$25-'1. Inputs'!$B$30+1),'1. Inputs'!$B$15))*'1. Inputs'!$B$31)</f>
        <v>0</v>
      </c>
      <c r="M5" s="22" t="n">
        <f aca="false">IF(MAX(0,$A5-'1. Inputs'!$C$26-'1. Inputs'!$B$30+1)&lt;=0,0,'1. Inputs'!$B$26*('1. Inputs'!$B$5-'5. Diagnosing a miss'!$B$21)*MAX(0,$A5-'1. Inputs'!$C$26-'1. Inputs'!$B$30+1)^'1. Inputs'!$B$7/('1. Inputs'!$B$6^'1. Inputs'!$B$7+MAX(0,$A5-'1. Inputs'!$C$26-'1. Inputs'!$B$30+1)^'1. Inputs'!$B$7)*('1. Inputs'!$B$9+'1. Inputs'!$B$10*MAX(0,$A5-'1. Inputs'!$C$26-'1. Inputs'!$B$30+1)/(MAX(0,$A5-'1. Inputs'!$C$26-'1. Inputs'!$B$30+1)+'1. Inputs'!$B$11))*'1. Inputs'!$B$13*(1+'1. Inputs'!$B$14*MIN(MAX(0,$A5-'1. Inputs'!$C$26-'1. Inputs'!$B$30+1),'1. Inputs'!$B$15))*'1. Inputs'!$B$31)</f>
        <v>0</v>
      </c>
      <c r="N5" s="22" t="n">
        <f aca="false">IF(MAX(0,$A5-'1. Inputs'!$C$27-'1. Inputs'!$B$30+1)&lt;=0,0,'1. Inputs'!$B$27*('1. Inputs'!$B$5-'5. Diagnosing a miss'!$B$21)*MAX(0,$A5-'1. Inputs'!$C$27-'1. Inputs'!$B$30+1)^'1. Inputs'!$B$7/('1. Inputs'!$B$6^'1. Inputs'!$B$7+MAX(0,$A5-'1. Inputs'!$C$27-'1. Inputs'!$B$30+1)^'1. Inputs'!$B$7)*('1. Inputs'!$B$9+'1. Inputs'!$B$10*MAX(0,$A5-'1. Inputs'!$C$27-'1. Inputs'!$B$30+1)/(MAX(0,$A5-'1. Inputs'!$C$27-'1. Inputs'!$B$30+1)+'1. Inputs'!$B$11))*'1. Inputs'!$B$13*(1+'1. Inputs'!$B$14*MIN(MAX(0,$A5-'1. Inputs'!$C$27-'1. Inputs'!$B$30+1),'1. Inputs'!$B$15))*'1. Inputs'!$B$31)</f>
        <v>0</v>
      </c>
      <c r="O5" s="22" t="n">
        <f aca="false">SUM(K5:N5)</f>
        <v>0</v>
      </c>
      <c r="P5" s="22" t="n">
        <f aca="false">IF($A5=MAX('1. Inputs'!$B$17,1),'1. Inputs'!$B$3,0)+IF($A5-'1. Inputs'!$B$17&gt;=1,INDEX(O$3:O$86,$A5-'1. Inputs'!$B$17),0)</f>
        <v>0</v>
      </c>
      <c r="Q5" s="22" t="n">
        <f aca="false">Q4*(1-'1. Inputs'!$B$18)+P5</f>
        <v>0</v>
      </c>
      <c r="R5" s="22" t="n">
        <f aca="false">Q5*'1. Inputs'!$B$18</f>
        <v>0</v>
      </c>
      <c r="S5" s="22" t="n">
        <f aca="false">S4+O5-R5</f>
        <v>150000000</v>
      </c>
      <c r="T5" s="22" t="n">
        <f aca="false">IF(MAX(0,$A5-'1. Inputs'!$C$24-'1. Inputs'!$B$30+1)&lt;=0,0,'1. Inputs'!$B$24*'1. Inputs'!$B$5*MAX(0,$A5-'1. Inputs'!$C$24-'1. Inputs'!$B$30+1)^'1. Inputs'!$B$7/('1. Inputs'!$B$6^'1. Inputs'!$B$7+MAX(0,$A5-'1. Inputs'!$C$24-'1. Inputs'!$B$30+1)^'1. Inputs'!$B$7)*('1. Inputs'!$B$9+'1. Inputs'!$B$10*MAX(0,$A5-'1. Inputs'!$C$24-'1. Inputs'!$B$30+1)/(MAX(0,$A5-'1. Inputs'!$C$24-'1. Inputs'!$B$30+1)+'1. Inputs'!$B$11))*'1. Inputs'!$B$13*(1+'1. Inputs'!$B$14*MIN(MAX(0,$A5-'1. Inputs'!$C$24-'1. Inputs'!$B$30+1),'1. Inputs'!$B$15))*('1. Inputs'!$B$31*'5. Diagnosing a miss'!$B$22))</f>
        <v>0</v>
      </c>
      <c r="U5" s="22" t="n">
        <f aca="false">IF(MAX(0,$A5-'1. Inputs'!$C$25-'1. Inputs'!$B$30+1)&lt;=0,0,'1. Inputs'!$B$25*'1. Inputs'!$B$5*MAX(0,$A5-'1. Inputs'!$C$25-'1. Inputs'!$B$30+1)^'1. Inputs'!$B$7/('1. Inputs'!$B$6^'1. Inputs'!$B$7+MAX(0,$A5-'1. Inputs'!$C$25-'1. Inputs'!$B$30+1)^'1. Inputs'!$B$7)*('1. Inputs'!$B$9+'1. Inputs'!$B$10*MAX(0,$A5-'1. Inputs'!$C$25-'1. Inputs'!$B$30+1)/(MAX(0,$A5-'1. Inputs'!$C$25-'1. Inputs'!$B$30+1)+'1. Inputs'!$B$11))*'1. Inputs'!$B$13*(1+'1. Inputs'!$B$14*MIN(MAX(0,$A5-'1. Inputs'!$C$25-'1. Inputs'!$B$30+1),'1. Inputs'!$B$15))*('1. Inputs'!$B$31*'5. Diagnosing a miss'!$B$22))</f>
        <v>0</v>
      </c>
      <c r="V5" s="22" t="n">
        <f aca="false">IF(MAX(0,$A5-'1. Inputs'!$C$26-'1. Inputs'!$B$30+1)&lt;=0,0,'1. Inputs'!$B$26*'1. Inputs'!$B$5*MAX(0,$A5-'1. Inputs'!$C$26-'1. Inputs'!$B$30+1)^'1. Inputs'!$B$7/('1. Inputs'!$B$6^'1. Inputs'!$B$7+MAX(0,$A5-'1. Inputs'!$C$26-'1. Inputs'!$B$30+1)^'1. Inputs'!$B$7)*('1. Inputs'!$B$9+'1. Inputs'!$B$10*MAX(0,$A5-'1. Inputs'!$C$26-'1. Inputs'!$B$30+1)/(MAX(0,$A5-'1. Inputs'!$C$26-'1. Inputs'!$B$30+1)+'1. Inputs'!$B$11))*'1. Inputs'!$B$13*(1+'1. Inputs'!$B$14*MIN(MAX(0,$A5-'1. Inputs'!$C$26-'1. Inputs'!$B$30+1),'1. Inputs'!$B$15))*('1. Inputs'!$B$31*'5. Diagnosing a miss'!$B$22))</f>
        <v>0</v>
      </c>
      <c r="W5" s="22" t="n">
        <f aca="false">IF(MAX(0,$A5-'1. Inputs'!$C$27-'1. Inputs'!$B$30+1)&lt;=0,0,'1. Inputs'!$B$27*'1. Inputs'!$B$5*MAX(0,$A5-'1. Inputs'!$C$27-'1. Inputs'!$B$30+1)^'1. Inputs'!$B$7/('1. Inputs'!$B$6^'1. Inputs'!$B$7+MAX(0,$A5-'1. Inputs'!$C$27-'1. Inputs'!$B$30+1)^'1. Inputs'!$B$7)*('1. Inputs'!$B$9+'1. Inputs'!$B$10*MAX(0,$A5-'1. Inputs'!$C$27-'1. Inputs'!$B$30+1)/(MAX(0,$A5-'1. Inputs'!$C$27-'1. Inputs'!$B$30+1)+'1. Inputs'!$B$11))*'1. Inputs'!$B$13*(1+'1. Inputs'!$B$14*MIN(MAX(0,$A5-'1. Inputs'!$C$27-'1. Inputs'!$B$30+1),'1. Inputs'!$B$15))*('1. Inputs'!$B$31*'5. Diagnosing a miss'!$B$22))</f>
        <v>0</v>
      </c>
      <c r="X5" s="22" t="n">
        <f aca="false">SUM(T5:W5)</f>
        <v>0</v>
      </c>
      <c r="Y5" s="22" t="n">
        <f aca="false">IF($A5=MAX('1. Inputs'!$B$17,1),'1. Inputs'!$B$3,0)+IF($A5-'1. Inputs'!$B$17&gt;=1,INDEX(X$3:X$86,$A5-'1. Inputs'!$B$17),0)</f>
        <v>0</v>
      </c>
      <c r="Z5" s="22" t="n">
        <f aca="false">Z4*(1-'1. Inputs'!$B$18)+Y5</f>
        <v>0</v>
      </c>
      <c r="AA5" s="22" t="n">
        <f aca="false">Z5*'1. Inputs'!$B$18</f>
        <v>0</v>
      </c>
      <c r="AB5" s="22" t="n">
        <f aca="false">AB4+X5-AA5</f>
        <v>150000000</v>
      </c>
      <c r="AC5" s="22" t="n">
        <f aca="false">IF(MAX(0,$A5-'1. Inputs'!$C$24-('1. Inputs'!$B$30+'5. Diagnosing a miss'!$B$23)+1)&lt;=0,0,'1. Inputs'!$B$24*'1. Inputs'!$B$5*MAX(0,$A5-'1. Inputs'!$C$24-('1. Inputs'!$B$30+'5. Diagnosing a miss'!$B$23)+1)^'1. Inputs'!$B$7/('1. Inputs'!$B$6^'1. Inputs'!$B$7+MAX(0,$A5-'1. Inputs'!$C$24-('1. Inputs'!$B$30+'5. Diagnosing a miss'!$B$23)+1)^'1. Inputs'!$B$7)*('1. Inputs'!$B$9+'1. Inputs'!$B$10*MAX(0,$A5-'1. Inputs'!$C$24-('1. Inputs'!$B$30+'5. Diagnosing a miss'!$B$23)+1)/(MAX(0,$A5-'1. Inputs'!$C$24-('1. Inputs'!$B$30+'5. Diagnosing a miss'!$B$23)+1)+'1. Inputs'!$B$11))*'1. Inputs'!$B$13*(1+'1. Inputs'!$B$14*MIN(MAX(0,$A5-'1. Inputs'!$C$24-('1. Inputs'!$B$30+'5. Diagnosing a miss'!$B$23)+1),'1. Inputs'!$B$15))*'1. Inputs'!$B$31)</f>
        <v>0</v>
      </c>
      <c r="AD5" s="22" t="n">
        <f aca="false">IF(MAX(0,$A5-'1. Inputs'!$C$25-('1. Inputs'!$B$30+'5. Diagnosing a miss'!$B$23)+1)&lt;=0,0,'1. Inputs'!$B$25*'1. Inputs'!$B$5*MAX(0,$A5-'1. Inputs'!$C$25-('1. Inputs'!$B$30+'5. Diagnosing a miss'!$B$23)+1)^'1. Inputs'!$B$7/('1. Inputs'!$B$6^'1. Inputs'!$B$7+MAX(0,$A5-'1. Inputs'!$C$25-('1. Inputs'!$B$30+'5. Diagnosing a miss'!$B$23)+1)^'1. Inputs'!$B$7)*('1. Inputs'!$B$9+'1. Inputs'!$B$10*MAX(0,$A5-'1. Inputs'!$C$25-('1. Inputs'!$B$30+'5. Diagnosing a miss'!$B$23)+1)/(MAX(0,$A5-'1. Inputs'!$C$25-('1. Inputs'!$B$30+'5. Diagnosing a miss'!$B$23)+1)+'1. Inputs'!$B$11))*'1. Inputs'!$B$13*(1+'1. Inputs'!$B$14*MIN(MAX(0,$A5-'1. Inputs'!$C$25-('1. Inputs'!$B$30+'5. Diagnosing a miss'!$B$23)+1),'1. Inputs'!$B$15))*'1. Inputs'!$B$31)</f>
        <v>0</v>
      </c>
      <c r="AE5" s="22" t="n">
        <f aca="false">IF(MAX(0,$A5-'1. Inputs'!$C$26-('1. Inputs'!$B$30+'5. Diagnosing a miss'!$B$23)+1)&lt;=0,0,'1. Inputs'!$B$26*'1. Inputs'!$B$5*MAX(0,$A5-'1. Inputs'!$C$26-('1. Inputs'!$B$30+'5. Diagnosing a miss'!$B$23)+1)^'1. Inputs'!$B$7/('1. Inputs'!$B$6^'1. Inputs'!$B$7+MAX(0,$A5-'1. Inputs'!$C$26-('1. Inputs'!$B$30+'5. Diagnosing a miss'!$B$23)+1)^'1. Inputs'!$B$7)*('1. Inputs'!$B$9+'1. Inputs'!$B$10*MAX(0,$A5-'1. Inputs'!$C$26-('1. Inputs'!$B$30+'5. Diagnosing a miss'!$B$23)+1)/(MAX(0,$A5-'1. Inputs'!$C$26-('1. Inputs'!$B$30+'5. Diagnosing a miss'!$B$23)+1)+'1. Inputs'!$B$11))*'1. Inputs'!$B$13*(1+'1. Inputs'!$B$14*MIN(MAX(0,$A5-'1. Inputs'!$C$26-('1. Inputs'!$B$30+'5. Diagnosing a miss'!$B$23)+1),'1. Inputs'!$B$15))*'1. Inputs'!$B$31)</f>
        <v>0</v>
      </c>
      <c r="AF5" s="22" t="n">
        <f aca="false">IF(MAX(0,$A5-'1. Inputs'!$C$27-('1. Inputs'!$B$30+'5. Diagnosing a miss'!$B$23)+1)&lt;=0,0,'1. Inputs'!$B$27*'1. Inputs'!$B$5*MAX(0,$A5-'1. Inputs'!$C$27-('1. Inputs'!$B$30+'5. Diagnosing a miss'!$B$23)+1)^'1. Inputs'!$B$7/('1. Inputs'!$B$6^'1. Inputs'!$B$7+MAX(0,$A5-'1. Inputs'!$C$27-('1. Inputs'!$B$30+'5. Diagnosing a miss'!$B$23)+1)^'1. Inputs'!$B$7)*('1. Inputs'!$B$9+'1. Inputs'!$B$10*MAX(0,$A5-'1. Inputs'!$C$27-('1. Inputs'!$B$30+'5. Diagnosing a miss'!$B$23)+1)/(MAX(0,$A5-'1. Inputs'!$C$27-('1. Inputs'!$B$30+'5. Diagnosing a miss'!$B$23)+1)+'1. Inputs'!$B$11))*'1. Inputs'!$B$13*(1+'1. Inputs'!$B$14*MIN(MAX(0,$A5-'1. Inputs'!$C$27-('1. Inputs'!$B$30+'5. Diagnosing a miss'!$B$23)+1),'1. Inputs'!$B$15))*'1. Inputs'!$B$31)</f>
        <v>0</v>
      </c>
      <c r="AG5" s="22" t="n">
        <f aca="false">SUM(AC5:AF5)</f>
        <v>0</v>
      </c>
      <c r="AH5" s="22" t="n">
        <f aca="false">IF($A5=MAX('1. Inputs'!$B$17,1),'1. Inputs'!$B$3,0)+IF($A5-'1. Inputs'!$B$17&gt;=1,INDEX(AG$3:AG$86,$A5-'1. Inputs'!$B$17),0)</f>
        <v>0</v>
      </c>
      <c r="AI5" s="22" t="n">
        <f aca="false">AI4*(1-'1. Inputs'!$B$18)+AH5</f>
        <v>0</v>
      </c>
      <c r="AJ5" s="22" t="n">
        <f aca="false">AI5*'1. Inputs'!$B$18</f>
        <v>0</v>
      </c>
      <c r="AK5" s="22" t="n">
        <f aca="false">AK4+AG5-AJ5</f>
        <v>150000000</v>
      </c>
    </row>
    <row r="6" customFormat="false" ht="15" hidden="false" customHeight="false" outlineLevel="0" collapsed="false">
      <c r="A6" s="7" t="n">
        <v>4</v>
      </c>
      <c r="B6" s="22" t="n">
        <f aca="false">IF(MAX(0,$A6-'1. Inputs'!$C$24-'1. Inputs'!$B$30+1)&lt;=0,0,'1. Inputs'!$B$24*'1. Inputs'!$B$5*MAX(0,$A6-'1. Inputs'!$C$24-'1. Inputs'!$B$30+1)^'1. Inputs'!$B$7/('1. Inputs'!$B$6^'1. Inputs'!$B$7+MAX(0,$A6-'1. Inputs'!$C$24-'1. Inputs'!$B$30+1)^'1. Inputs'!$B$7)*('1. Inputs'!$B$9+'1. Inputs'!$B$10*MAX(0,$A6-'1. Inputs'!$C$24-'1. Inputs'!$B$30+1)/(MAX(0,$A6-'1. Inputs'!$C$24-'1. Inputs'!$B$30+1)+'1. Inputs'!$B$11))*'1. Inputs'!$B$13*(1+'1. Inputs'!$B$14*MIN(MAX(0,$A6-'1. Inputs'!$C$24-'1. Inputs'!$B$30+1),'1. Inputs'!$B$15))*'1. Inputs'!$B$31)</f>
        <v>0</v>
      </c>
      <c r="C6" s="22" t="n">
        <f aca="false">IF(MAX(0,$A6-'1. Inputs'!$C$25-'1. Inputs'!$B$30+1)&lt;=0,0,'1. Inputs'!$B$25*'1. Inputs'!$B$5*MAX(0,$A6-'1. Inputs'!$C$25-'1. Inputs'!$B$30+1)^'1. Inputs'!$B$7/('1. Inputs'!$B$6^'1. Inputs'!$B$7+MAX(0,$A6-'1. Inputs'!$C$25-'1. Inputs'!$B$30+1)^'1. Inputs'!$B$7)*('1. Inputs'!$B$9+'1. Inputs'!$B$10*MAX(0,$A6-'1. Inputs'!$C$25-'1. Inputs'!$B$30+1)/(MAX(0,$A6-'1. Inputs'!$C$25-'1. Inputs'!$B$30+1)+'1. Inputs'!$B$11))*'1. Inputs'!$B$13*(1+'1. Inputs'!$B$14*MIN(MAX(0,$A6-'1. Inputs'!$C$25-'1. Inputs'!$B$30+1),'1. Inputs'!$B$15))*'1. Inputs'!$B$31)</f>
        <v>0</v>
      </c>
      <c r="D6" s="22" t="n">
        <f aca="false">IF(MAX(0,$A6-'1. Inputs'!$C$26-'1. Inputs'!$B$30+1)&lt;=0,0,'1. Inputs'!$B$26*'1. Inputs'!$B$5*MAX(0,$A6-'1. Inputs'!$C$26-'1. Inputs'!$B$30+1)^'1. Inputs'!$B$7/('1. Inputs'!$B$6^'1. Inputs'!$B$7+MAX(0,$A6-'1. Inputs'!$C$26-'1. Inputs'!$B$30+1)^'1. Inputs'!$B$7)*('1. Inputs'!$B$9+'1. Inputs'!$B$10*MAX(0,$A6-'1. Inputs'!$C$26-'1. Inputs'!$B$30+1)/(MAX(0,$A6-'1. Inputs'!$C$26-'1. Inputs'!$B$30+1)+'1. Inputs'!$B$11))*'1. Inputs'!$B$13*(1+'1. Inputs'!$B$14*MIN(MAX(0,$A6-'1. Inputs'!$C$26-'1. Inputs'!$B$30+1),'1. Inputs'!$B$15))*'1. Inputs'!$B$31)</f>
        <v>0</v>
      </c>
      <c r="E6" s="22" t="n">
        <f aca="false">IF(MAX(0,$A6-'1. Inputs'!$C$27-'1. Inputs'!$B$30+1)&lt;=0,0,'1. Inputs'!$B$27*'1. Inputs'!$B$5*MAX(0,$A6-'1. Inputs'!$C$27-'1. Inputs'!$B$30+1)^'1. Inputs'!$B$7/('1. Inputs'!$B$6^'1. Inputs'!$B$7+MAX(0,$A6-'1. Inputs'!$C$27-'1. Inputs'!$B$30+1)^'1. Inputs'!$B$7)*('1. Inputs'!$B$9+'1. Inputs'!$B$10*MAX(0,$A6-'1. Inputs'!$C$27-'1. Inputs'!$B$30+1)/(MAX(0,$A6-'1. Inputs'!$C$27-'1. Inputs'!$B$30+1)+'1. Inputs'!$B$11))*'1. Inputs'!$B$13*(1+'1. Inputs'!$B$14*MIN(MAX(0,$A6-'1. Inputs'!$C$27-'1. Inputs'!$B$30+1),'1. Inputs'!$B$15))*'1. Inputs'!$B$31)</f>
        <v>0</v>
      </c>
      <c r="F6" s="22" t="n">
        <f aca="false">SUM(B6:E6)</f>
        <v>0</v>
      </c>
      <c r="G6" s="22" t="n">
        <f aca="false">IF($A6=MAX('1. Inputs'!$B$17,1),'1. Inputs'!$B$3,0)+IF($A6-'1. Inputs'!$B$17&gt;=1,INDEX(F$3:F$86,$A6-'1. Inputs'!$B$17),0)</f>
        <v>0</v>
      </c>
      <c r="H6" s="22" t="n">
        <f aca="false">H5*(1-'1. Inputs'!$B$18)+G6</f>
        <v>0</v>
      </c>
      <c r="I6" s="22" t="n">
        <f aca="false">H6*'1. Inputs'!$B$18</f>
        <v>0</v>
      </c>
      <c r="J6" s="22" t="n">
        <f aca="false">J5+F6-I6</f>
        <v>150000000</v>
      </c>
      <c r="K6" s="22" t="n">
        <f aca="false">IF(MAX(0,$A6-'1. Inputs'!$C$24-'1. Inputs'!$B$30+1)&lt;=0,0,'1. Inputs'!$B$24*('1. Inputs'!$B$5-'5. Diagnosing a miss'!$B$21)*MAX(0,$A6-'1. Inputs'!$C$24-'1. Inputs'!$B$30+1)^'1. Inputs'!$B$7/('1. Inputs'!$B$6^'1. Inputs'!$B$7+MAX(0,$A6-'1. Inputs'!$C$24-'1. Inputs'!$B$30+1)^'1. Inputs'!$B$7)*('1. Inputs'!$B$9+'1. Inputs'!$B$10*MAX(0,$A6-'1. Inputs'!$C$24-'1. Inputs'!$B$30+1)/(MAX(0,$A6-'1. Inputs'!$C$24-'1. Inputs'!$B$30+1)+'1. Inputs'!$B$11))*'1. Inputs'!$B$13*(1+'1. Inputs'!$B$14*MIN(MAX(0,$A6-'1. Inputs'!$C$24-'1. Inputs'!$B$30+1),'1. Inputs'!$B$15))*'1. Inputs'!$B$31)</f>
        <v>0</v>
      </c>
      <c r="L6" s="22" t="n">
        <f aca="false">IF(MAX(0,$A6-'1. Inputs'!$C$25-'1. Inputs'!$B$30+1)&lt;=0,0,'1. Inputs'!$B$25*('1. Inputs'!$B$5-'5. Diagnosing a miss'!$B$21)*MAX(0,$A6-'1. Inputs'!$C$25-'1. Inputs'!$B$30+1)^'1. Inputs'!$B$7/('1. Inputs'!$B$6^'1. Inputs'!$B$7+MAX(0,$A6-'1. Inputs'!$C$25-'1. Inputs'!$B$30+1)^'1. Inputs'!$B$7)*('1. Inputs'!$B$9+'1. Inputs'!$B$10*MAX(0,$A6-'1. Inputs'!$C$25-'1. Inputs'!$B$30+1)/(MAX(0,$A6-'1. Inputs'!$C$25-'1. Inputs'!$B$30+1)+'1. Inputs'!$B$11))*'1. Inputs'!$B$13*(1+'1. Inputs'!$B$14*MIN(MAX(0,$A6-'1. Inputs'!$C$25-'1. Inputs'!$B$30+1),'1. Inputs'!$B$15))*'1. Inputs'!$B$31)</f>
        <v>0</v>
      </c>
      <c r="M6" s="22" t="n">
        <f aca="false">IF(MAX(0,$A6-'1. Inputs'!$C$26-'1. Inputs'!$B$30+1)&lt;=0,0,'1. Inputs'!$B$26*('1. Inputs'!$B$5-'5. Diagnosing a miss'!$B$21)*MAX(0,$A6-'1. Inputs'!$C$26-'1. Inputs'!$B$30+1)^'1. Inputs'!$B$7/('1. Inputs'!$B$6^'1. Inputs'!$B$7+MAX(0,$A6-'1. Inputs'!$C$26-'1. Inputs'!$B$30+1)^'1. Inputs'!$B$7)*('1. Inputs'!$B$9+'1. Inputs'!$B$10*MAX(0,$A6-'1. Inputs'!$C$26-'1. Inputs'!$B$30+1)/(MAX(0,$A6-'1. Inputs'!$C$26-'1. Inputs'!$B$30+1)+'1. Inputs'!$B$11))*'1. Inputs'!$B$13*(1+'1. Inputs'!$B$14*MIN(MAX(0,$A6-'1. Inputs'!$C$26-'1. Inputs'!$B$30+1),'1. Inputs'!$B$15))*'1. Inputs'!$B$31)</f>
        <v>0</v>
      </c>
      <c r="N6" s="22" t="n">
        <f aca="false">IF(MAX(0,$A6-'1. Inputs'!$C$27-'1. Inputs'!$B$30+1)&lt;=0,0,'1. Inputs'!$B$27*('1. Inputs'!$B$5-'5. Diagnosing a miss'!$B$21)*MAX(0,$A6-'1. Inputs'!$C$27-'1. Inputs'!$B$30+1)^'1. Inputs'!$B$7/('1. Inputs'!$B$6^'1. Inputs'!$B$7+MAX(0,$A6-'1. Inputs'!$C$27-'1. Inputs'!$B$30+1)^'1. Inputs'!$B$7)*('1. Inputs'!$B$9+'1. Inputs'!$B$10*MAX(0,$A6-'1. Inputs'!$C$27-'1. Inputs'!$B$30+1)/(MAX(0,$A6-'1. Inputs'!$C$27-'1. Inputs'!$B$30+1)+'1. Inputs'!$B$11))*'1. Inputs'!$B$13*(1+'1. Inputs'!$B$14*MIN(MAX(0,$A6-'1. Inputs'!$C$27-'1. Inputs'!$B$30+1),'1. Inputs'!$B$15))*'1. Inputs'!$B$31)</f>
        <v>0</v>
      </c>
      <c r="O6" s="22" t="n">
        <f aca="false">SUM(K6:N6)</f>
        <v>0</v>
      </c>
      <c r="P6" s="22" t="n">
        <f aca="false">IF($A6=MAX('1. Inputs'!$B$17,1),'1. Inputs'!$B$3,0)+IF($A6-'1. Inputs'!$B$17&gt;=1,INDEX(O$3:O$86,$A6-'1. Inputs'!$B$17),0)</f>
        <v>0</v>
      </c>
      <c r="Q6" s="22" t="n">
        <f aca="false">Q5*(1-'1. Inputs'!$B$18)+P6</f>
        <v>0</v>
      </c>
      <c r="R6" s="22" t="n">
        <f aca="false">Q6*'1. Inputs'!$B$18</f>
        <v>0</v>
      </c>
      <c r="S6" s="22" t="n">
        <f aca="false">S5+O6-R6</f>
        <v>150000000</v>
      </c>
      <c r="T6" s="22" t="n">
        <f aca="false">IF(MAX(0,$A6-'1. Inputs'!$C$24-'1. Inputs'!$B$30+1)&lt;=0,0,'1. Inputs'!$B$24*'1. Inputs'!$B$5*MAX(0,$A6-'1. Inputs'!$C$24-'1. Inputs'!$B$30+1)^'1. Inputs'!$B$7/('1. Inputs'!$B$6^'1. Inputs'!$B$7+MAX(0,$A6-'1. Inputs'!$C$24-'1. Inputs'!$B$30+1)^'1. Inputs'!$B$7)*('1. Inputs'!$B$9+'1. Inputs'!$B$10*MAX(0,$A6-'1. Inputs'!$C$24-'1. Inputs'!$B$30+1)/(MAX(0,$A6-'1. Inputs'!$C$24-'1. Inputs'!$B$30+1)+'1. Inputs'!$B$11))*'1. Inputs'!$B$13*(1+'1. Inputs'!$B$14*MIN(MAX(0,$A6-'1. Inputs'!$C$24-'1. Inputs'!$B$30+1),'1. Inputs'!$B$15))*('1. Inputs'!$B$31*'5. Diagnosing a miss'!$B$22))</f>
        <v>0</v>
      </c>
      <c r="U6" s="22" t="n">
        <f aca="false">IF(MAX(0,$A6-'1. Inputs'!$C$25-'1. Inputs'!$B$30+1)&lt;=0,0,'1. Inputs'!$B$25*'1. Inputs'!$B$5*MAX(0,$A6-'1. Inputs'!$C$25-'1. Inputs'!$B$30+1)^'1. Inputs'!$B$7/('1. Inputs'!$B$6^'1. Inputs'!$B$7+MAX(0,$A6-'1. Inputs'!$C$25-'1. Inputs'!$B$30+1)^'1. Inputs'!$B$7)*('1. Inputs'!$B$9+'1. Inputs'!$B$10*MAX(0,$A6-'1. Inputs'!$C$25-'1. Inputs'!$B$30+1)/(MAX(0,$A6-'1. Inputs'!$C$25-'1. Inputs'!$B$30+1)+'1. Inputs'!$B$11))*'1. Inputs'!$B$13*(1+'1. Inputs'!$B$14*MIN(MAX(0,$A6-'1. Inputs'!$C$25-'1. Inputs'!$B$30+1),'1. Inputs'!$B$15))*('1. Inputs'!$B$31*'5. Diagnosing a miss'!$B$22))</f>
        <v>0</v>
      </c>
      <c r="V6" s="22" t="n">
        <f aca="false">IF(MAX(0,$A6-'1. Inputs'!$C$26-'1. Inputs'!$B$30+1)&lt;=0,0,'1. Inputs'!$B$26*'1. Inputs'!$B$5*MAX(0,$A6-'1. Inputs'!$C$26-'1. Inputs'!$B$30+1)^'1. Inputs'!$B$7/('1. Inputs'!$B$6^'1. Inputs'!$B$7+MAX(0,$A6-'1. Inputs'!$C$26-'1. Inputs'!$B$30+1)^'1. Inputs'!$B$7)*('1. Inputs'!$B$9+'1. Inputs'!$B$10*MAX(0,$A6-'1. Inputs'!$C$26-'1. Inputs'!$B$30+1)/(MAX(0,$A6-'1. Inputs'!$C$26-'1. Inputs'!$B$30+1)+'1. Inputs'!$B$11))*'1. Inputs'!$B$13*(1+'1. Inputs'!$B$14*MIN(MAX(0,$A6-'1. Inputs'!$C$26-'1. Inputs'!$B$30+1),'1. Inputs'!$B$15))*('1. Inputs'!$B$31*'5. Diagnosing a miss'!$B$22))</f>
        <v>0</v>
      </c>
      <c r="W6" s="22" t="n">
        <f aca="false">IF(MAX(0,$A6-'1. Inputs'!$C$27-'1. Inputs'!$B$30+1)&lt;=0,0,'1. Inputs'!$B$27*'1. Inputs'!$B$5*MAX(0,$A6-'1. Inputs'!$C$27-'1. Inputs'!$B$30+1)^'1. Inputs'!$B$7/('1. Inputs'!$B$6^'1. Inputs'!$B$7+MAX(0,$A6-'1. Inputs'!$C$27-'1. Inputs'!$B$30+1)^'1. Inputs'!$B$7)*('1. Inputs'!$B$9+'1. Inputs'!$B$10*MAX(0,$A6-'1. Inputs'!$C$27-'1. Inputs'!$B$30+1)/(MAX(0,$A6-'1. Inputs'!$C$27-'1. Inputs'!$B$30+1)+'1. Inputs'!$B$11))*'1. Inputs'!$B$13*(1+'1. Inputs'!$B$14*MIN(MAX(0,$A6-'1. Inputs'!$C$27-'1. Inputs'!$B$30+1),'1. Inputs'!$B$15))*('1. Inputs'!$B$31*'5. Diagnosing a miss'!$B$22))</f>
        <v>0</v>
      </c>
      <c r="X6" s="22" t="n">
        <f aca="false">SUM(T6:W6)</f>
        <v>0</v>
      </c>
      <c r="Y6" s="22" t="n">
        <f aca="false">IF($A6=MAX('1. Inputs'!$B$17,1),'1. Inputs'!$B$3,0)+IF($A6-'1. Inputs'!$B$17&gt;=1,INDEX(X$3:X$86,$A6-'1. Inputs'!$B$17),0)</f>
        <v>0</v>
      </c>
      <c r="Z6" s="22" t="n">
        <f aca="false">Z5*(1-'1. Inputs'!$B$18)+Y6</f>
        <v>0</v>
      </c>
      <c r="AA6" s="22" t="n">
        <f aca="false">Z6*'1. Inputs'!$B$18</f>
        <v>0</v>
      </c>
      <c r="AB6" s="22" t="n">
        <f aca="false">AB5+X6-AA6</f>
        <v>150000000</v>
      </c>
      <c r="AC6" s="22" t="n">
        <f aca="false">IF(MAX(0,$A6-'1. Inputs'!$C$24-('1. Inputs'!$B$30+'5. Diagnosing a miss'!$B$23)+1)&lt;=0,0,'1. Inputs'!$B$24*'1. Inputs'!$B$5*MAX(0,$A6-'1. Inputs'!$C$24-('1. Inputs'!$B$30+'5. Diagnosing a miss'!$B$23)+1)^'1. Inputs'!$B$7/('1. Inputs'!$B$6^'1. Inputs'!$B$7+MAX(0,$A6-'1. Inputs'!$C$24-('1. Inputs'!$B$30+'5. Diagnosing a miss'!$B$23)+1)^'1. Inputs'!$B$7)*('1. Inputs'!$B$9+'1. Inputs'!$B$10*MAX(0,$A6-'1. Inputs'!$C$24-('1. Inputs'!$B$30+'5. Diagnosing a miss'!$B$23)+1)/(MAX(0,$A6-'1. Inputs'!$C$24-('1. Inputs'!$B$30+'5. Diagnosing a miss'!$B$23)+1)+'1. Inputs'!$B$11))*'1. Inputs'!$B$13*(1+'1. Inputs'!$B$14*MIN(MAX(0,$A6-'1. Inputs'!$C$24-('1. Inputs'!$B$30+'5. Diagnosing a miss'!$B$23)+1),'1. Inputs'!$B$15))*'1. Inputs'!$B$31)</f>
        <v>0</v>
      </c>
      <c r="AD6" s="22" t="n">
        <f aca="false">IF(MAX(0,$A6-'1. Inputs'!$C$25-('1. Inputs'!$B$30+'5. Diagnosing a miss'!$B$23)+1)&lt;=0,0,'1. Inputs'!$B$25*'1. Inputs'!$B$5*MAX(0,$A6-'1. Inputs'!$C$25-('1. Inputs'!$B$30+'5. Diagnosing a miss'!$B$23)+1)^'1. Inputs'!$B$7/('1. Inputs'!$B$6^'1. Inputs'!$B$7+MAX(0,$A6-'1. Inputs'!$C$25-('1. Inputs'!$B$30+'5. Diagnosing a miss'!$B$23)+1)^'1. Inputs'!$B$7)*('1. Inputs'!$B$9+'1. Inputs'!$B$10*MAX(0,$A6-'1. Inputs'!$C$25-('1. Inputs'!$B$30+'5. Diagnosing a miss'!$B$23)+1)/(MAX(0,$A6-'1. Inputs'!$C$25-('1. Inputs'!$B$30+'5. Diagnosing a miss'!$B$23)+1)+'1. Inputs'!$B$11))*'1. Inputs'!$B$13*(1+'1. Inputs'!$B$14*MIN(MAX(0,$A6-'1. Inputs'!$C$25-('1. Inputs'!$B$30+'5. Diagnosing a miss'!$B$23)+1),'1. Inputs'!$B$15))*'1. Inputs'!$B$31)</f>
        <v>0</v>
      </c>
      <c r="AE6" s="22" t="n">
        <f aca="false">IF(MAX(0,$A6-'1. Inputs'!$C$26-('1. Inputs'!$B$30+'5. Diagnosing a miss'!$B$23)+1)&lt;=0,0,'1. Inputs'!$B$26*'1. Inputs'!$B$5*MAX(0,$A6-'1. Inputs'!$C$26-('1. Inputs'!$B$30+'5. Diagnosing a miss'!$B$23)+1)^'1. Inputs'!$B$7/('1. Inputs'!$B$6^'1. Inputs'!$B$7+MAX(0,$A6-'1. Inputs'!$C$26-('1. Inputs'!$B$30+'5. Diagnosing a miss'!$B$23)+1)^'1. Inputs'!$B$7)*('1. Inputs'!$B$9+'1. Inputs'!$B$10*MAX(0,$A6-'1. Inputs'!$C$26-('1. Inputs'!$B$30+'5. Diagnosing a miss'!$B$23)+1)/(MAX(0,$A6-'1. Inputs'!$C$26-('1. Inputs'!$B$30+'5. Diagnosing a miss'!$B$23)+1)+'1. Inputs'!$B$11))*'1. Inputs'!$B$13*(1+'1. Inputs'!$B$14*MIN(MAX(0,$A6-'1. Inputs'!$C$26-('1. Inputs'!$B$30+'5. Diagnosing a miss'!$B$23)+1),'1. Inputs'!$B$15))*'1. Inputs'!$B$31)</f>
        <v>0</v>
      </c>
      <c r="AF6" s="22" t="n">
        <f aca="false">IF(MAX(0,$A6-'1. Inputs'!$C$27-('1. Inputs'!$B$30+'5. Diagnosing a miss'!$B$23)+1)&lt;=0,0,'1. Inputs'!$B$27*'1. Inputs'!$B$5*MAX(0,$A6-'1. Inputs'!$C$27-('1. Inputs'!$B$30+'5. Diagnosing a miss'!$B$23)+1)^'1. Inputs'!$B$7/('1. Inputs'!$B$6^'1. Inputs'!$B$7+MAX(0,$A6-'1. Inputs'!$C$27-('1. Inputs'!$B$30+'5. Diagnosing a miss'!$B$23)+1)^'1. Inputs'!$B$7)*('1. Inputs'!$B$9+'1. Inputs'!$B$10*MAX(0,$A6-'1. Inputs'!$C$27-('1. Inputs'!$B$30+'5. Diagnosing a miss'!$B$23)+1)/(MAX(0,$A6-'1. Inputs'!$C$27-('1. Inputs'!$B$30+'5. Diagnosing a miss'!$B$23)+1)+'1. Inputs'!$B$11))*'1. Inputs'!$B$13*(1+'1. Inputs'!$B$14*MIN(MAX(0,$A6-'1. Inputs'!$C$27-('1. Inputs'!$B$30+'5. Diagnosing a miss'!$B$23)+1),'1. Inputs'!$B$15))*'1. Inputs'!$B$31)</f>
        <v>0</v>
      </c>
      <c r="AG6" s="22" t="n">
        <f aca="false">SUM(AC6:AF6)</f>
        <v>0</v>
      </c>
      <c r="AH6" s="22" t="n">
        <f aca="false">IF($A6=MAX('1. Inputs'!$B$17,1),'1. Inputs'!$B$3,0)+IF($A6-'1. Inputs'!$B$17&gt;=1,INDEX(AG$3:AG$86,$A6-'1. Inputs'!$B$17),0)</f>
        <v>0</v>
      </c>
      <c r="AI6" s="22" t="n">
        <f aca="false">AI5*(1-'1. Inputs'!$B$18)+AH6</f>
        <v>0</v>
      </c>
      <c r="AJ6" s="22" t="n">
        <f aca="false">AI6*'1. Inputs'!$B$18</f>
        <v>0</v>
      </c>
      <c r="AK6" s="22" t="n">
        <f aca="false">AK5+AG6-AJ6</f>
        <v>150000000</v>
      </c>
    </row>
    <row r="7" customFormat="false" ht="15" hidden="false" customHeight="false" outlineLevel="0" collapsed="false">
      <c r="A7" s="7" t="n">
        <v>5</v>
      </c>
      <c r="B7" s="22" t="n">
        <f aca="false">IF(MAX(0,$A7-'1. Inputs'!$C$24-'1. Inputs'!$B$30+1)&lt;=0,0,'1. Inputs'!$B$24*'1. Inputs'!$B$5*MAX(0,$A7-'1. Inputs'!$C$24-'1. Inputs'!$B$30+1)^'1. Inputs'!$B$7/('1. Inputs'!$B$6^'1. Inputs'!$B$7+MAX(0,$A7-'1. Inputs'!$C$24-'1. Inputs'!$B$30+1)^'1. Inputs'!$B$7)*('1. Inputs'!$B$9+'1. Inputs'!$B$10*MAX(0,$A7-'1. Inputs'!$C$24-'1. Inputs'!$B$30+1)/(MAX(0,$A7-'1. Inputs'!$C$24-'1. Inputs'!$B$30+1)+'1. Inputs'!$B$11))*'1. Inputs'!$B$13*(1+'1. Inputs'!$B$14*MIN(MAX(0,$A7-'1. Inputs'!$C$24-'1. Inputs'!$B$30+1),'1. Inputs'!$B$15))*'1. Inputs'!$B$31)</f>
        <v>0</v>
      </c>
      <c r="C7" s="22" t="n">
        <f aca="false">IF(MAX(0,$A7-'1. Inputs'!$C$25-'1. Inputs'!$B$30+1)&lt;=0,0,'1. Inputs'!$B$25*'1. Inputs'!$B$5*MAX(0,$A7-'1. Inputs'!$C$25-'1. Inputs'!$B$30+1)^'1. Inputs'!$B$7/('1. Inputs'!$B$6^'1. Inputs'!$B$7+MAX(0,$A7-'1. Inputs'!$C$25-'1. Inputs'!$B$30+1)^'1. Inputs'!$B$7)*('1. Inputs'!$B$9+'1. Inputs'!$B$10*MAX(0,$A7-'1. Inputs'!$C$25-'1. Inputs'!$B$30+1)/(MAX(0,$A7-'1. Inputs'!$C$25-'1. Inputs'!$B$30+1)+'1. Inputs'!$B$11))*'1. Inputs'!$B$13*(1+'1. Inputs'!$B$14*MIN(MAX(0,$A7-'1. Inputs'!$C$25-'1. Inputs'!$B$30+1),'1. Inputs'!$B$15))*'1. Inputs'!$B$31)</f>
        <v>0</v>
      </c>
      <c r="D7" s="22" t="n">
        <f aca="false">IF(MAX(0,$A7-'1. Inputs'!$C$26-'1. Inputs'!$B$30+1)&lt;=0,0,'1. Inputs'!$B$26*'1. Inputs'!$B$5*MAX(0,$A7-'1. Inputs'!$C$26-'1. Inputs'!$B$30+1)^'1. Inputs'!$B$7/('1. Inputs'!$B$6^'1. Inputs'!$B$7+MAX(0,$A7-'1. Inputs'!$C$26-'1. Inputs'!$B$30+1)^'1. Inputs'!$B$7)*('1. Inputs'!$B$9+'1. Inputs'!$B$10*MAX(0,$A7-'1. Inputs'!$C$26-'1. Inputs'!$B$30+1)/(MAX(0,$A7-'1. Inputs'!$C$26-'1. Inputs'!$B$30+1)+'1. Inputs'!$B$11))*'1. Inputs'!$B$13*(1+'1. Inputs'!$B$14*MIN(MAX(0,$A7-'1. Inputs'!$C$26-'1. Inputs'!$B$30+1),'1. Inputs'!$B$15))*'1. Inputs'!$B$31)</f>
        <v>0</v>
      </c>
      <c r="E7" s="22" t="n">
        <f aca="false">IF(MAX(0,$A7-'1. Inputs'!$C$27-'1. Inputs'!$B$30+1)&lt;=0,0,'1. Inputs'!$B$27*'1. Inputs'!$B$5*MAX(0,$A7-'1. Inputs'!$C$27-'1. Inputs'!$B$30+1)^'1. Inputs'!$B$7/('1. Inputs'!$B$6^'1. Inputs'!$B$7+MAX(0,$A7-'1. Inputs'!$C$27-'1. Inputs'!$B$30+1)^'1. Inputs'!$B$7)*('1. Inputs'!$B$9+'1. Inputs'!$B$10*MAX(0,$A7-'1. Inputs'!$C$27-'1. Inputs'!$B$30+1)/(MAX(0,$A7-'1. Inputs'!$C$27-'1. Inputs'!$B$30+1)+'1. Inputs'!$B$11))*'1. Inputs'!$B$13*(1+'1. Inputs'!$B$14*MIN(MAX(0,$A7-'1. Inputs'!$C$27-'1. Inputs'!$B$30+1),'1. Inputs'!$B$15))*'1. Inputs'!$B$31)</f>
        <v>0</v>
      </c>
      <c r="F7" s="22" t="n">
        <f aca="false">SUM(B7:E7)</f>
        <v>0</v>
      </c>
      <c r="G7" s="22" t="n">
        <f aca="false">IF($A7=MAX('1. Inputs'!$B$17,1),'1. Inputs'!$B$3,0)+IF($A7-'1. Inputs'!$B$17&gt;=1,INDEX(F$3:F$86,$A7-'1. Inputs'!$B$17),0)</f>
        <v>0</v>
      </c>
      <c r="H7" s="22" t="n">
        <f aca="false">H6*(1-'1. Inputs'!$B$18)+G7</f>
        <v>0</v>
      </c>
      <c r="I7" s="22" t="n">
        <f aca="false">H7*'1. Inputs'!$B$18</f>
        <v>0</v>
      </c>
      <c r="J7" s="22" t="n">
        <f aca="false">J6+F7-I7</f>
        <v>150000000</v>
      </c>
      <c r="K7" s="22" t="n">
        <f aca="false">IF(MAX(0,$A7-'1. Inputs'!$C$24-'1. Inputs'!$B$30+1)&lt;=0,0,'1. Inputs'!$B$24*('1. Inputs'!$B$5-'5. Diagnosing a miss'!$B$21)*MAX(0,$A7-'1. Inputs'!$C$24-'1. Inputs'!$B$30+1)^'1. Inputs'!$B$7/('1. Inputs'!$B$6^'1. Inputs'!$B$7+MAX(0,$A7-'1. Inputs'!$C$24-'1. Inputs'!$B$30+1)^'1. Inputs'!$B$7)*('1. Inputs'!$B$9+'1. Inputs'!$B$10*MAX(0,$A7-'1. Inputs'!$C$24-'1. Inputs'!$B$30+1)/(MAX(0,$A7-'1. Inputs'!$C$24-'1. Inputs'!$B$30+1)+'1. Inputs'!$B$11))*'1. Inputs'!$B$13*(1+'1. Inputs'!$B$14*MIN(MAX(0,$A7-'1. Inputs'!$C$24-'1. Inputs'!$B$30+1),'1. Inputs'!$B$15))*'1. Inputs'!$B$31)</f>
        <v>0</v>
      </c>
      <c r="L7" s="22" t="n">
        <f aca="false">IF(MAX(0,$A7-'1. Inputs'!$C$25-'1. Inputs'!$B$30+1)&lt;=0,0,'1. Inputs'!$B$25*('1. Inputs'!$B$5-'5. Diagnosing a miss'!$B$21)*MAX(0,$A7-'1. Inputs'!$C$25-'1. Inputs'!$B$30+1)^'1. Inputs'!$B$7/('1. Inputs'!$B$6^'1. Inputs'!$B$7+MAX(0,$A7-'1. Inputs'!$C$25-'1. Inputs'!$B$30+1)^'1. Inputs'!$B$7)*('1. Inputs'!$B$9+'1. Inputs'!$B$10*MAX(0,$A7-'1. Inputs'!$C$25-'1. Inputs'!$B$30+1)/(MAX(0,$A7-'1. Inputs'!$C$25-'1. Inputs'!$B$30+1)+'1. Inputs'!$B$11))*'1. Inputs'!$B$13*(1+'1. Inputs'!$B$14*MIN(MAX(0,$A7-'1. Inputs'!$C$25-'1. Inputs'!$B$30+1),'1. Inputs'!$B$15))*'1. Inputs'!$B$31)</f>
        <v>0</v>
      </c>
      <c r="M7" s="22" t="n">
        <f aca="false">IF(MAX(0,$A7-'1. Inputs'!$C$26-'1. Inputs'!$B$30+1)&lt;=0,0,'1. Inputs'!$B$26*('1. Inputs'!$B$5-'5. Diagnosing a miss'!$B$21)*MAX(0,$A7-'1. Inputs'!$C$26-'1. Inputs'!$B$30+1)^'1. Inputs'!$B$7/('1. Inputs'!$B$6^'1. Inputs'!$B$7+MAX(0,$A7-'1. Inputs'!$C$26-'1. Inputs'!$B$30+1)^'1. Inputs'!$B$7)*('1. Inputs'!$B$9+'1. Inputs'!$B$10*MAX(0,$A7-'1. Inputs'!$C$26-'1. Inputs'!$B$30+1)/(MAX(0,$A7-'1. Inputs'!$C$26-'1. Inputs'!$B$30+1)+'1. Inputs'!$B$11))*'1. Inputs'!$B$13*(1+'1. Inputs'!$B$14*MIN(MAX(0,$A7-'1. Inputs'!$C$26-'1. Inputs'!$B$30+1),'1. Inputs'!$B$15))*'1. Inputs'!$B$31)</f>
        <v>0</v>
      </c>
      <c r="N7" s="22" t="n">
        <f aca="false">IF(MAX(0,$A7-'1. Inputs'!$C$27-'1. Inputs'!$B$30+1)&lt;=0,0,'1. Inputs'!$B$27*('1. Inputs'!$B$5-'5. Diagnosing a miss'!$B$21)*MAX(0,$A7-'1. Inputs'!$C$27-'1. Inputs'!$B$30+1)^'1. Inputs'!$B$7/('1. Inputs'!$B$6^'1. Inputs'!$B$7+MAX(0,$A7-'1. Inputs'!$C$27-'1. Inputs'!$B$30+1)^'1. Inputs'!$B$7)*('1. Inputs'!$B$9+'1. Inputs'!$B$10*MAX(0,$A7-'1. Inputs'!$C$27-'1. Inputs'!$B$30+1)/(MAX(0,$A7-'1. Inputs'!$C$27-'1. Inputs'!$B$30+1)+'1. Inputs'!$B$11))*'1. Inputs'!$B$13*(1+'1. Inputs'!$B$14*MIN(MAX(0,$A7-'1. Inputs'!$C$27-'1. Inputs'!$B$30+1),'1. Inputs'!$B$15))*'1. Inputs'!$B$31)</f>
        <v>0</v>
      </c>
      <c r="O7" s="22" t="n">
        <f aca="false">SUM(K7:N7)</f>
        <v>0</v>
      </c>
      <c r="P7" s="22" t="n">
        <f aca="false">IF($A7=MAX('1. Inputs'!$B$17,1),'1. Inputs'!$B$3,0)+IF($A7-'1. Inputs'!$B$17&gt;=1,INDEX(O$3:O$86,$A7-'1. Inputs'!$B$17),0)</f>
        <v>0</v>
      </c>
      <c r="Q7" s="22" t="n">
        <f aca="false">Q6*(1-'1. Inputs'!$B$18)+P7</f>
        <v>0</v>
      </c>
      <c r="R7" s="22" t="n">
        <f aca="false">Q7*'1. Inputs'!$B$18</f>
        <v>0</v>
      </c>
      <c r="S7" s="22" t="n">
        <f aca="false">S6+O7-R7</f>
        <v>150000000</v>
      </c>
      <c r="T7" s="22" t="n">
        <f aca="false">IF(MAX(0,$A7-'1. Inputs'!$C$24-'1. Inputs'!$B$30+1)&lt;=0,0,'1. Inputs'!$B$24*'1. Inputs'!$B$5*MAX(0,$A7-'1. Inputs'!$C$24-'1. Inputs'!$B$30+1)^'1. Inputs'!$B$7/('1. Inputs'!$B$6^'1. Inputs'!$B$7+MAX(0,$A7-'1. Inputs'!$C$24-'1. Inputs'!$B$30+1)^'1. Inputs'!$B$7)*('1. Inputs'!$B$9+'1. Inputs'!$B$10*MAX(0,$A7-'1. Inputs'!$C$24-'1. Inputs'!$B$30+1)/(MAX(0,$A7-'1. Inputs'!$C$24-'1. Inputs'!$B$30+1)+'1. Inputs'!$B$11))*'1. Inputs'!$B$13*(1+'1. Inputs'!$B$14*MIN(MAX(0,$A7-'1. Inputs'!$C$24-'1. Inputs'!$B$30+1),'1. Inputs'!$B$15))*('1. Inputs'!$B$31*'5. Diagnosing a miss'!$B$22))</f>
        <v>0</v>
      </c>
      <c r="U7" s="22" t="n">
        <f aca="false">IF(MAX(0,$A7-'1. Inputs'!$C$25-'1. Inputs'!$B$30+1)&lt;=0,0,'1. Inputs'!$B$25*'1. Inputs'!$B$5*MAX(0,$A7-'1. Inputs'!$C$25-'1. Inputs'!$B$30+1)^'1. Inputs'!$B$7/('1. Inputs'!$B$6^'1. Inputs'!$B$7+MAX(0,$A7-'1. Inputs'!$C$25-'1. Inputs'!$B$30+1)^'1. Inputs'!$B$7)*('1. Inputs'!$B$9+'1. Inputs'!$B$10*MAX(0,$A7-'1. Inputs'!$C$25-'1. Inputs'!$B$30+1)/(MAX(0,$A7-'1. Inputs'!$C$25-'1. Inputs'!$B$30+1)+'1. Inputs'!$B$11))*'1. Inputs'!$B$13*(1+'1. Inputs'!$B$14*MIN(MAX(0,$A7-'1. Inputs'!$C$25-'1. Inputs'!$B$30+1),'1. Inputs'!$B$15))*('1. Inputs'!$B$31*'5. Diagnosing a miss'!$B$22))</f>
        <v>0</v>
      </c>
      <c r="V7" s="22" t="n">
        <f aca="false">IF(MAX(0,$A7-'1. Inputs'!$C$26-'1. Inputs'!$B$30+1)&lt;=0,0,'1. Inputs'!$B$26*'1. Inputs'!$B$5*MAX(0,$A7-'1. Inputs'!$C$26-'1. Inputs'!$B$30+1)^'1. Inputs'!$B$7/('1. Inputs'!$B$6^'1. Inputs'!$B$7+MAX(0,$A7-'1. Inputs'!$C$26-'1. Inputs'!$B$30+1)^'1. Inputs'!$B$7)*('1. Inputs'!$B$9+'1. Inputs'!$B$10*MAX(0,$A7-'1. Inputs'!$C$26-'1. Inputs'!$B$30+1)/(MAX(0,$A7-'1. Inputs'!$C$26-'1. Inputs'!$B$30+1)+'1. Inputs'!$B$11))*'1. Inputs'!$B$13*(1+'1. Inputs'!$B$14*MIN(MAX(0,$A7-'1. Inputs'!$C$26-'1. Inputs'!$B$30+1),'1. Inputs'!$B$15))*('1. Inputs'!$B$31*'5. Diagnosing a miss'!$B$22))</f>
        <v>0</v>
      </c>
      <c r="W7" s="22" t="n">
        <f aca="false">IF(MAX(0,$A7-'1. Inputs'!$C$27-'1. Inputs'!$B$30+1)&lt;=0,0,'1. Inputs'!$B$27*'1. Inputs'!$B$5*MAX(0,$A7-'1. Inputs'!$C$27-'1. Inputs'!$B$30+1)^'1. Inputs'!$B$7/('1. Inputs'!$B$6^'1. Inputs'!$B$7+MAX(0,$A7-'1. Inputs'!$C$27-'1. Inputs'!$B$30+1)^'1. Inputs'!$B$7)*('1. Inputs'!$B$9+'1. Inputs'!$B$10*MAX(0,$A7-'1. Inputs'!$C$27-'1. Inputs'!$B$30+1)/(MAX(0,$A7-'1. Inputs'!$C$27-'1. Inputs'!$B$30+1)+'1. Inputs'!$B$11))*'1. Inputs'!$B$13*(1+'1. Inputs'!$B$14*MIN(MAX(0,$A7-'1. Inputs'!$C$27-'1. Inputs'!$B$30+1),'1. Inputs'!$B$15))*('1. Inputs'!$B$31*'5. Diagnosing a miss'!$B$22))</f>
        <v>0</v>
      </c>
      <c r="X7" s="22" t="n">
        <f aca="false">SUM(T7:W7)</f>
        <v>0</v>
      </c>
      <c r="Y7" s="22" t="n">
        <f aca="false">IF($A7=MAX('1. Inputs'!$B$17,1),'1. Inputs'!$B$3,0)+IF($A7-'1. Inputs'!$B$17&gt;=1,INDEX(X$3:X$86,$A7-'1. Inputs'!$B$17),0)</f>
        <v>0</v>
      </c>
      <c r="Z7" s="22" t="n">
        <f aca="false">Z6*(1-'1. Inputs'!$B$18)+Y7</f>
        <v>0</v>
      </c>
      <c r="AA7" s="22" t="n">
        <f aca="false">Z7*'1. Inputs'!$B$18</f>
        <v>0</v>
      </c>
      <c r="AB7" s="22" t="n">
        <f aca="false">AB6+X7-AA7</f>
        <v>150000000</v>
      </c>
      <c r="AC7" s="22" t="n">
        <f aca="false">IF(MAX(0,$A7-'1. Inputs'!$C$24-('1. Inputs'!$B$30+'5. Diagnosing a miss'!$B$23)+1)&lt;=0,0,'1. Inputs'!$B$24*'1. Inputs'!$B$5*MAX(0,$A7-'1. Inputs'!$C$24-('1. Inputs'!$B$30+'5. Diagnosing a miss'!$B$23)+1)^'1. Inputs'!$B$7/('1. Inputs'!$B$6^'1. Inputs'!$B$7+MAX(0,$A7-'1. Inputs'!$C$24-('1. Inputs'!$B$30+'5. Diagnosing a miss'!$B$23)+1)^'1. Inputs'!$B$7)*('1. Inputs'!$B$9+'1. Inputs'!$B$10*MAX(0,$A7-'1. Inputs'!$C$24-('1. Inputs'!$B$30+'5. Diagnosing a miss'!$B$23)+1)/(MAX(0,$A7-'1. Inputs'!$C$24-('1. Inputs'!$B$30+'5. Diagnosing a miss'!$B$23)+1)+'1. Inputs'!$B$11))*'1. Inputs'!$B$13*(1+'1. Inputs'!$B$14*MIN(MAX(0,$A7-'1. Inputs'!$C$24-('1. Inputs'!$B$30+'5. Diagnosing a miss'!$B$23)+1),'1. Inputs'!$B$15))*'1. Inputs'!$B$31)</f>
        <v>0</v>
      </c>
      <c r="AD7" s="22" t="n">
        <f aca="false">IF(MAX(0,$A7-'1. Inputs'!$C$25-('1. Inputs'!$B$30+'5. Diagnosing a miss'!$B$23)+1)&lt;=0,0,'1. Inputs'!$B$25*'1. Inputs'!$B$5*MAX(0,$A7-'1. Inputs'!$C$25-('1. Inputs'!$B$30+'5. Diagnosing a miss'!$B$23)+1)^'1. Inputs'!$B$7/('1. Inputs'!$B$6^'1. Inputs'!$B$7+MAX(0,$A7-'1. Inputs'!$C$25-('1. Inputs'!$B$30+'5. Diagnosing a miss'!$B$23)+1)^'1. Inputs'!$B$7)*('1. Inputs'!$B$9+'1. Inputs'!$B$10*MAX(0,$A7-'1. Inputs'!$C$25-('1. Inputs'!$B$30+'5. Diagnosing a miss'!$B$23)+1)/(MAX(0,$A7-'1. Inputs'!$C$25-('1. Inputs'!$B$30+'5. Diagnosing a miss'!$B$23)+1)+'1. Inputs'!$B$11))*'1. Inputs'!$B$13*(1+'1. Inputs'!$B$14*MIN(MAX(0,$A7-'1. Inputs'!$C$25-('1. Inputs'!$B$30+'5. Diagnosing a miss'!$B$23)+1),'1. Inputs'!$B$15))*'1. Inputs'!$B$31)</f>
        <v>0</v>
      </c>
      <c r="AE7" s="22" t="n">
        <f aca="false">IF(MAX(0,$A7-'1. Inputs'!$C$26-('1. Inputs'!$B$30+'5. Diagnosing a miss'!$B$23)+1)&lt;=0,0,'1. Inputs'!$B$26*'1. Inputs'!$B$5*MAX(0,$A7-'1. Inputs'!$C$26-('1. Inputs'!$B$30+'5. Diagnosing a miss'!$B$23)+1)^'1. Inputs'!$B$7/('1. Inputs'!$B$6^'1. Inputs'!$B$7+MAX(0,$A7-'1. Inputs'!$C$26-('1. Inputs'!$B$30+'5. Diagnosing a miss'!$B$23)+1)^'1. Inputs'!$B$7)*('1. Inputs'!$B$9+'1. Inputs'!$B$10*MAX(0,$A7-'1. Inputs'!$C$26-('1. Inputs'!$B$30+'5. Diagnosing a miss'!$B$23)+1)/(MAX(0,$A7-'1. Inputs'!$C$26-('1. Inputs'!$B$30+'5. Diagnosing a miss'!$B$23)+1)+'1. Inputs'!$B$11))*'1. Inputs'!$B$13*(1+'1. Inputs'!$B$14*MIN(MAX(0,$A7-'1. Inputs'!$C$26-('1. Inputs'!$B$30+'5. Diagnosing a miss'!$B$23)+1),'1. Inputs'!$B$15))*'1. Inputs'!$B$31)</f>
        <v>0</v>
      </c>
      <c r="AF7" s="22" t="n">
        <f aca="false">IF(MAX(0,$A7-'1. Inputs'!$C$27-('1. Inputs'!$B$30+'5. Diagnosing a miss'!$B$23)+1)&lt;=0,0,'1. Inputs'!$B$27*'1. Inputs'!$B$5*MAX(0,$A7-'1. Inputs'!$C$27-('1. Inputs'!$B$30+'5. Diagnosing a miss'!$B$23)+1)^'1. Inputs'!$B$7/('1. Inputs'!$B$6^'1. Inputs'!$B$7+MAX(0,$A7-'1. Inputs'!$C$27-('1. Inputs'!$B$30+'5. Diagnosing a miss'!$B$23)+1)^'1. Inputs'!$B$7)*('1. Inputs'!$B$9+'1. Inputs'!$B$10*MAX(0,$A7-'1. Inputs'!$C$27-('1. Inputs'!$B$30+'5. Diagnosing a miss'!$B$23)+1)/(MAX(0,$A7-'1. Inputs'!$C$27-('1. Inputs'!$B$30+'5. Diagnosing a miss'!$B$23)+1)+'1. Inputs'!$B$11))*'1. Inputs'!$B$13*(1+'1. Inputs'!$B$14*MIN(MAX(0,$A7-'1. Inputs'!$C$27-('1. Inputs'!$B$30+'5. Diagnosing a miss'!$B$23)+1),'1. Inputs'!$B$15))*'1. Inputs'!$B$31)</f>
        <v>0</v>
      </c>
      <c r="AG7" s="22" t="n">
        <f aca="false">SUM(AC7:AF7)</f>
        <v>0</v>
      </c>
      <c r="AH7" s="22" t="n">
        <f aca="false">IF($A7=MAX('1. Inputs'!$B$17,1),'1. Inputs'!$B$3,0)+IF($A7-'1. Inputs'!$B$17&gt;=1,INDEX(AG$3:AG$86,$A7-'1. Inputs'!$B$17),0)</f>
        <v>0</v>
      </c>
      <c r="AI7" s="22" t="n">
        <f aca="false">AI6*(1-'1. Inputs'!$B$18)+AH7</f>
        <v>0</v>
      </c>
      <c r="AJ7" s="22" t="n">
        <f aca="false">AI7*'1. Inputs'!$B$18</f>
        <v>0</v>
      </c>
      <c r="AK7" s="22" t="n">
        <f aca="false">AK6+AG7-AJ7</f>
        <v>150000000</v>
      </c>
    </row>
    <row r="8" customFormat="false" ht="15" hidden="false" customHeight="false" outlineLevel="0" collapsed="false">
      <c r="A8" s="7" t="n">
        <v>6</v>
      </c>
      <c r="B8" s="22" t="n">
        <f aca="false">IF(MAX(0,$A8-'1. Inputs'!$C$24-'1. Inputs'!$B$30+1)&lt;=0,0,'1. Inputs'!$B$24*'1. Inputs'!$B$5*MAX(0,$A8-'1. Inputs'!$C$24-'1. Inputs'!$B$30+1)^'1. Inputs'!$B$7/('1. Inputs'!$B$6^'1. Inputs'!$B$7+MAX(0,$A8-'1. Inputs'!$C$24-'1. Inputs'!$B$30+1)^'1. Inputs'!$B$7)*('1. Inputs'!$B$9+'1. Inputs'!$B$10*MAX(0,$A8-'1. Inputs'!$C$24-'1. Inputs'!$B$30+1)/(MAX(0,$A8-'1. Inputs'!$C$24-'1. Inputs'!$B$30+1)+'1. Inputs'!$B$11))*'1. Inputs'!$B$13*(1+'1. Inputs'!$B$14*MIN(MAX(0,$A8-'1. Inputs'!$C$24-'1. Inputs'!$B$30+1),'1. Inputs'!$B$15))*'1. Inputs'!$B$31)</f>
        <v>0</v>
      </c>
      <c r="C8" s="22" t="n">
        <f aca="false">IF(MAX(0,$A8-'1. Inputs'!$C$25-'1. Inputs'!$B$30+1)&lt;=0,0,'1. Inputs'!$B$25*'1. Inputs'!$B$5*MAX(0,$A8-'1. Inputs'!$C$25-'1. Inputs'!$B$30+1)^'1. Inputs'!$B$7/('1. Inputs'!$B$6^'1. Inputs'!$B$7+MAX(0,$A8-'1. Inputs'!$C$25-'1. Inputs'!$B$30+1)^'1. Inputs'!$B$7)*('1. Inputs'!$B$9+'1. Inputs'!$B$10*MAX(0,$A8-'1. Inputs'!$C$25-'1. Inputs'!$B$30+1)/(MAX(0,$A8-'1. Inputs'!$C$25-'1. Inputs'!$B$30+1)+'1. Inputs'!$B$11))*'1. Inputs'!$B$13*(1+'1. Inputs'!$B$14*MIN(MAX(0,$A8-'1. Inputs'!$C$25-'1. Inputs'!$B$30+1),'1. Inputs'!$B$15))*'1. Inputs'!$B$31)</f>
        <v>0</v>
      </c>
      <c r="D8" s="22" t="n">
        <f aca="false">IF(MAX(0,$A8-'1. Inputs'!$C$26-'1. Inputs'!$B$30+1)&lt;=0,0,'1. Inputs'!$B$26*'1. Inputs'!$B$5*MAX(0,$A8-'1. Inputs'!$C$26-'1. Inputs'!$B$30+1)^'1. Inputs'!$B$7/('1. Inputs'!$B$6^'1. Inputs'!$B$7+MAX(0,$A8-'1. Inputs'!$C$26-'1. Inputs'!$B$30+1)^'1. Inputs'!$B$7)*('1. Inputs'!$B$9+'1. Inputs'!$B$10*MAX(0,$A8-'1. Inputs'!$C$26-'1. Inputs'!$B$30+1)/(MAX(0,$A8-'1. Inputs'!$C$26-'1. Inputs'!$B$30+1)+'1. Inputs'!$B$11))*'1. Inputs'!$B$13*(1+'1. Inputs'!$B$14*MIN(MAX(0,$A8-'1. Inputs'!$C$26-'1. Inputs'!$B$30+1),'1. Inputs'!$B$15))*'1. Inputs'!$B$31)</f>
        <v>0</v>
      </c>
      <c r="E8" s="22" t="n">
        <f aca="false">IF(MAX(0,$A8-'1. Inputs'!$C$27-'1. Inputs'!$B$30+1)&lt;=0,0,'1. Inputs'!$B$27*'1. Inputs'!$B$5*MAX(0,$A8-'1. Inputs'!$C$27-'1. Inputs'!$B$30+1)^'1. Inputs'!$B$7/('1. Inputs'!$B$6^'1. Inputs'!$B$7+MAX(0,$A8-'1. Inputs'!$C$27-'1. Inputs'!$B$30+1)^'1. Inputs'!$B$7)*('1. Inputs'!$B$9+'1. Inputs'!$B$10*MAX(0,$A8-'1. Inputs'!$C$27-'1. Inputs'!$B$30+1)/(MAX(0,$A8-'1. Inputs'!$C$27-'1. Inputs'!$B$30+1)+'1. Inputs'!$B$11))*'1. Inputs'!$B$13*(1+'1. Inputs'!$B$14*MIN(MAX(0,$A8-'1. Inputs'!$C$27-'1. Inputs'!$B$30+1),'1. Inputs'!$B$15))*'1. Inputs'!$B$31)</f>
        <v>0</v>
      </c>
      <c r="F8" s="22" t="n">
        <f aca="false">SUM(B8:E8)</f>
        <v>0</v>
      </c>
      <c r="G8" s="22" t="n">
        <f aca="false">IF($A8=MAX('1. Inputs'!$B$17,1),'1. Inputs'!$B$3,0)+IF($A8-'1. Inputs'!$B$17&gt;=1,INDEX(F$3:F$86,$A8-'1. Inputs'!$B$17),0)</f>
        <v>0</v>
      </c>
      <c r="H8" s="22" t="n">
        <f aca="false">H7*(1-'1. Inputs'!$B$18)+G8</f>
        <v>0</v>
      </c>
      <c r="I8" s="22" t="n">
        <f aca="false">H8*'1. Inputs'!$B$18</f>
        <v>0</v>
      </c>
      <c r="J8" s="22" t="n">
        <f aca="false">J7+F8-I8</f>
        <v>150000000</v>
      </c>
      <c r="K8" s="22" t="n">
        <f aca="false">IF(MAX(0,$A8-'1. Inputs'!$C$24-'1. Inputs'!$B$30+1)&lt;=0,0,'1. Inputs'!$B$24*('1. Inputs'!$B$5-'5. Diagnosing a miss'!$B$21)*MAX(0,$A8-'1. Inputs'!$C$24-'1. Inputs'!$B$30+1)^'1. Inputs'!$B$7/('1. Inputs'!$B$6^'1. Inputs'!$B$7+MAX(0,$A8-'1. Inputs'!$C$24-'1. Inputs'!$B$30+1)^'1. Inputs'!$B$7)*('1. Inputs'!$B$9+'1. Inputs'!$B$10*MAX(0,$A8-'1. Inputs'!$C$24-'1. Inputs'!$B$30+1)/(MAX(0,$A8-'1. Inputs'!$C$24-'1. Inputs'!$B$30+1)+'1. Inputs'!$B$11))*'1. Inputs'!$B$13*(1+'1. Inputs'!$B$14*MIN(MAX(0,$A8-'1. Inputs'!$C$24-'1. Inputs'!$B$30+1),'1. Inputs'!$B$15))*'1. Inputs'!$B$31)</f>
        <v>0</v>
      </c>
      <c r="L8" s="22" t="n">
        <f aca="false">IF(MAX(0,$A8-'1. Inputs'!$C$25-'1. Inputs'!$B$30+1)&lt;=0,0,'1. Inputs'!$B$25*('1. Inputs'!$B$5-'5. Diagnosing a miss'!$B$21)*MAX(0,$A8-'1. Inputs'!$C$25-'1. Inputs'!$B$30+1)^'1. Inputs'!$B$7/('1. Inputs'!$B$6^'1. Inputs'!$B$7+MAX(0,$A8-'1. Inputs'!$C$25-'1. Inputs'!$B$30+1)^'1. Inputs'!$B$7)*('1. Inputs'!$B$9+'1. Inputs'!$B$10*MAX(0,$A8-'1. Inputs'!$C$25-'1. Inputs'!$B$30+1)/(MAX(0,$A8-'1. Inputs'!$C$25-'1. Inputs'!$B$30+1)+'1. Inputs'!$B$11))*'1. Inputs'!$B$13*(1+'1. Inputs'!$B$14*MIN(MAX(0,$A8-'1. Inputs'!$C$25-'1. Inputs'!$B$30+1),'1. Inputs'!$B$15))*'1. Inputs'!$B$31)</f>
        <v>0</v>
      </c>
      <c r="M8" s="22" t="n">
        <f aca="false">IF(MAX(0,$A8-'1. Inputs'!$C$26-'1. Inputs'!$B$30+1)&lt;=0,0,'1. Inputs'!$B$26*('1. Inputs'!$B$5-'5. Diagnosing a miss'!$B$21)*MAX(0,$A8-'1. Inputs'!$C$26-'1. Inputs'!$B$30+1)^'1. Inputs'!$B$7/('1. Inputs'!$B$6^'1. Inputs'!$B$7+MAX(0,$A8-'1. Inputs'!$C$26-'1. Inputs'!$B$30+1)^'1. Inputs'!$B$7)*('1. Inputs'!$B$9+'1. Inputs'!$B$10*MAX(0,$A8-'1. Inputs'!$C$26-'1. Inputs'!$B$30+1)/(MAX(0,$A8-'1. Inputs'!$C$26-'1. Inputs'!$B$30+1)+'1. Inputs'!$B$11))*'1. Inputs'!$B$13*(1+'1. Inputs'!$B$14*MIN(MAX(0,$A8-'1. Inputs'!$C$26-'1. Inputs'!$B$30+1),'1. Inputs'!$B$15))*'1. Inputs'!$B$31)</f>
        <v>0</v>
      </c>
      <c r="N8" s="22" t="n">
        <f aca="false">IF(MAX(0,$A8-'1. Inputs'!$C$27-'1. Inputs'!$B$30+1)&lt;=0,0,'1. Inputs'!$B$27*('1. Inputs'!$B$5-'5. Diagnosing a miss'!$B$21)*MAX(0,$A8-'1. Inputs'!$C$27-'1. Inputs'!$B$30+1)^'1. Inputs'!$B$7/('1. Inputs'!$B$6^'1. Inputs'!$B$7+MAX(0,$A8-'1. Inputs'!$C$27-'1. Inputs'!$B$30+1)^'1. Inputs'!$B$7)*('1. Inputs'!$B$9+'1. Inputs'!$B$10*MAX(0,$A8-'1. Inputs'!$C$27-'1. Inputs'!$B$30+1)/(MAX(0,$A8-'1. Inputs'!$C$27-'1. Inputs'!$B$30+1)+'1. Inputs'!$B$11))*'1. Inputs'!$B$13*(1+'1. Inputs'!$B$14*MIN(MAX(0,$A8-'1. Inputs'!$C$27-'1. Inputs'!$B$30+1),'1. Inputs'!$B$15))*'1. Inputs'!$B$31)</f>
        <v>0</v>
      </c>
      <c r="O8" s="22" t="n">
        <f aca="false">SUM(K8:N8)</f>
        <v>0</v>
      </c>
      <c r="P8" s="22" t="n">
        <f aca="false">IF($A8=MAX('1. Inputs'!$B$17,1),'1. Inputs'!$B$3,0)+IF($A8-'1. Inputs'!$B$17&gt;=1,INDEX(O$3:O$86,$A8-'1. Inputs'!$B$17),0)</f>
        <v>0</v>
      </c>
      <c r="Q8" s="22" t="n">
        <f aca="false">Q7*(1-'1. Inputs'!$B$18)+P8</f>
        <v>0</v>
      </c>
      <c r="R8" s="22" t="n">
        <f aca="false">Q8*'1. Inputs'!$B$18</f>
        <v>0</v>
      </c>
      <c r="S8" s="22" t="n">
        <f aca="false">S7+O8-R8</f>
        <v>150000000</v>
      </c>
      <c r="T8" s="22" t="n">
        <f aca="false">IF(MAX(0,$A8-'1. Inputs'!$C$24-'1. Inputs'!$B$30+1)&lt;=0,0,'1. Inputs'!$B$24*'1. Inputs'!$B$5*MAX(0,$A8-'1. Inputs'!$C$24-'1. Inputs'!$B$30+1)^'1. Inputs'!$B$7/('1. Inputs'!$B$6^'1. Inputs'!$B$7+MAX(0,$A8-'1. Inputs'!$C$24-'1. Inputs'!$B$30+1)^'1. Inputs'!$B$7)*('1. Inputs'!$B$9+'1. Inputs'!$B$10*MAX(0,$A8-'1. Inputs'!$C$24-'1. Inputs'!$B$30+1)/(MAX(0,$A8-'1. Inputs'!$C$24-'1. Inputs'!$B$30+1)+'1. Inputs'!$B$11))*'1. Inputs'!$B$13*(1+'1. Inputs'!$B$14*MIN(MAX(0,$A8-'1. Inputs'!$C$24-'1. Inputs'!$B$30+1),'1. Inputs'!$B$15))*('1. Inputs'!$B$31*'5. Diagnosing a miss'!$B$22))</f>
        <v>0</v>
      </c>
      <c r="U8" s="22" t="n">
        <f aca="false">IF(MAX(0,$A8-'1. Inputs'!$C$25-'1. Inputs'!$B$30+1)&lt;=0,0,'1. Inputs'!$B$25*'1. Inputs'!$B$5*MAX(0,$A8-'1. Inputs'!$C$25-'1. Inputs'!$B$30+1)^'1. Inputs'!$B$7/('1. Inputs'!$B$6^'1. Inputs'!$B$7+MAX(0,$A8-'1. Inputs'!$C$25-'1. Inputs'!$B$30+1)^'1. Inputs'!$B$7)*('1. Inputs'!$B$9+'1. Inputs'!$B$10*MAX(0,$A8-'1. Inputs'!$C$25-'1. Inputs'!$B$30+1)/(MAX(0,$A8-'1. Inputs'!$C$25-'1. Inputs'!$B$30+1)+'1. Inputs'!$B$11))*'1. Inputs'!$B$13*(1+'1. Inputs'!$B$14*MIN(MAX(0,$A8-'1. Inputs'!$C$25-'1. Inputs'!$B$30+1),'1. Inputs'!$B$15))*('1. Inputs'!$B$31*'5. Diagnosing a miss'!$B$22))</f>
        <v>0</v>
      </c>
      <c r="V8" s="22" t="n">
        <f aca="false">IF(MAX(0,$A8-'1. Inputs'!$C$26-'1. Inputs'!$B$30+1)&lt;=0,0,'1. Inputs'!$B$26*'1. Inputs'!$B$5*MAX(0,$A8-'1. Inputs'!$C$26-'1. Inputs'!$B$30+1)^'1. Inputs'!$B$7/('1. Inputs'!$B$6^'1. Inputs'!$B$7+MAX(0,$A8-'1. Inputs'!$C$26-'1. Inputs'!$B$30+1)^'1. Inputs'!$B$7)*('1. Inputs'!$B$9+'1. Inputs'!$B$10*MAX(0,$A8-'1. Inputs'!$C$26-'1. Inputs'!$B$30+1)/(MAX(0,$A8-'1. Inputs'!$C$26-'1. Inputs'!$B$30+1)+'1. Inputs'!$B$11))*'1. Inputs'!$B$13*(1+'1. Inputs'!$B$14*MIN(MAX(0,$A8-'1. Inputs'!$C$26-'1. Inputs'!$B$30+1),'1. Inputs'!$B$15))*('1. Inputs'!$B$31*'5. Diagnosing a miss'!$B$22))</f>
        <v>0</v>
      </c>
      <c r="W8" s="22" t="n">
        <f aca="false">IF(MAX(0,$A8-'1. Inputs'!$C$27-'1. Inputs'!$B$30+1)&lt;=0,0,'1. Inputs'!$B$27*'1. Inputs'!$B$5*MAX(0,$A8-'1. Inputs'!$C$27-'1. Inputs'!$B$30+1)^'1. Inputs'!$B$7/('1. Inputs'!$B$6^'1. Inputs'!$B$7+MAX(0,$A8-'1. Inputs'!$C$27-'1. Inputs'!$B$30+1)^'1. Inputs'!$B$7)*('1. Inputs'!$B$9+'1. Inputs'!$B$10*MAX(0,$A8-'1. Inputs'!$C$27-'1. Inputs'!$B$30+1)/(MAX(0,$A8-'1. Inputs'!$C$27-'1. Inputs'!$B$30+1)+'1. Inputs'!$B$11))*'1. Inputs'!$B$13*(1+'1. Inputs'!$B$14*MIN(MAX(0,$A8-'1. Inputs'!$C$27-'1. Inputs'!$B$30+1),'1. Inputs'!$B$15))*('1. Inputs'!$B$31*'5. Diagnosing a miss'!$B$22))</f>
        <v>0</v>
      </c>
      <c r="X8" s="22" t="n">
        <f aca="false">SUM(T8:W8)</f>
        <v>0</v>
      </c>
      <c r="Y8" s="22" t="n">
        <f aca="false">IF($A8=MAX('1. Inputs'!$B$17,1),'1. Inputs'!$B$3,0)+IF($A8-'1. Inputs'!$B$17&gt;=1,INDEX(X$3:X$86,$A8-'1. Inputs'!$B$17),0)</f>
        <v>0</v>
      </c>
      <c r="Z8" s="22" t="n">
        <f aca="false">Z7*(1-'1. Inputs'!$B$18)+Y8</f>
        <v>0</v>
      </c>
      <c r="AA8" s="22" t="n">
        <f aca="false">Z8*'1. Inputs'!$B$18</f>
        <v>0</v>
      </c>
      <c r="AB8" s="22" t="n">
        <f aca="false">AB7+X8-AA8</f>
        <v>150000000</v>
      </c>
      <c r="AC8" s="22" t="n">
        <f aca="false">IF(MAX(0,$A8-'1. Inputs'!$C$24-('1. Inputs'!$B$30+'5. Diagnosing a miss'!$B$23)+1)&lt;=0,0,'1. Inputs'!$B$24*'1. Inputs'!$B$5*MAX(0,$A8-'1. Inputs'!$C$24-('1. Inputs'!$B$30+'5. Diagnosing a miss'!$B$23)+1)^'1. Inputs'!$B$7/('1. Inputs'!$B$6^'1. Inputs'!$B$7+MAX(0,$A8-'1. Inputs'!$C$24-('1. Inputs'!$B$30+'5. Diagnosing a miss'!$B$23)+1)^'1. Inputs'!$B$7)*('1. Inputs'!$B$9+'1. Inputs'!$B$10*MAX(0,$A8-'1. Inputs'!$C$24-('1. Inputs'!$B$30+'5. Diagnosing a miss'!$B$23)+1)/(MAX(0,$A8-'1. Inputs'!$C$24-('1. Inputs'!$B$30+'5. Diagnosing a miss'!$B$23)+1)+'1. Inputs'!$B$11))*'1. Inputs'!$B$13*(1+'1. Inputs'!$B$14*MIN(MAX(0,$A8-'1. Inputs'!$C$24-('1. Inputs'!$B$30+'5. Diagnosing a miss'!$B$23)+1),'1. Inputs'!$B$15))*'1. Inputs'!$B$31)</f>
        <v>0</v>
      </c>
      <c r="AD8" s="22" t="n">
        <f aca="false">IF(MAX(0,$A8-'1. Inputs'!$C$25-('1. Inputs'!$B$30+'5. Diagnosing a miss'!$B$23)+1)&lt;=0,0,'1. Inputs'!$B$25*'1. Inputs'!$B$5*MAX(0,$A8-'1. Inputs'!$C$25-('1. Inputs'!$B$30+'5. Diagnosing a miss'!$B$23)+1)^'1. Inputs'!$B$7/('1. Inputs'!$B$6^'1. Inputs'!$B$7+MAX(0,$A8-'1. Inputs'!$C$25-('1. Inputs'!$B$30+'5. Diagnosing a miss'!$B$23)+1)^'1. Inputs'!$B$7)*('1. Inputs'!$B$9+'1. Inputs'!$B$10*MAX(0,$A8-'1. Inputs'!$C$25-('1. Inputs'!$B$30+'5. Diagnosing a miss'!$B$23)+1)/(MAX(0,$A8-'1. Inputs'!$C$25-('1. Inputs'!$B$30+'5. Diagnosing a miss'!$B$23)+1)+'1. Inputs'!$B$11))*'1. Inputs'!$B$13*(1+'1. Inputs'!$B$14*MIN(MAX(0,$A8-'1. Inputs'!$C$25-('1. Inputs'!$B$30+'5. Diagnosing a miss'!$B$23)+1),'1. Inputs'!$B$15))*'1. Inputs'!$B$31)</f>
        <v>0</v>
      </c>
      <c r="AE8" s="22" t="n">
        <f aca="false">IF(MAX(0,$A8-'1. Inputs'!$C$26-('1. Inputs'!$B$30+'5. Diagnosing a miss'!$B$23)+1)&lt;=0,0,'1. Inputs'!$B$26*'1. Inputs'!$B$5*MAX(0,$A8-'1. Inputs'!$C$26-('1. Inputs'!$B$30+'5. Diagnosing a miss'!$B$23)+1)^'1. Inputs'!$B$7/('1. Inputs'!$B$6^'1. Inputs'!$B$7+MAX(0,$A8-'1. Inputs'!$C$26-('1. Inputs'!$B$30+'5. Diagnosing a miss'!$B$23)+1)^'1. Inputs'!$B$7)*('1. Inputs'!$B$9+'1. Inputs'!$B$10*MAX(0,$A8-'1. Inputs'!$C$26-('1. Inputs'!$B$30+'5. Diagnosing a miss'!$B$23)+1)/(MAX(0,$A8-'1. Inputs'!$C$26-('1. Inputs'!$B$30+'5. Diagnosing a miss'!$B$23)+1)+'1. Inputs'!$B$11))*'1. Inputs'!$B$13*(1+'1. Inputs'!$B$14*MIN(MAX(0,$A8-'1. Inputs'!$C$26-('1. Inputs'!$B$30+'5. Diagnosing a miss'!$B$23)+1),'1. Inputs'!$B$15))*'1. Inputs'!$B$31)</f>
        <v>0</v>
      </c>
      <c r="AF8" s="22" t="n">
        <f aca="false">IF(MAX(0,$A8-'1. Inputs'!$C$27-('1. Inputs'!$B$30+'5. Diagnosing a miss'!$B$23)+1)&lt;=0,0,'1. Inputs'!$B$27*'1. Inputs'!$B$5*MAX(0,$A8-'1. Inputs'!$C$27-('1. Inputs'!$B$30+'5. Diagnosing a miss'!$B$23)+1)^'1. Inputs'!$B$7/('1. Inputs'!$B$6^'1. Inputs'!$B$7+MAX(0,$A8-'1. Inputs'!$C$27-('1. Inputs'!$B$30+'5. Diagnosing a miss'!$B$23)+1)^'1. Inputs'!$B$7)*('1. Inputs'!$B$9+'1. Inputs'!$B$10*MAX(0,$A8-'1. Inputs'!$C$27-('1. Inputs'!$B$30+'5. Diagnosing a miss'!$B$23)+1)/(MAX(0,$A8-'1. Inputs'!$C$27-('1. Inputs'!$B$30+'5. Diagnosing a miss'!$B$23)+1)+'1. Inputs'!$B$11))*'1. Inputs'!$B$13*(1+'1. Inputs'!$B$14*MIN(MAX(0,$A8-'1. Inputs'!$C$27-('1. Inputs'!$B$30+'5. Diagnosing a miss'!$B$23)+1),'1. Inputs'!$B$15))*'1. Inputs'!$B$31)</f>
        <v>0</v>
      </c>
      <c r="AG8" s="22" t="n">
        <f aca="false">SUM(AC8:AF8)</f>
        <v>0</v>
      </c>
      <c r="AH8" s="22" t="n">
        <f aca="false">IF($A8=MAX('1. Inputs'!$B$17,1),'1. Inputs'!$B$3,0)+IF($A8-'1. Inputs'!$B$17&gt;=1,INDEX(AG$3:AG$86,$A8-'1. Inputs'!$B$17),0)</f>
        <v>0</v>
      </c>
      <c r="AI8" s="22" t="n">
        <f aca="false">AI7*(1-'1. Inputs'!$B$18)+AH8</f>
        <v>0</v>
      </c>
      <c r="AJ8" s="22" t="n">
        <f aca="false">AI8*'1. Inputs'!$B$18</f>
        <v>0</v>
      </c>
      <c r="AK8" s="22" t="n">
        <f aca="false">AK7+AG8-AJ8</f>
        <v>150000000</v>
      </c>
    </row>
    <row r="9" customFormat="false" ht="15" hidden="false" customHeight="false" outlineLevel="0" collapsed="false">
      <c r="A9" s="7" t="n">
        <v>7</v>
      </c>
      <c r="B9" s="22" t="n">
        <f aca="false">IF(MAX(0,$A9-'1. Inputs'!$C$24-'1. Inputs'!$B$30+1)&lt;=0,0,'1. Inputs'!$B$24*'1. Inputs'!$B$5*MAX(0,$A9-'1. Inputs'!$C$24-'1. Inputs'!$B$30+1)^'1. Inputs'!$B$7/('1. Inputs'!$B$6^'1. Inputs'!$B$7+MAX(0,$A9-'1. Inputs'!$C$24-'1. Inputs'!$B$30+1)^'1. Inputs'!$B$7)*('1. Inputs'!$B$9+'1. Inputs'!$B$10*MAX(0,$A9-'1. Inputs'!$C$24-'1. Inputs'!$B$30+1)/(MAX(0,$A9-'1. Inputs'!$C$24-'1. Inputs'!$B$30+1)+'1. Inputs'!$B$11))*'1. Inputs'!$B$13*(1+'1. Inputs'!$B$14*MIN(MAX(0,$A9-'1. Inputs'!$C$24-'1. Inputs'!$B$30+1),'1. Inputs'!$B$15))*'1. Inputs'!$B$31)</f>
        <v>22032</v>
      </c>
      <c r="C9" s="22" t="n">
        <f aca="false">IF(MAX(0,$A9-'1. Inputs'!$C$25-'1. Inputs'!$B$30+1)&lt;=0,0,'1. Inputs'!$B$25*'1. Inputs'!$B$5*MAX(0,$A9-'1. Inputs'!$C$25-'1. Inputs'!$B$30+1)^'1. Inputs'!$B$7/('1. Inputs'!$B$6^'1. Inputs'!$B$7+MAX(0,$A9-'1. Inputs'!$C$25-'1. Inputs'!$B$30+1)^'1. Inputs'!$B$7)*('1. Inputs'!$B$9+'1. Inputs'!$B$10*MAX(0,$A9-'1. Inputs'!$C$25-'1. Inputs'!$B$30+1)/(MAX(0,$A9-'1. Inputs'!$C$25-'1. Inputs'!$B$30+1)+'1. Inputs'!$B$11))*'1. Inputs'!$B$13*(1+'1. Inputs'!$B$14*MIN(MAX(0,$A9-'1. Inputs'!$C$25-'1. Inputs'!$B$30+1),'1. Inputs'!$B$15))*'1. Inputs'!$B$31)</f>
        <v>0</v>
      </c>
      <c r="D9" s="22" t="n">
        <f aca="false">IF(MAX(0,$A9-'1. Inputs'!$C$26-'1. Inputs'!$B$30+1)&lt;=0,0,'1. Inputs'!$B$26*'1. Inputs'!$B$5*MAX(0,$A9-'1. Inputs'!$C$26-'1. Inputs'!$B$30+1)^'1. Inputs'!$B$7/('1. Inputs'!$B$6^'1. Inputs'!$B$7+MAX(0,$A9-'1. Inputs'!$C$26-'1. Inputs'!$B$30+1)^'1. Inputs'!$B$7)*('1. Inputs'!$B$9+'1. Inputs'!$B$10*MAX(0,$A9-'1. Inputs'!$C$26-'1. Inputs'!$B$30+1)/(MAX(0,$A9-'1. Inputs'!$C$26-'1. Inputs'!$B$30+1)+'1. Inputs'!$B$11))*'1. Inputs'!$B$13*(1+'1. Inputs'!$B$14*MIN(MAX(0,$A9-'1. Inputs'!$C$26-'1. Inputs'!$B$30+1),'1. Inputs'!$B$15))*'1. Inputs'!$B$31)</f>
        <v>0</v>
      </c>
      <c r="E9" s="22" t="n">
        <f aca="false">IF(MAX(0,$A9-'1. Inputs'!$C$27-'1. Inputs'!$B$30+1)&lt;=0,0,'1. Inputs'!$B$27*'1. Inputs'!$B$5*MAX(0,$A9-'1. Inputs'!$C$27-'1. Inputs'!$B$30+1)^'1. Inputs'!$B$7/('1. Inputs'!$B$6^'1. Inputs'!$B$7+MAX(0,$A9-'1. Inputs'!$C$27-'1. Inputs'!$B$30+1)^'1. Inputs'!$B$7)*('1. Inputs'!$B$9+'1. Inputs'!$B$10*MAX(0,$A9-'1. Inputs'!$C$27-'1. Inputs'!$B$30+1)/(MAX(0,$A9-'1. Inputs'!$C$27-'1. Inputs'!$B$30+1)+'1. Inputs'!$B$11))*'1. Inputs'!$B$13*(1+'1. Inputs'!$B$14*MIN(MAX(0,$A9-'1. Inputs'!$C$27-'1. Inputs'!$B$30+1),'1. Inputs'!$B$15))*'1. Inputs'!$B$31)</f>
        <v>0</v>
      </c>
      <c r="F9" s="22" t="n">
        <f aca="false">SUM(B9:E9)</f>
        <v>22032</v>
      </c>
      <c r="G9" s="22" t="n">
        <f aca="false">IF($A9=MAX('1. Inputs'!$B$17,1),'1. Inputs'!$B$3,0)+IF($A9-'1. Inputs'!$B$17&gt;=1,INDEX(F$3:F$86,$A9-'1. Inputs'!$B$17),0)</f>
        <v>0</v>
      </c>
      <c r="H9" s="22" t="n">
        <f aca="false">H8*(1-'1. Inputs'!$B$18)+G9</f>
        <v>0</v>
      </c>
      <c r="I9" s="22" t="n">
        <f aca="false">H9*'1. Inputs'!$B$18</f>
        <v>0</v>
      </c>
      <c r="J9" s="22" t="n">
        <f aca="false">J8+F9-I9</f>
        <v>150022032</v>
      </c>
      <c r="K9" s="22" t="n">
        <f aca="false">IF(MAX(0,$A9-'1. Inputs'!$C$24-'1. Inputs'!$B$30+1)&lt;=0,0,'1. Inputs'!$B$24*('1. Inputs'!$B$5-'5. Diagnosing a miss'!$B$21)*MAX(0,$A9-'1. Inputs'!$C$24-'1. Inputs'!$B$30+1)^'1. Inputs'!$B$7/('1. Inputs'!$B$6^'1. Inputs'!$B$7+MAX(0,$A9-'1. Inputs'!$C$24-'1. Inputs'!$B$30+1)^'1. Inputs'!$B$7)*('1. Inputs'!$B$9+'1. Inputs'!$B$10*MAX(0,$A9-'1. Inputs'!$C$24-'1. Inputs'!$B$30+1)/(MAX(0,$A9-'1. Inputs'!$C$24-'1. Inputs'!$B$30+1)+'1. Inputs'!$B$11))*'1. Inputs'!$B$13*(1+'1. Inputs'!$B$14*MIN(MAX(0,$A9-'1. Inputs'!$C$24-'1. Inputs'!$B$30+1),'1. Inputs'!$B$15))*'1. Inputs'!$B$31)</f>
        <v>19584</v>
      </c>
      <c r="L9" s="22" t="n">
        <f aca="false">IF(MAX(0,$A9-'1. Inputs'!$C$25-'1. Inputs'!$B$30+1)&lt;=0,0,'1. Inputs'!$B$25*('1. Inputs'!$B$5-'5. Diagnosing a miss'!$B$21)*MAX(0,$A9-'1. Inputs'!$C$25-'1. Inputs'!$B$30+1)^'1. Inputs'!$B$7/('1. Inputs'!$B$6^'1. Inputs'!$B$7+MAX(0,$A9-'1. Inputs'!$C$25-'1. Inputs'!$B$30+1)^'1. Inputs'!$B$7)*('1. Inputs'!$B$9+'1. Inputs'!$B$10*MAX(0,$A9-'1. Inputs'!$C$25-'1. Inputs'!$B$30+1)/(MAX(0,$A9-'1. Inputs'!$C$25-'1. Inputs'!$B$30+1)+'1. Inputs'!$B$11))*'1. Inputs'!$B$13*(1+'1. Inputs'!$B$14*MIN(MAX(0,$A9-'1. Inputs'!$C$25-'1. Inputs'!$B$30+1),'1. Inputs'!$B$15))*'1. Inputs'!$B$31)</f>
        <v>0</v>
      </c>
      <c r="M9" s="22" t="n">
        <f aca="false">IF(MAX(0,$A9-'1. Inputs'!$C$26-'1. Inputs'!$B$30+1)&lt;=0,0,'1. Inputs'!$B$26*('1. Inputs'!$B$5-'5. Diagnosing a miss'!$B$21)*MAX(0,$A9-'1. Inputs'!$C$26-'1. Inputs'!$B$30+1)^'1. Inputs'!$B$7/('1. Inputs'!$B$6^'1. Inputs'!$B$7+MAX(0,$A9-'1. Inputs'!$C$26-'1. Inputs'!$B$30+1)^'1. Inputs'!$B$7)*('1. Inputs'!$B$9+'1. Inputs'!$B$10*MAX(0,$A9-'1. Inputs'!$C$26-'1. Inputs'!$B$30+1)/(MAX(0,$A9-'1. Inputs'!$C$26-'1. Inputs'!$B$30+1)+'1. Inputs'!$B$11))*'1. Inputs'!$B$13*(1+'1. Inputs'!$B$14*MIN(MAX(0,$A9-'1. Inputs'!$C$26-'1. Inputs'!$B$30+1),'1. Inputs'!$B$15))*'1. Inputs'!$B$31)</f>
        <v>0</v>
      </c>
      <c r="N9" s="22" t="n">
        <f aca="false">IF(MAX(0,$A9-'1. Inputs'!$C$27-'1. Inputs'!$B$30+1)&lt;=0,0,'1. Inputs'!$B$27*('1. Inputs'!$B$5-'5. Diagnosing a miss'!$B$21)*MAX(0,$A9-'1. Inputs'!$C$27-'1. Inputs'!$B$30+1)^'1. Inputs'!$B$7/('1. Inputs'!$B$6^'1. Inputs'!$B$7+MAX(0,$A9-'1. Inputs'!$C$27-'1. Inputs'!$B$30+1)^'1. Inputs'!$B$7)*('1. Inputs'!$B$9+'1. Inputs'!$B$10*MAX(0,$A9-'1. Inputs'!$C$27-'1. Inputs'!$B$30+1)/(MAX(0,$A9-'1. Inputs'!$C$27-'1. Inputs'!$B$30+1)+'1. Inputs'!$B$11))*'1. Inputs'!$B$13*(1+'1. Inputs'!$B$14*MIN(MAX(0,$A9-'1. Inputs'!$C$27-'1. Inputs'!$B$30+1),'1. Inputs'!$B$15))*'1. Inputs'!$B$31)</f>
        <v>0</v>
      </c>
      <c r="O9" s="22" t="n">
        <f aca="false">SUM(K9:N9)</f>
        <v>19584</v>
      </c>
      <c r="P9" s="22" t="n">
        <f aca="false">IF($A9=MAX('1. Inputs'!$B$17,1),'1. Inputs'!$B$3,0)+IF($A9-'1. Inputs'!$B$17&gt;=1,INDEX(O$3:O$86,$A9-'1. Inputs'!$B$17),0)</f>
        <v>0</v>
      </c>
      <c r="Q9" s="22" t="n">
        <f aca="false">Q8*(1-'1. Inputs'!$B$18)+P9</f>
        <v>0</v>
      </c>
      <c r="R9" s="22" t="n">
        <f aca="false">Q9*'1. Inputs'!$B$18</f>
        <v>0</v>
      </c>
      <c r="S9" s="22" t="n">
        <f aca="false">S8+O9-R9</f>
        <v>150019584</v>
      </c>
      <c r="T9" s="22" t="n">
        <f aca="false">IF(MAX(0,$A9-'1. Inputs'!$C$24-'1. Inputs'!$B$30+1)&lt;=0,0,'1. Inputs'!$B$24*'1. Inputs'!$B$5*MAX(0,$A9-'1. Inputs'!$C$24-'1. Inputs'!$B$30+1)^'1. Inputs'!$B$7/('1. Inputs'!$B$6^'1. Inputs'!$B$7+MAX(0,$A9-'1. Inputs'!$C$24-'1. Inputs'!$B$30+1)^'1. Inputs'!$B$7)*('1. Inputs'!$B$9+'1. Inputs'!$B$10*MAX(0,$A9-'1. Inputs'!$C$24-'1. Inputs'!$B$30+1)/(MAX(0,$A9-'1. Inputs'!$C$24-'1. Inputs'!$B$30+1)+'1. Inputs'!$B$11))*'1. Inputs'!$B$13*(1+'1. Inputs'!$B$14*MIN(MAX(0,$A9-'1. Inputs'!$C$24-'1. Inputs'!$B$30+1),'1. Inputs'!$B$15))*('1. Inputs'!$B$31*'5. Diagnosing a miss'!$B$22))</f>
        <v>19828.8</v>
      </c>
      <c r="U9" s="22" t="n">
        <f aca="false">IF(MAX(0,$A9-'1. Inputs'!$C$25-'1. Inputs'!$B$30+1)&lt;=0,0,'1. Inputs'!$B$25*'1. Inputs'!$B$5*MAX(0,$A9-'1. Inputs'!$C$25-'1. Inputs'!$B$30+1)^'1. Inputs'!$B$7/('1. Inputs'!$B$6^'1. Inputs'!$B$7+MAX(0,$A9-'1. Inputs'!$C$25-'1. Inputs'!$B$30+1)^'1. Inputs'!$B$7)*('1. Inputs'!$B$9+'1. Inputs'!$B$10*MAX(0,$A9-'1. Inputs'!$C$25-'1. Inputs'!$B$30+1)/(MAX(0,$A9-'1. Inputs'!$C$25-'1. Inputs'!$B$30+1)+'1. Inputs'!$B$11))*'1. Inputs'!$B$13*(1+'1. Inputs'!$B$14*MIN(MAX(0,$A9-'1. Inputs'!$C$25-'1. Inputs'!$B$30+1),'1. Inputs'!$B$15))*('1. Inputs'!$B$31*'5. Diagnosing a miss'!$B$22))</f>
        <v>0</v>
      </c>
      <c r="V9" s="22" t="n">
        <f aca="false">IF(MAX(0,$A9-'1. Inputs'!$C$26-'1. Inputs'!$B$30+1)&lt;=0,0,'1. Inputs'!$B$26*'1. Inputs'!$B$5*MAX(0,$A9-'1. Inputs'!$C$26-'1. Inputs'!$B$30+1)^'1. Inputs'!$B$7/('1. Inputs'!$B$6^'1. Inputs'!$B$7+MAX(0,$A9-'1. Inputs'!$C$26-'1. Inputs'!$B$30+1)^'1. Inputs'!$B$7)*('1. Inputs'!$B$9+'1. Inputs'!$B$10*MAX(0,$A9-'1. Inputs'!$C$26-'1. Inputs'!$B$30+1)/(MAX(0,$A9-'1. Inputs'!$C$26-'1. Inputs'!$B$30+1)+'1. Inputs'!$B$11))*'1. Inputs'!$B$13*(1+'1. Inputs'!$B$14*MIN(MAX(0,$A9-'1. Inputs'!$C$26-'1. Inputs'!$B$30+1),'1. Inputs'!$B$15))*('1. Inputs'!$B$31*'5. Diagnosing a miss'!$B$22))</f>
        <v>0</v>
      </c>
      <c r="W9" s="22" t="n">
        <f aca="false">IF(MAX(0,$A9-'1. Inputs'!$C$27-'1. Inputs'!$B$30+1)&lt;=0,0,'1. Inputs'!$B$27*'1. Inputs'!$B$5*MAX(0,$A9-'1. Inputs'!$C$27-'1. Inputs'!$B$30+1)^'1. Inputs'!$B$7/('1. Inputs'!$B$6^'1. Inputs'!$B$7+MAX(0,$A9-'1. Inputs'!$C$27-'1. Inputs'!$B$30+1)^'1. Inputs'!$B$7)*('1. Inputs'!$B$9+'1. Inputs'!$B$10*MAX(0,$A9-'1. Inputs'!$C$27-'1. Inputs'!$B$30+1)/(MAX(0,$A9-'1. Inputs'!$C$27-'1. Inputs'!$B$30+1)+'1. Inputs'!$B$11))*'1. Inputs'!$B$13*(1+'1. Inputs'!$B$14*MIN(MAX(0,$A9-'1. Inputs'!$C$27-'1. Inputs'!$B$30+1),'1. Inputs'!$B$15))*('1. Inputs'!$B$31*'5. Diagnosing a miss'!$B$22))</f>
        <v>0</v>
      </c>
      <c r="X9" s="22" t="n">
        <f aca="false">SUM(T9:W9)</f>
        <v>19828.8</v>
      </c>
      <c r="Y9" s="22" t="n">
        <f aca="false">IF($A9=MAX('1. Inputs'!$B$17,1),'1. Inputs'!$B$3,0)+IF($A9-'1. Inputs'!$B$17&gt;=1,INDEX(X$3:X$86,$A9-'1. Inputs'!$B$17),0)</f>
        <v>0</v>
      </c>
      <c r="Z9" s="22" t="n">
        <f aca="false">Z8*(1-'1. Inputs'!$B$18)+Y9</f>
        <v>0</v>
      </c>
      <c r="AA9" s="22" t="n">
        <f aca="false">Z9*'1. Inputs'!$B$18</f>
        <v>0</v>
      </c>
      <c r="AB9" s="22" t="n">
        <f aca="false">AB8+X9-AA9</f>
        <v>150019828.8</v>
      </c>
      <c r="AC9" s="22" t="n">
        <f aca="false">IF(MAX(0,$A9-'1. Inputs'!$C$24-('1. Inputs'!$B$30+'5. Diagnosing a miss'!$B$23)+1)&lt;=0,0,'1. Inputs'!$B$24*'1. Inputs'!$B$5*MAX(0,$A9-'1. Inputs'!$C$24-('1. Inputs'!$B$30+'5. Diagnosing a miss'!$B$23)+1)^'1. Inputs'!$B$7/('1. Inputs'!$B$6^'1. Inputs'!$B$7+MAX(0,$A9-'1. Inputs'!$C$24-('1. Inputs'!$B$30+'5. Diagnosing a miss'!$B$23)+1)^'1. Inputs'!$B$7)*('1. Inputs'!$B$9+'1. Inputs'!$B$10*MAX(0,$A9-'1. Inputs'!$C$24-('1. Inputs'!$B$30+'5. Diagnosing a miss'!$B$23)+1)/(MAX(0,$A9-'1. Inputs'!$C$24-('1. Inputs'!$B$30+'5. Diagnosing a miss'!$B$23)+1)+'1. Inputs'!$B$11))*'1. Inputs'!$B$13*(1+'1. Inputs'!$B$14*MIN(MAX(0,$A9-'1. Inputs'!$C$24-('1. Inputs'!$B$30+'5. Diagnosing a miss'!$B$23)+1),'1. Inputs'!$B$15))*'1. Inputs'!$B$31)</f>
        <v>0</v>
      </c>
      <c r="AD9" s="22" t="n">
        <f aca="false">IF(MAX(0,$A9-'1. Inputs'!$C$25-('1. Inputs'!$B$30+'5. Diagnosing a miss'!$B$23)+1)&lt;=0,0,'1. Inputs'!$B$25*'1. Inputs'!$B$5*MAX(0,$A9-'1. Inputs'!$C$25-('1. Inputs'!$B$30+'5. Diagnosing a miss'!$B$23)+1)^'1. Inputs'!$B$7/('1. Inputs'!$B$6^'1. Inputs'!$B$7+MAX(0,$A9-'1. Inputs'!$C$25-('1. Inputs'!$B$30+'5. Diagnosing a miss'!$B$23)+1)^'1. Inputs'!$B$7)*('1. Inputs'!$B$9+'1. Inputs'!$B$10*MAX(0,$A9-'1. Inputs'!$C$25-('1. Inputs'!$B$30+'5. Diagnosing a miss'!$B$23)+1)/(MAX(0,$A9-'1. Inputs'!$C$25-('1. Inputs'!$B$30+'5. Diagnosing a miss'!$B$23)+1)+'1. Inputs'!$B$11))*'1. Inputs'!$B$13*(1+'1. Inputs'!$B$14*MIN(MAX(0,$A9-'1. Inputs'!$C$25-('1. Inputs'!$B$30+'5. Diagnosing a miss'!$B$23)+1),'1. Inputs'!$B$15))*'1. Inputs'!$B$31)</f>
        <v>0</v>
      </c>
      <c r="AE9" s="22" t="n">
        <f aca="false">IF(MAX(0,$A9-'1. Inputs'!$C$26-('1. Inputs'!$B$30+'5. Diagnosing a miss'!$B$23)+1)&lt;=0,0,'1. Inputs'!$B$26*'1. Inputs'!$B$5*MAX(0,$A9-'1. Inputs'!$C$26-('1. Inputs'!$B$30+'5. Diagnosing a miss'!$B$23)+1)^'1. Inputs'!$B$7/('1. Inputs'!$B$6^'1. Inputs'!$B$7+MAX(0,$A9-'1. Inputs'!$C$26-('1. Inputs'!$B$30+'5. Diagnosing a miss'!$B$23)+1)^'1. Inputs'!$B$7)*('1. Inputs'!$B$9+'1. Inputs'!$B$10*MAX(0,$A9-'1. Inputs'!$C$26-('1. Inputs'!$B$30+'5. Diagnosing a miss'!$B$23)+1)/(MAX(0,$A9-'1. Inputs'!$C$26-('1. Inputs'!$B$30+'5. Diagnosing a miss'!$B$23)+1)+'1. Inputs'!$B$11))*'1. Inputs'!$B$13*(1+'1. Inputs'!$B$14*MIN(MAX(0,$A9-'1. Inputs'!$C$26-('1. Inputs'!$B$30+'5. Diagnosing a miss'!$B$23)+1),'1. Inputs'!$B$15))*'1. Inputs'!$B$31)</f>
        <v>0</v>
      </c>
      <c r="AF9" s="22" t="n">
        <f aca="false">IF(MAX(0,$A9-'1. Inputs'!$C$27-('1. Inputs'!$B$30+'5. Diagnosing a miss'!$B$23)+1)&lt;=0,0,'1. Inputs'!$B$27*'1. Inputs'!$B$5*MAX(0,$A9-'1. Inputs'!$C$27-('1. Inputs'!$B$30+'5. Diagnosing a miss'!$B$23)+1)^'1. Inputs'!$B$7/('1. Inputs'!$B$6^'1. Inputs'!$B$7+MAX(0,$A9-'1. Inputs'!$C$27-('1. Inputs'!$B$30+'5. Diagnosing a miss'!$B$23)+1)^'1. Inputs'!$B$7)*('1. Inputs'!$B$9+'1. Inputs'!$B$10*MAX(0,$A9-'1. Inputs'!$C$27-('1. Inputs'!$B$30+'5. Diagnosing a miss'!$B$23)+1)/(MAX(0,$A9-'1. Inputs'!$C$27-('1. Inputs'!$B$30+'5. Diagnosing a miss'!$B$23)+1)+'1. Inputs'!$B$11))*'1. Inputs'!$B$13*(1+'1. Inputs'!$B$14*MIN(MAX(0,$A9-'1. Inputs'!$C$27-('1. Inputs'!$B$30+'5. Diagnosing a miss'!$B$23)+1),'1. Inputs'!$B$15))*'1. Inputs'!$B$31)</f>
        <v>0</v>
      </c>
      <c r="AG9" s="22" t="n">
        <f aca="false">SUM(AC9:AF9)</f>
        <v>0</v>
      </c>
      <c r="AH9" s="22" t="n">
        <f aca="false">IF($A9=MAX('1. Inputs'!$B$17,1),'1. Inputs'!$B$3,0)+IF($A9-'1. Inputs'!$B$17&gt;=1,INDEX(AG$3:AG$86,$A9-'1. Inputs'!$B$17),0)</f>
        <v>0</v>
      </c>
      <c r="AI9" s="22" t="n">
        <f aca="false">AI8*(1-'1. Inputs'!$B$18)+AH9</f>
        <v>0</v>
      </c>
      <c r="AJ9" s="22" t="n">
        <f aca="false">AI9*'1. Inputs'!$B$18</f>
        <v>0</v>
      </c>
      <c r="AK9" s="22" t="n">
        <f aca="false">AK8+AG9-AJ9</f>
        <v>150000000</v>
      </c>
    </row>
    <row r="10" customFormat="false" ht="15" hidden="false" customHeight="false" outlineLevel="0" collapsed="false">
      <c r="A10" s="7" t="n">
        <v>8</v>
      </c>
      <c r="B10" s="22" t="n">
        <f aca="false">IF(MAX(0,$A10-'1. Inputs'!$C$24-'1. Inputs'!$B$30+1)&lt;=0,0,'1. Inputs'!$B$24*'1. Inputs'!$B$5*MAX(0,$A10-'1. Inputs'!$C$24-'1. Inputs'!$B$30+1)^'1. Inputs'!$B$7/('1. Inputs'!$B$6^'1. Inputs'!$B$7+MAX(0,$A10-'1. Inputs'!$C$24-'1. Inputs'!$B$30+1)^'1. Inputs'!$B$7)*('1. Inputs'!$B$9+'1. Inputs'!$B$10*MAX(0,$A10-'1. Inputs'!$C$24-'1. Inputs'!$B$30+1)/(MAX(0,$A10-'1. Inputs'!$C$24-'1. Inputs'!$B$30+1)+'1. Inputs'!$B$11))*'1. Inputs'!$B$13*(1+'1. Inputs'!$B$14*MIN(MAX(0,$A10-'1. Inputs'!$C$24-'1. Inputs'!$B$30+1),'1. Inputs'!$B$15))*'1. Inputs'!$B$31)</f>
        <v>96198.7764705882</v>
      </c>
      <c r="C10" s="22" t="n">
        <f aca="false">IF(MAX(0,$A10-'1. Inputs'!$C$25-'1. Inputs'!$B$30+1)&lt;=0,0,'1. Inputs'!$B$25*'1. Inputs'!$B$5*MAX(0,$A10-'1. Inputs'!$C$25-'1. Inputs'!$B$30+1)^'1. Inputs'!$B$7/('1. Inputs'!$B$6^'1. Inputs'!$B$7+MAX(0,$A10-'1. Inputs'!$C$25-'1. Inputs'!$B$30+1)^'1. Inputs'!$B$7)*('1. Inputs'!$B$9+'1. Inputs'!$B$10*MAX(0,$A10-'1. Inputs'!$C$25-'1. Inputs'!$B$30+1)/(MAX(0,$A10-'1. Inputs'!$C$25-'1. Inputs'!$B$30+1)+'1. Inputs'!$B$11))*'1. Inputs'!$B$13*(1+'1. Inputs'!$B$14*MIN(MAX(0,$A10-'1. Inputs'!$C$25-'1. Inputs'!$B$30+1),'1. Inputs'!$B$15))*'1. Inputs'!$B$31)</f>
        <v>0</v>
      </c>
      <c r="D10" s="22" t="n">
        <f aca="false">IF(MAX(0,$A10-'1. Inputs'!$C$26-'1. Inputs'!$B$30+1)&lt;=0,0,'1. Inputs'!$B$26*'1. Inputs'!$B$5*MAX(0,$A10-'1. Inputs'!$C$26-'1. Inputs'!$B$30+1)^'1. Inputs'!$B$7/('1. Inputs'!$B$6^'1. Inputs'!$B$7+MAX(0,$A10-'1. Inputs'!$C$26-'1. Inputs'!$B$30+1)^'1. Inputs'!$B$7)*('1. Inputs'!$B$9+'1. Inputs'!$B$10*MAX(0,$A10-'1. Inputs'!$C$26-'1. Inputs'!$B$30+1)/(MAX(0,$A10-'1. Inputs'!$C$26-'1. Inputs'!$B$30+1)+'1. Inputs'!$B$11))*'1. Inputs'!$B$13*(1+'1. Inputs'!$B$14*MIN(MAX(0,$A10-'1. Inputs'!$C$26-'1. Inputs'!$B$30+1),'1. Inputs'!$B$15))*'1. Inputs'!$B$31)</f>
        <v>0</v>
      </c>
      <c r="E10" s="22" t="n">
        <f aca="false">IF(MAX(0,$A10-'1. Inputs'!$C$27-'1. Inputs'!$B$30+1)&lt;=0,0,'1. Inputs'!$B$27*'1. Inputs'!$B$5*MAX(0,$A10-'1. Inputs'!$C$27-'1. Inputs'!$B$30+1)^'1. Inputs'!$B$7/('1. Inputs'!$B$6^'1. Inputs'!$B$7+MAX(0,$A10-'1. Inputs'!$C$27-'1. Inputs'!$B$30+1)^'1. Inputs'!$B$7)*('1. Inputs'!$B$9+'1. Inputs'!$B$10*MAX(0,$A10-'1. Inputs'!$C$27-'1. Inputs'!$B$30+1)/(MAX(0,$A10-'1. Inputs'!$C$27-'1. Inputs'!$B$30+1)+'1. Inputs'!$B$11))*'1. Inputs'!$B$13*(1+'1. Inputs'!$B$14*MIN(MAX(0,$A10-'1. Inputs'!$C$27-'1. Inputs'!$B$30+1),'1. Inputs'!$B$15))*'1. Inputs'!$B$31)</f>
        <v>0</v>
      </c>
      <c r="F10" s="22" t="n">
        <f aca="false">SUM(B10:E10)</f>
        <v>96198.7764705882</v>
      </c>
      <c r="G10" s="22" t="n">
        <f aca="false">IF($A10=MAX('1. Inputs'!$B$17,1),'1. Inputs'!$B$3,0)+IF($A10-'1. Inputs'!$B$17&gt;=1,INDEX(F$3:F$86,$A10-'1. Inputs'!$B$17),0)</f>
        <v>0</v>
      </c>
      <c r="H10" s="22" t="n">
        <f aca="false">H9*(1-'1. Inputs'!$B$18)+G10</f>
        <v>0</v>
      </c>
      <c r="I10" s="22" t="n">
        <f aca="false">H10*'1. Inputs'!$B$18</f>
        <v>0</v>
      </c>
      <c r="J10" s="22" t="n">
        <f aca="false">J9+F10-I10</f>
        <v>150118230.776471</v>
      </c>
      <c r="K10" s="22" t="n">
        <f aca="false">IF(MAX(0,$A10-'1. Inputs'!$C$24-'1. Inputs'!$B$30+1)&lt;=0,0,'1. Inputs'!$B$24*('1. Inputs'!$B$5-'5. Diagnosing a miss'!$B$21)*MAX(0,$A10-'1. Inputs'!$C$24-'1. Inputs'!$B$30+1)^'1. Inputs'!$B$7/('1. Inputs'!$B$6^'1. Inputs'!$B$7+MAX(0,$A10-'1. Inputs'!$C$24-'1. Inputs'!$B$30+1)^'1. Inputs'!$B$7)*('1. Inputs'!$B$9+'1. Inputs'!$B$10*MAX(0,$A10-'1. Inputs'!$C$24-'1. Inputs'!$B$30+1)/(MAX(0,$A10-'1. Inputs'!$C$24-'1. Inputs'!$B$30+1)+'1. Inputs'!$B$11))*'1. Inputs'!$B$13*(1+'1. Inputs'!$B$14*MIN(MAX(0,$A10-'1. Inputs'!$C$24-'1. Inputs'!$B$30+1),'1. Inputs'!$B$15))*'1. Inputs'!$B$31)</f>
        <v>85510.0235294118</v>
      </c>
      <c r="L10" s="22" t="n">
        <f aca="false">IF(MAX(0,$A10-'1. Inputs'!$C$25-'1. Inputs'!$B$30+1)&lt;=0,0,'1. Inputs'!$B$25*('1. Inputs'!$B$5-'5. Diagnosing a miss'!$B$21)*MAX(0,$A10-'1. Inputs'!$C$25-'1. Inputs'!$B$30+1)^'1. Inputs'!$B$7/('1. Inputs'!$B$6^'1. Inputs'!$B$7+MAX(0,$A10-'1. Inputs'!$C$25-'1. Inputs'!$B$30+1)^'1. Inputs'!$B$7)*('1. Inputs'!$B$9+'1. Inputs'!$B$10*MAX(0,$A10-'1. Inputs'!$C$25-'1. Inputs'!$B$30+1)/(MAX(0,$A10-'1. Inputs'!$C$25-'1. Inputs'!$B$30+1)+'1. Inputs'!$B$11))*'1. Inputs'!$B$13*(1+'1. Inputs'!$B$14*MIN(MAX(0,$A10-'1. Inputs'!$C$25-'1. Inputs'!$B$30+1),'1. Inputs'!$B$15))*'1. Inputs'!$B$31)</f>
        <v>0</v>
      </c>
      <c r="M10" s="22" t="n">
        <f aca="false">IF(MAX(0,$A10-'1. Inputs'!$C$26-'1. Inputs'!$B$30+1)&lt;=0,0,'1. Inputs'!$B$26*('1. Inputs'!$B$5-'5. Diagnosing a miss'!$B$21)*MAX(0,$A10-'1. Inputs'!$C$26-'1. Inputs'!$B$30+1)^'1. Inputs'!$B$7/('1. Inputs'!$B$6^'1. Inputs'!$B$7+MAX(0,$A10-'1. Inputs'!$C$26-'1. Inputs'!$B$30+1)^'1. Inputs'!$B$7)*('1. Inputs'!$B$9+'1. Inputs'!$B$10*MAX(0,$A10-'1. Inputs'!$C$26-'1. Inputs'!$B$30+1)/(MAX(0,$A10-'1. Inputs'!$C$26-'1. Inputs'!$B$30+1)+'1. Inputs'!$B$11))*'1. Inputs'!$B$13*(1+'1. Inputs'!$B$14*MIN(MAX(0,$A10-'1. Inputs'!$C$26-'1. Inputs'!$B$30+1),'1. Inputs'!$B$15))*'1. Inputs'!$B$31)</f>
        <v>0</v>
      </c>
      <c r="N10" s="22" t="n">
        <f aca="false">IF(MAX(0,$A10-'1. Inputs'!$C$27-'1. Inputs'!$B$30+1)&lt;=0,0,'1. Inputs'!$B$27*('1. Inputs'!$B$5-'5. Diagnosing a miss'!$B$21)*MAX(0,$A10-'1. Inputs'!$C$27-'1. Inputs'!$B$30+1)^'1. Inputs'!$B$7/('1. Inputs'!$B$6^'1. Inputs'!$B$7+MAX(0,$A10-'1. Inputs'!$C$27-'1. Inputs'!$B$30+1)^'1. Inputs'!$B$7)*('1. Inputs'!$B$9+'1. Inputs'!$B$10*MAX(0,$A10-'1. Inputs'!$C$27-'1. Inputs'!$B$30+1)/(MAX(0,$A10-'1. Inputs'!$C$27-'1. Inputs'!$B$30+1)+'1. Inputs'!$B$11))*'1. Inputs'!$B$13*(1+'1. Inputs'!$B$14*MIN(MAX(0,$A10-'1. Inputs'!$C$27-'1. Inputs'!$B$30+1),'1. Inputs'!$B$15))*'1. Inputs'!$B$31)</f>
        <v>0</v>
      </c>
      <c r="O10" s="22" t="n">
        <f aca="false">SUM(K10:N10)</f>
        <v>85510.0235294118</v>
      </c>
      <c r="P10" s="22" t="n">
        <f aca="false">IF($A10=MAX('1. Inputs'!$B$17,1),'1. Inputs'!$B$3,0)+IF($A10-'1. Inputs'!$B$17&gt;=1,INDEX(O$3:O$86,$A10-'1. Inputs'!$B$17),0)</f>
        <v>0</v>
      </c>
      <c r="Q10" s="22" t="n">
        <f aca="false">Q9*(1-'1. Inputs'!$B$18)+P10</f>
        <v>0</v>
      </c>
      <c r="R10" s="22" t="n">
        <f aca="false">Q10*'1. Inputs'!$B$18</f>
        <v>0</v>
      </c>
      <c r="S10" s="22" t="n">
        <f aca="false">S9+O10-R10</f>
        <v>150105094.023529</v>
      </c>
      <c r="T10" s="22" t="n">
        <f aca="false">IF(MAX(0,$A10-'1. Inputs'!$C$24-'1. Inputs'!$B$30+1)&lt;=0,0,'1. Inputs'!$B$24*'1. Inputs'!$B$5*MAX(0,$A10-'1. Inputs'!$C$24-'1. Inputs'!$B$30+1)^'1. Inputs'!$B$7/('1. Inputs'!$B$6^'1. Inputs'!$B$7+MAX(0,$A10-'1. Inputs'!$C$24-'1. Inputs'!$B$30+1)^'1. Inputs'!$B$7)*('1. Inputs'!$B$9+'1. Inputs'!$B$10*MAX(0,$A10-'1. Inputs'!$C$24-'1. Inputs'!$B$30+1)/(MAX(0,$A10-'1. Inputs'!$C$24-'1. Inputs'!$B$30+1)+'1. Inputs'!$B$11))*'1. Inputs'!$B$13*(1+'1. Inputs'!$B$14*MIN(MAX(0,$A10-'1. Inputs'!$C$24-'1. Inputs'!$B$30+1),'1. Inputs'!$B$15))*('1. Inputs'!$B$31*'5. Diagnosing a miss'!$B$22))</f>
        <v>86578.8988235294</v>
      </c>
      <c r="U10" s="22" t="n">
        <f aca="false">IF(MAX(0,$A10-'1. Inputs'!$C$25-'1. Inputs'!$B$30+1)&lt;=0,0,'1. Inputs'!$B$25*'1. Inputs'!$B$5*MAX(0,$A10-'1. Inputs'!$C$25-'1. Inputs'!$B$30+1)^'1. Inputs'!$B$7/('1. Inputs'!$B$6^'1. Inputs'!$B$7+MAX(0,$A10-'1. Inputs'!$C$25-'1. Inputs'!$B$30+1)^'1. Inputs'!$B$7)*('1. Inputs'!$B$9+'1. Inputs'!$B$10*MAX(0,$A10-'1. Inputs'!$C$25-'1. Inputs'!$B$30+1)/(MAX(0,$A10-'1. Inputs'!$C$25-'1. Inputs'!$B$30+1)+'1. Inputs'!$B$11))*'1. Inputs'!$B$13*(1+'1. Inputs'!$B$14*MIN(MAX(0,$A10-'1. Inputs'!$C$25-'1. Inputs'!$B$30+1),'1. Inputs'!$B$15))*('1. Inputs'!$B$31*'5. Diagnosing a miss'!$B$22))</f>
        <v>0</v>
      </c>
      <c r="V10" s="22" t="n">
        <f aca="false">IF(MAX(0,$A10-'1. Inputs'!$C$26-'1. Inputs'!$B$30+1)&lt;=0,0,'1. Inputs'!$B$26*'1. Inputs'!$B$5*MAX(0,$A10-'1. Inputs'!$C$26-'1. Inputs'!$B$30+1)^'1. Inputs'!$B$7/('1. Inputs'!$B$6^'1. Inputs'!$B$7+MAX(0,$A10-'1. Inputs'!$C$26-'1. Inputs'!$B$30+1)^'1. Inputs'!$B$7)*('1. Inputs'!$B$9+'1. Inputs'!$B$10*MAX(0,$A10-'1. Inputs'!$C$26-'1. Inputs'!$B$30+1)/(MAX(0,$A10-'1. Inputs'!$C$26-'1. Inputs'!$B$30+1)+'1. Inputs'!$B$11))*'1. Inputs'!$B$13*(1+'1. Inputs'!$B$14*MIN(MAX(0,$A10-'1. Inputs'!$C$26-'1. Inputs'!$B$30+1),'1. Inputs'!$B$15))*('1. Inputs'!$B$31*'5. Diagnosing a miss'!$B$22))</f>
        <v>0</v>
      </c>
      <c r="W10" s="22" t="n">
        <f aca="false">IF(MAX(0,$A10-'1. Inputs'!$C$27-'1. Inputs'!$B$30+1)&lt;=0,0,'1. Inputs'!$B$27*'1. Inputs'!$B$5*MAX(0,$A10-'1. Inputs'!$C$27-'1. Inputs'!$B$30+1)^'1. Inputs'!$B$7/('1. Inputs'!$B$6^'1. Inputs'!$B$7+MAX(0,$A10-'1. Inputs'!$C$27-'1. Inputs'!$B$30+1)^'1. Inputs'!$B$7)*('1. Inputs'!$B$9+'1. Inputs'!$B$10*MAX(0,$A10-'1. Inputs'!$C$27-'1. Inputs'!$B$30+1)/(MAX(0,$A10-'1. Inputs'!$C$27-'1. Inputs'!$B$30+1)+'1. Inputs'!$B$11))*'1. Inputs'!$B$13*(1+'1. Inputs'!$B$14*MIN(MAX(0,$A10-'1. Inputs'!$C$27-'1. Inputs'!$B$30+1),'1. Inputs'!$B$15))*('1. Inputs'!$B$31*'5. Diagnosing a miss'!$B$22))</f>
        <v>0</v>
      </c>
      <c r="X10" s="22" t="n">
        <f aca="false">SUM(T10:W10)</f>
        <v>86578.8988235294</v>
      </c>
      <c r="Y10" s="22" t="n">
        <f aca="false">IF($A10=MAX('1. Inputs'!$B$17,1),'1. Inputs'!$B$3,0)+IF($A10-'1. Inputs'!$B$17&gt;=1,INDEX(X$3:X$86,$A10-'1. Inputs'!$B$17),0)</f>
        <v>0</v>
      </c>
      <c r="Z10" s="22" t="n">
        <f aca="false">Z9*(1-'1. Inputs'!$B$18)+Y10</f>
        <v>0</v>
      </c>
      <c r="AA10" s="22" t="n">
        <f aca="false">Z10*'1. Inputs'!$B$18</f>
        <v>0</v>
      </c>
      <c r="AB10" s="22" t="n">
        <f aca="false">AB9+X10-AA10</f>
        <v>150106407.698824</v>
      </c>
      <c r="AC10" s="22" t="n">
        <f aca="false">IF(MAX(0,$A10-'1. Inputs'!$C$24-('1. Inputs'!$B$30+'5. Diagnosing a miss'!$B$23)+1)&lt;=0,0,'1. Inputs'!$B$24*'1. Inputs'!$B$5*MAX(0,$A10-'1. Inputs'!$C$24-('1. Inputs'!$B$30+'5. Diagnosing a miss'!$B$23)+1)^'1. Inputs'!$B$7/('1. Inputs'!$B$6^'1. Inputs'!$B$7+MAX(0,$A10-'1. Inputs'!$C$24-('1. Inputs'!$B$30+'5. Diagnosing a miss'!$B$23)+1)^'1. Inputs'!$B$7)*('1. Inputs'!$B$9+'1. Inputs'!$B$10*MAX(0,$A10-'1. Inputs'!$C$24-('1. Inputs'!$B$30+'5. Diagnosing a miss'!$B$23)+1)/(MAX(0,$A10-'1. Inputs'!$C$24-('1. Inputs'!$B$30+'5. Diagnosing a miss'!$B$23)+1)+'1. Inputs'!$B$11))*'1. Inputs'!$B$13*(1+'1. Inputs'!$B$14*MIN(MAX(0,$A10-'1. Inputs'!$C$24-('1. Inputs'!$B$30+'5. Diagnosing a miss'!$B$23)+1),'1. Inputs'!$B$15))*'1. Inputs'!$B$31)</f>
        <v>0</v>
      </c>
      <c r="AD10" s="22" t="n">
        <f aca="false">IF(MAX(0,$A10-'1. Inputs'!$C$25-('1. Inputs'!$B$30+'5. Diagnosing a miss'!$B$23)+1)&lt;=0,0,'1. Inputs'!$B$25*'1. Inputs'!$B$5*MAX(0,$A10-'1. Inputs'!$C$25-('1. Inputs'!$B$30+'5. Diagnosing a miss'!$B$23)+1)^'1. Inputs'!$B$7/('1. Inputs'!$B$6^'1. Inputs'!$B$7+MAX(0,$A10-'1. Inputs'!$C$25-('1. Inputs'!$B$30+'5. Diagnosing a miss'!$B$23)+1)^'1. Inputs'!$B$7)*('1. Inputs'!$B$9+'1. Inputs'!$B$10*MAX(0,$A10-'1. Inputs'!$C$25-('1. Inputs'!$B$30+'5. Diagnosing a miss'!$B$23)+1)/(MAX(0,$A10-'1. Inputs'!$C$25-('1. Inputs'!$B$30+'5. Diagnosing a miss'!$B$23)+1)+'1. Inputs'!$B$11))*'1. Inputs'!$B$13*(1+'1. Inputs'!$B$14*MIN(MAX(0,$A10-'1. Inputs'!$C$25-('1. Inputs'!$B$30+'5. Diagnosing a miss'!$B$23)+1),'1. Inputs'!$B$15))*'1. Inputs'!$B$31)</f>
        <v>0</v>
      </c>
      <c r="AE10" s="22" t="n">
        <f aca="false">IF(MAX(0,$A10-'1. Inputs'!$C$26-('1. Inputs'!$B$30+'5. Diagnosing a miss'!$B$23)+1)&lt;=0,0,'1. Inputs'!$B$26*'1. Inputs'!$B$5*MAX(0,$A10-'1. Inputs'!$C$26-('1. Inputs'!$B$30+'5. Diagnosing a miss'!$B$23)+1)^'1. Inputs'!$B$7/('1. Inputs'!$B$6^'1. Inputs'!$B$7+MAX(0,$A10-'1. Inputs'!$C$26-('1. Inputs'!$B$30+'5. Diagnosing a miss'!$B$23)+1)^'1. Inputs'!$B$7)*('1. Inputs'!$B$9+'1. Inputs'!$B$10*MAX(0,$A10-'1. Inputs'!$C$26-('1. Inputs'!$B$30+'5. Diagnosing a miss'!$B$23)+1)/(MAX(0,$A10-'1. Inputs'!$C$26-('1. Inputs'!$B$30+'5. Diagnosing a miss'!$B$23)+1)+'1. Inputs'!$B$11))*'1. Inputs'!$B$13*(1+'1. Inputs'!$B$14*MIN(MAX(0,$A10-'1. Inputs'!$C$26-('1. Inputs'!$B$30+'5. Diagnosing a miss'!$B$23)+1),'1. Inputs'!$B$15))*'1. Inputs'!$B$31)</f>
        <v>0</v>
      </c>
      <c r="AF10" s="22" t="n">
        <f aca="false">IF(MAX(0,$A10-'1. Inputs'!$C$27-('1. Inputs'!$B$30+'5. Diagnosing a miss'!$B$23)+1)&lt;=0,0,'1. Inputs'!$B$27*'1. Inputs'!$B$5*MAX(0,$A10-'1. Inputs'!$C$27-('1. Inputs'!$B$30+'5. Diagnosing a miss'!$B$23)+1)^'1. Inputs'!$B$7/('1. Inputs'!$B$6^'1. Inputs'!$B$7+MAX(0,$A10-'1. Inputs'!$C$27-('1. Inputs'!$B$30+'5. Diagnosing a miss'!$B$23)+1)^'1. Inputs'!$B$7)*('1. Inputs'!$B$9+'1. Inputs'!$B$10*MAX(0,$A10-'1. Inputs'!$C$27-('1. Inputs'!$B$30+'5. Diagnosing a miss'!$B$23)+1)/(MAX(0,$A10-'1. Inputs'!$C$27-('1. Inputs'!$B$30+'5. Diagnosing a miss'!$B$23)+1)+'1. Inputs'!$B$11))*'1. Inputs'!$B$13*(1+'1. Inputs'!$B$14*MIN(MAX(0,$A10-'1. Inputs'!$C$27-('1. Inputs'!$B$30+'5. Diagnosing a miss'!$B$23)+1),'1. Inputs'!$B$15))*'1. Inputs'!$B$31)</f>
        <v>0</v>
      </c>
      <c r="AG10" s="22" t="n">
        <f aca="false">SUM(AC10:AF10)</f>
        <v>0</v>
      </c>
      <c r="AH10" s="22" t="n">
        <f aca="false">IF($A10=MAX('1. Inputs'!$B$17,1),'1. Inputs'!$B$3,0)+IF($A10-'1. Inputs'!$B$17&gt;=1,INDEX(AG$3:AG$86,$A10-'1. Inputs'!$B$17),0)</f>
        <v>0</v>
      </c>
      <c r="AI10" s="22" t="n">
        <f aca="false">AI9*(1-'1. Inputs'!$B$18)+AH10</f>
        <v>0</v>
      </c>
      <c r="AJ10" s="22" t="n">
        <f aca="false">AI10*'1. Inputs'!$B$18</f>
        <v>0</v>
      </c>
      <c r="AK10" s="22" t="n">
        <f aca="false">AK9+AG10-AJ10</f>
        <v>150000000</v>
      </c>
    </row>
    <row r="11" customFormat="false" ht="15" hidden="false" customHeight="false" outlineLevel="0" collapsed="false">
      <c r="A11" s="7" t="n">
        <v>9</v>
      </c>
      <c r="B11" s="22" t="n">
        <f aca="false">IF(MAX(0,$A11-'1. Inputs'!$C$24-'1. Inputs'!$B$30+1)&lt;=0,0,'1. Inputs'!$B$24*'1. Inputs'!$B$5*MAX(0,$A11-'1. Inputs'!$C$24-'1. Inputs'!$B$30+1)^'1. Inputs'!$B$7/('1. Inputs'!$B$6^'1. Inputs'!$B$7+MAX(0,$A11-'1. Inputs'!$C$24-'1. Inputs'!$B$30+1)^'1. Inputs'!$B$7)*('1. Inputs'!$B$9+'1. Inputs'!$B$10*MAX(0,$A11-'1. Inputs'!$C$24-'1. Inputs'!$B$30+1)/(MAX(0,$A11-'1. Inputs'!$C$24-'1. Inputs'!$B$30+1)+'1. Inputs'!$B$11))*'1. Inputs'!$B$13*(1+'1. Inputs'!$B$14*MIN(MAX(0,$A11-'1. Inputs'!$C$24-'1. Inputs'!$B$30+1),'1. Inputs'!$B$15))*'1. Inputs'!$B$31)</f>
        <v>224380.8</v>
      </c>
      <c r="C11" s="22" t="n">
        <f aca="false">IF(MAX(0,$A11-'1. Inputs'!$C$25-'1. Inputs'!$B$30+1)&lt;=0,0,'1. Inputs'!$B$25*'1. Inputs'!$B$5*MAX(0,$A11-'1. Inputs'!$C$25-'1. Inputs'!$B$30+1)^'1. Inputs'!$B$7/('1. Inputs'!$B$6^'1. Inputs'!$B$7+MAX(0,$A11-'1. Inputs'!$C$25-'1. Inputs'!$B$30+1)^'1. Inputs'!$B$7)*('1. Inputs'!$B$9+'1. Inputs'!$B$10*MAX(0,$A11-'1. Inputs'!$C$25-'1. Inputs'!$B$30+1)/(MAX(0,$A11-'1. Inputs'!$C$25-'1. Inputs'!$B$30+1)+'1. Inputs'!$B$11))*'1. Inputs'!$B$13*(1+'1. Inputs'!$B$14*MIN(MAX(0,$A11-'1. Inputs'!$C$25-'1. Inputs'!$B$30+1),'1. Inputs'!$B$15))*'1. Inputs'!$B$31)</f>
        <v>0</v>
      </c>
      <c r="D11" s="22" t="n">
        <f aca="false">IF(MAX(0,$A11-'1. Inputs'!$C$26-'1. Inputs'!$B$30+1)&lt;=0,0,'1. Inputs'!$B$26*'1. Inputs'!$B$5*MAX(0,$A11-'1. Inputs'!$C$26-'1. Inputs'!$B$30+1)^'1. Inputs'!$B$7/('1. Inputs'!$B$6^'1. Inputs'!$B$7+MAX(0,$A11-'1. Inputs'!$C$26-'1. Inputs'!$B$30+1)^'1. Inputs'!$B$7)*('1. Inputs'!$B$9+'1. Inputs'!$B$10*MAX(0,$A11-'1. Inputs'!$C$26-'1. Inputs'!$B$30+1)/(MAX(0,$A11-'1. Inputs'!$C$26-'1. Inputs'!$B$30+1)+'1. Inputs'!$B$11))*'1. Inputs'!$B$13*(1+'1. Inputs'!$B$14*MIN(MAX(0,$A11-'1. Inputs'!$C$26-'1. Inputs'!$B$30+1),'1. Inputs'!$B$15))*'1. Inputs'!$B$31)</f>
        <v>0</v>
      </c>
      <c r="E11" s="22" t="n">
        <f aca="false">IF(MAX(0,$A11-'1. Inputs'!$C$27-'1. Inputs'!$B$30+1)&lt;=0,0,'1. Inputs'!$B$27*'1. Inputs'!$B$5*MAX(0,$A11-'1. Inputs'!$C$27-'1. Inputs'!$B$30+1)^'1. Inputs'!$B$7/('1. Inputs'!$B$6^'1. Inputs'!$B$7+MAX(0,$A11-'1. Inputs'!$C$27-'1. Inputs'!$B$30+1)^'1. Inputs'!$B$7)*('1. Inputs'!$B$9+'1. Inputs'!$B$10*MAX(0,$A11-'1. Inputs'!$C$27-'1. Inputs'!$B$30+1)/(MAX(0,$A11-'1. Inputs'!$C$27-'1. Inputs'!$B$30+1)+'1. Inputs'!$B$11))*'1. Inputs'!$B$13*(1+'1. Inputs'!$B$14*MIN(MAX(0,$A11-'1. Inputs'!$C$27-'1. Inputs'!$B$30+1),'1. Inputs'!$B$15))*'1. Inputs'!$B$31)</f>
        <v>0</v>
      </c>
      <c r="F11" s="22" t="n">
        <f aca="false">SUM(B11:E11)</f>
        <v>224380.8</v>
      </c>
      <c r="G11" s="22" t="n">
        <f aca="false">IF($A11=MAX('1. Inputs'!$B$17,1),'1. Inputs'!$B$3,0)+IF($A11-'1. Inputs'!$B$17&gt;=1,INDEX(F$3:F$86,$A11-'1. Inputs'!$B$17),0)</f>
        <v>0</v>
      </c>
      <c r="H11" s="22" t="n">
        <f aca="false">H10*(1-'1. Inputs'!$B$18)+G11</f>
        <v>0</v>
      </c>
      <c r="I11" s="22" t="n">
        <f aca="false">H11*'1. Inputs'!$B$18</f>
        <v>0</v>
      </c>
      <c r="J11" s="22" t="n">
        <f aca="false">J10+F11-I11</f>
        <v>150342611.576471</v>
      </c>
      <c r="K11" s="22" t="n">
        <f aca="false">IF(MAX(0,$A11-'1. Inputs'!$C$24-'1. Inputs'!$B$30+1)&lt;=0,0,'1. Inputs'!$B$24*('1. Inputs'!$B$5-'5. Diagnosing a miss'!$B$21)*MAX(0,$A11-'1. Inputs'!$C$24-'1. Inputs'!$B$30+1)^'1. Inputs'!$B$7/('1. Inputs'!$B$6^'1. Inputs'!$B$7+MAX(0,$A11-'1. Inputs'!$C$24-'1. Inputs'!$B$30+1)^'1. Inputs'!$B$7)*('1. Inputs'!$B$9+'1. Inputs'!$B$10*MAX(0,$A11-'1. Inputs'!$C$24-'1. Inputs'!$B$30+1)/(MAX(0,$A11-'1. Inputs'!$C$24-'1. Inputs'!$B$30+1)+'1. Inputs'!$B$11))*'1. Inputs'!$B$13*(1+'1. Inputs'!$B$14*MIN(MAX(0,$A11-'1. Inputs'!$C$24-'1. Inputs'!$B$30+1),'1. Inputs'!$B$15))*'1. Inputs'!$B$31)</f>
        <v>199449.6</v>
      </c>
      <c r="L11" s="22" t="n">
        <f aca="false">IF(MAX(0,$A11-'1. Inputs'!$C$25-'1. Inputs'!$B$30+1)&lt;=0,0,'1. Inputs'!$B$25*('1. Inputs'!$B$5-'5. Diagnosing a miss'!$B$21)*MAX(0,$A11-'1. Inputs'!$C$25-'1. Inputs'!$B$30+1)^'1. Inputs'!$B$7/('1. Inputs'!$B$6^'1. Inputs'!$B$7+MAX(0,$A11-'1. Inputs'!$C$25-'1. Inputs'!$B$30+1)^'1. Inputs'!$B$7)*('1. Inputs'!$B$9+'1. Inputs'!$B$10*MAX(0,$A11-'1. Inputs'!$C$25-'1. Inputs'!$B$30+1)/(MAX(0,$A11-'1. Inputs'!$C$25-'1. Inputs'!$B$30+1)+'1. Inputs'!$B$11))*'1. Inputs'!$B$13*(1+'1. Inputs'!$B$14*MIN(MAX(0,$A11-'1. Inputs'!$C$25-'1. Inputs'!$B$30+1),'1. Inputs'!$B$15))*'1. Inputs'!$B$31)</f>
        <v>0</v>
      </c>
      <c r="M11" s="22" t="n">
        <f aca="false">IF(MAX(0,$A11-'1. Inputs'!$C$26-'1. Inputs'!$B$30+1)&lt;=0,0,'1. Inputs'!$B$26*('1. Inputs'!$B$5-'5. Diagnosing a miss'!$B$21)*MAX(0,$A11-'1. Inputs'!$C$26-'1. Inputs'!$B$30+1)^'1. Inputs'!$B$7/('1. Inputs'!$B$6^'1. Inputs'!$B$7+MAX(0,$A11-'1. Inputs'!$C$26-'1. Inputs'!$B$30+1)^'1. Inputs'!$B$7)*('1. Inputs'!$B$9+'1. Inputs'!$B$10*MAX(0,$A11-'1. Inputs'!$C$26-'1. Inputs'!$B$30+1)/(MAX(0,$A11-'1. Inputs'!$C$26-'1. Inputs'!$B$30+1)+'1. Inputs'!$B$11))*'1. Inputs'!$B$13*(1+'1. Inputs'!$B$14*MIN(MAX(0,$A11-'1. Inputs'!$C$26-'1. Inputs'!$B$30+1),'1. Inputs'!$B$15))*'1. Inputs'!$B$31)</f>
        <v>0</v>
      </c>
      <c r="N11" s="22" t="n">
        <f aca="false">IF(MAX(0,$A11-'1. Inputs'!$C$27-'1. Inputs'!$B$30+1)&lt;=0,0,'1. Inputs'!$B$27*('1. Inputs'!$B$5-'5. Diagnosing a miss'!$B$21)*MAX(0,$A11-'1. Inputs'!$C$27-'1. Inputs'!$B$30+1)^'1. Inputs'!$B$7/('1. Inputs'!$B$6^'1. Inputs'!$B$7+MAX(0,$A11-'1. Inputs'!$C$27-'1. Inputs'!$B$30+1)^'1. Inputs'!$B$7)*('1. Inputs'!$B$9+'1. Inputs'!$B$10*MAX(0,$A11-'1. Inputs'!$C$27-'1. Inputs'!$B$30+1)/(MAX(0,$A11-'1. Inputs'!$C$27-'1. Inputs'!$B$30+1)+'1. Inputs'!$B$11))*'1. Inputs'!$B$13*(1+'1. Inputs'!$B$14*MIN(MAX(0,$A11-'1. Inputs'!$C$27-'1. Inputs'!$B$30+1),'1. Inputs'!$B$15))*'1. Inputs'!$B$31)</f>
        <v>0</v>
      </c>
      <c r="O11" s="22" t="n">
        <f aca="false">SUM(K11:N11)</f>
        <v>199449.6</v>
      </c>
      <c r="P11" s="22" t="n">
        <f aca="false">IF($A11=MAX('1. Inputs'!$B$17,1),'1. Inputs'!$B$3,0)+IF($A11-'1. Inputs'!$B$17&gt;=1,INDEX(O$3:O$86,$A11-'1. Inputs'!$B$17),0)</f>
        <v>0</v>
      </c>
      <c r="Q11" s="22" t="n">
        <f aca="false">Q10*(1-'1. Inputs'!$B$18)+P11</f>
        <v>0</v>
      </c>
      <c r="R11" s="22" t="n">
        <f aca="false">Q11*'1. Inputs'!$B$18</f>
        <v>0</v>
      </c>
      <c r="S11" s="22" t="n">
        <f aca="false">S10+O11-R11</f>
        <v>150304543.623529</v>
      </c>
      <c r="T11" s="22" t="n">
        <f aca="false">IF(MAX(0,$A11-'1. Inputs'!$C$24-'1. Inputs'!$B$30+1)&lt;=0,0,'1. Inputs'!$B$24*'1. Inputs'!$B$5*MAX(0,$A11-'1. Inputs'!$C$24-'1. Inputs'!$B$30+1)^'1. Inputs'!$B$7/('1. Inputs'!$B$6^'1. Inputs'!$B$7+MAX(0,$A11-'1. Inputs'!$C$24-'1. Inputs'!$B$30+1)^'1. Inputs'!$B$7)*('1. Inputs'!$B$9+'1. Inputs'!$B$10*MAX(0,$A11-'1. Inputs'!$C$24-'1. Inputs'!$B$30+1)/(MAX(0,$A11-'1. Inputs'!$C$24-'1. Inputs'!$B$30+1)+'1. Inputs'!$B$11))*'1. Inputs'!$B$13*(1+'1. Inputs'!$B$14*MIN(MAX(0,$A11-'1. Inputs'!$C$24-'1. Inputs'!$B$30+1),'1. Inputs'!$B$15))*('1. Inputs'!$B$31*'5. Diagnosing a miss'!$B$22))</f>
        <v>201942.72</v>
      </c>
      <c r="U11" s="22" t="n">
        <f aca="false">IF(MAX(0,$A11-'1. Inputs'!$C$25-'1. Inputs'!$B$30+1)&lt;=0,0,'1. Inputs'!$B$25*'1. Inputs'!$B$5*MAX(0,$A11-'1. Inputs'!$C$25-'1. Inputs'!$B$30+1)^'1. Inputs'!$B$7/('1. Inputs'!$B$6^'1. Inputs'!$B$7+MAX(0,$A11-'1. Inputs'!$C$25-'1. Inputs'!$B$30+1)^'1. Inputs'!$B$7)*('1. Inputs'!$B$9+'1. Inputs'!$B$10*MAX(0,$A11-'1. Inputs'!$C$25-'1. Inputs'!$B$30+1)/(MAX(0,$A11-'1. Inputs'!$C$25-'1. Inputs'!$B$30+1)+'1. Inputs'!$B$11))*'1. Inputs'!$B$13*(1+'1. Inputs'!$B$14*MIN(MAX(0,$A11-'1. Inputs'!$C$25-'1. Inputs'!$B$30+1),'1. Inputs'!$B$15))*('1. Inputs'!$B$31*'5. Diagnosing a miss'!$B$22))</f>
        <v>0</v>
      </c>
      <c r="V11" s="22" t="n">
        <f aca="false">IF(MAX(0,$A11-'1. Inputs'!$C$26-'1. Inputs'!$B$30+1)&lt;=0,0,'1. Inputs'!$B$26*'1. Inputs'!$B$5*MAX(0,$A11-'1. Inputs'!$C$26-'1. Inputs'!$B$30+1)^'1. Inputs'!$B$7/('1. Inputs'!$B$6^'1. Inputs'!$B$7+MAX(0,$A11-'1. Inputs'!$C$26-'1. Inputs'!$B$30+1)^'1. Inputs'!$B$7)*('1. Inputs'!$B$9+'1. Inputs'!$B$10*MAX(0,$A11-'1. Inputs'!$C$26-'1. Inputs'!$B$30+1)/(MAX(0,$A11-'1. Inputs'!$C$26-'1. Inputs'!$B$30+1)+'1. Inputs'!$B$11))*'1. Inputs'!$B$13*(1+'1. Inputs'!$B$14*MIN(MAX(0,$A11-'1. Inputs'!$C$26-'1. Inputs'!$B$30+1),'1. Inputs'!$B$15))*('1. Inputs'!$B$31*'5. Diagnosing a miss'!$B$22))</f>
        <v>0</v>
      </c>
      <c r="W11" s="22" t="n">
        <f aca="false">IF(MAX(0,$A11-'1. Inputs'!$C$27-'1. Inputs'!$B$30+1)&lt;=0,0,'1. Inputs'!$B$27*'1. Inputs'!$B$5*MAX(0,$A11-'1. Inputs'!$C$27-'1. Inputs'!$B$30+1)^'1. Inputs'!$B$7/('1. Inputs'!$B$6^'1. Inputs'!$B$7+MAX(0,$A11-'1. Inputs'!$C$27-'1. Inputs'!$B$30+1)^'1. Inputs'!$B$7)*('1. Inputs'!$B$9+'1. Inputs'!$B$10*MAX(0,$A11-'1. Inputs'!$C$27-'1. Inputs'!$B$30+1)/(MAX(0,$A11-'1. Inputs'!$C$27-'1. Inputs'!$B$30+1)+'1. Inputs'!$B$11))*'1. Inputs'!$B$13*(1+'1. Inputs'!$B$14*MIN(MAX(0,$A11-'1. Inputs'!$C$27-'1. Inputs'!$B$30+1),'1. Inputs'!$B$15))*('1. Inputs'!$B$31*'5. Diagnosing a miss'!$B$22))</f>
        <v>0</v>
      </c>
      <c r="X11" s="22" t="n">
        <f aca="false">SUM(T11:W11)</f>
        <v>201942.72</v>
      </c>
      <c r="Y11" s="22" t="n">
        <f aca="false">IF($A11=MAX('1. Inputs'!$B$17,1),'1. Inputs'!$B$3,0)+IF($A11-'1. Inputs'!$B$17&gt;=1,INDEX(X$3:X$86,$A11-'1. Inputs'!$B$17),0)</f>
        <v>0</v>
      </c>
      <c r="Z11" s="22" t="n">
        <f aca="false">Z10*(1-'1. Inputs'!$B$18)+Y11</f>
        <v>0</v>
      </c>
      <c r="AA11" s="22" t="n">
        <f aca="false">Z11*'1. Inputs'!$B$18</f>
        <v>0</v>
      </c>
      <c r="AB11" s="22" t="n">
        <f aca="false">AB10+X11-AA11</f>
        <v>150308350.418824</v>
      </c>
      <c r="AC11" s="22" t="n">
        <f aca="false">IF(MAX(0,$A11-'1. Inputs'!$C$24-('1. Inputs'!$B$30+'5. Diagnosing a miss'!$B$23)+1)&lt;=0,0,'1. Inputs'!$B$24*'1. Inputs'!$B$5*MAX(0,$A11-'1. Inputs'!$C$24-('1. Inputs'!$B$30+'5. Diagnosing a miss'!$B$23)+1)^'1. Inputs'!$B$7/('1. Inputs'!$B$6^'1. Inputs'!$B$7+MAX(0,$A11-'1. Inputs'!$C$24-('1. Inputs'!$B$30+'5. Diagnosing a miss'!$B$23)+1)^'1. Inputs'!$B$7)*('1. Inputs'!$B$9+'1. Inputs'!$B$10*MAX(0,$A11-'1. Inputs'!$C$24-('1. Inputs'!$B$30+'5. Diagnosing a miss'!$B$23)+1)/(MAX(0,$A11-'1. Inputs'!$C$24-('1. Inputs'!$B$30+'5. Diagnosing a miss'!$B$23)+1)+'1. Inputs'!$B$11))*'1. Inputs'!$B$13*(1+'1. Inputs'!$B$14*MIN(MAX(0,$A11-'1. Inputs'!$C$24-('1. Inputs'!$B$30+'5. Diagnosing a miss'!$B$23)+1),'1. Inputs'!$B$15))*'1. Inputs'!$B$31)</f>
        <v>0</v>
      </c>
      <c r="AD11" s="22" t="n">
        <f aca="false">IF(MAX(0,$A11-'1. Inputs'!$C$25-('1. Inputs'!$B$30+'5. Diagnosing a miss'!$B$23)+1)&lt;=0,0,'1. Inputs'!$B$25*'1. Inputs'!$B$5*MAX(0,$A11-'1. Inputs'!$C$25-('1. Inputs'!$B$30+'5. Diagnosing a miss'!$B$23)+1)^'1. Inputs'!$B$7/('1. Inputs'!$B$6^'1. Inputs'!$B$7+MAX(0,$A11-'1. Inputs'!$C$25-('1. Inputs'!$B$30+'5. Diagnosing a miss'!$B$23)+1)^'1. Inputs'!$B$7)*('1. Inputs'!$B$9+'1. Inputs'!$B$10*MAX(0,$A11-'1. Inputs'!$C$25-('1. Inputs'!$B$30+'5. Diagnosing a miss'!$B$23)+1)/(MAX(0,$A11-'1. Inputs'!$C$25-('1. Inputs'!$B$30+'5. Diagnosing a miss'!$B$23)+1)+'1. Inputs'!$B$11))*'1. Inputs'!$B$13*(1+'1. Inputs'!$B$14*MIN(MAX(0,$A11-'1. Inputs'!$C$25-('1. Inputs'!$B$30+'5. Diagnosing a miss'!$B$23)+1),'1. Inputs'!$B$15))*'1. Inputs'!$B$31)</f>
        <v>0</v>
      </c>
      <c r="AE11" s="22" t="n">
        <f aca="false">IF(MAX(0,$A11-'1. Inputs'!$C$26-('1. Inputs'!$B$30+'5. Diagnosing a miss'!$B$23)+1)&lt;=0,0,'1. Inputs'!$B$26*'1. Inputs'!$B$5*MAX(0,$A11-'1. Inputs'!$C$26-('1. Inputs'!$B$30+'5. Diagnosing a miss'!$B$23)+1)^'1. Inputs'!$B$7/('1. Inputs'!$B$6^'1. Inputs'!$B$7+MAX(0,$A11-'1. Inputs'!$C$26-('1. Inputs'!$B$30+'5. Diagnosing a miss'!$B$23)+1)^'1. Inputs'!$B$7)*('1. Inputs'!$B$9+'1. Inputs'!$B$10*MAX(0,$A11-'1. Inputs'!$C$26-('1. Inputs'!$B$30+'5. Diagnosing a miss'!$B$23)+1)/(MAX(0,$A11-'1. Inputs'!$C$26-('1. Inputs'!$B$30+'5. Diagnosing a miss'!$B$23)+1)+'1. Inputs'!$B$11))*'1. Inputs'!$B$13*(1+'1. Inputs'!$B$14*MIN(MAX(0,$A11-'1. Inputs'!$C$26-('1. Inputs'!$B$30+'5. Diagnosing a miss'!$B$23)+1),'1. Inputs'!$B$15))*'1. Inputs'!$B$31)</f>
        <v>0</v>
      </c>
      <c r="AF11" s="22" t="n">
        <f aca="false">IF(MAX(0,$A11-'1. Inputs'!$C$27-('1. Inputs'!$B$30+'5. Diagnosing a miss'!$B$23)+1)&lt;=0,0,'1. Inputs'!$B$27*'1. Inputs'!$B$5*MAX(0,$A11-'1. Inputs'!$C$27-('1. Inputs'!$B$30+'5. Diagnosing a miss'!$B$23)+1)^'1. Inputs'!$B$7/('1. Inputs'!$B$6^'1. Inputs'!$B$7+MAX(0,$A11-'1. Inputs'!$C$27-('1. Inputs'!$B$30+'5. Diagnosing a miss'!$B$23)+1)^'1. Inputs'!$B$7)*('1. Inputs'!$B$9+'1. Inputs'!$B$10*MAX(0,$A11-'1. Inputs'!$C$27-('1. Inputs'!$B$30+'5. Diagnosing a miss'!$B$23)+1)/(MAX(0,$A11-'1. Inputs'!$C$27-('1. Inputs'!$B$30+'5. Diagnosing a miss'!$B$23)+1)+'1. Inputs'!$B$11))*'1. Inputs'!$B$13*(1+'1. Inputs'!$B$14*MIN(MAX(0,$A11-'1. Inputs'!$C$27-('1. Inputs'!$B$30+'5. Diagnosing a miss'!$B$23)+1),'1. Inputs'!$B$15))*'1. Inputs'!$B$31)</f>
        <v>0</v>
      </c>
      <c r="AG11" s="22" t="n">
        <f aca="false">SUM(AC11:AF11)</f>
        <v>0</v>
      </c>
      <c r="AH11" s="22" t="n">
        <f aca="false">IF($A11=MAX('1. Inputs'!$B$17,1),'1. Inputs'!$B$3,0)+IF($A11-'1. Inputs'!$B$17&gt;=1,INDEX(AG$3:AG$86,$A11-'1. Inputs'!$B$17),0)</f>
        <v>0</v>
      </c>
      <c r="AI11" s="22" t="n">
        <f aca="false">AI10*(1-'1. Inputs'!$B$18)+AH11</f>
        <v>0</v>
      </c>
      <c r="AJ11" s="22" t="n">
        <f aca="false">AI11*'1. Inputs'!$B$18</f>
        <v>0</v>
      </c>
      <c r="AK11" s="22" t="n">
        <f aca="false">AK10+AG11-AJ11</f>
        <v>150000000</v>
      </c>
    </row>
    <row r="12" customFormat="false" ht="15" hidden="false" customHeight="false" outlineLevel="0" collapsed="false">
      <c r="A12" s="7" t="n">
        <v>10</v>
      </c>
      <c r="B12" s="22" t="n">
        <f aca="false">IF(MAX(0,$A12-'1. Inputs'!$C$24-'1. Inputs'!$B$30+1)&lt;=0,0,'1. Inputs'!$B$24*'1. Inputs'!$B$5*MAX(0,$A12-'1. Inputs'!$C$24-'1. Inputs'!$B$30+1)^'1. Inputs'!$B$7/('1. Inputs'!$B$6^'1. Inputs'!$B$7+MAX(0,$A12-'1. Inputs'!$C$24-'1. Inputs'!$B$30+1)^'1. Inputs'!$B$7)*('1. Inputs'!$B$9+'1. Inputs'!$B$10*MAX(0,$A12-'1. Inputs'!$C$24-'1. Inputs'!$B$30+1)/(MAX(0,$A12-'1. Inputs'!$C$24-'1. Inputs'!$B$30+1)+'1. Inputs'!$B$11))*'1. Inputs'!$B$13*(1+'1. Inputs'!$B$14*MIN(MAX(0,$A12-'1. Inputs'!$C$24-'1. Inputs'!$B$30+1),'1. Inputs'!$B$15))*'1. Inputs'!$B$31)</f>
        <v>398644.255670103</v>
      </c>
      <c r="C12" s="22" t="n">
        <f aca="false">IF(MAX(0,$A12-'1. Inputs'!$C$25-'1. Inputs'!$B$30+1)&lt;=0,0,'1. Inputs'!$B$25*'1. Inputs'!$B$5*MAX(0,$A12-'1. Inputs'!$C$25-'1. Inputs'!$B$30+1)^'1. Inputs'!$B$7/('1. Inputs'!$B$6^'1. Inputs'!$B$7+MAX(0,$A12-'1. Inputs'!$C$25-'1. Inputs'!$B$30+1)^'1. Inputs'!$B$7)*('1. Inputs'!$B$9+'1. Inputs'!$B$10*MAX(0,$A12-'1. Inputs'!$C$25-'1. Inputs'!$B$30+1)/(MAX(0,$A12-'1. Inputs'!$C$25-'1. Inputs'!$B$30+1)+'1. Inputs'!$B$11))*'1. Inputs'!$B$13*(1+'1. Inputs'!$B$14*MIN(MAX(0,$A12-'1. Inputs'!$C$25-'1. Inputs'!$B$30+1),'1. Inputs'!$B$15))*'1. Inputs'!$B$31)</f>
        <v>0</v>
      </c>
      <c r="D12" s="22" t="n">
        <f aca="false">IF(MAX(0,$A12-'1. Inputs'!$C$26-'1. Inputs'!$B$30+1)&lt;=0,0,'1. Inputs'!$B$26*'1. Inputs'!$B$5*MAX(0,$A12-'1. Inputs'!$C$26-'1. Inputs'!$B$30+1)^'1. Inputs'!$B$7/('1. Inputs'!$B$6^'1. Inputs'!$B$7+MAX(0,$A12-'1. Inputs'!$C$26-'1. Inputs'!$B$30+1)^'1. Inputs'!$B$7)*('1. Inputs'!$B$9+'1. Inputs'!$B$10*MAX(0,$A12-'1. Inputs'!$C$26-'1. Inputs'!$B$30+1)/(MAX(0,$A12-'1. Inputs'!$C$26-'1. Inputs'!$B$30+1)+'1. Inputs'!$B$11))*'1. Inputs'!$B$13*(1+'1. Inputs'!$B$14*MIN(MAX(0,$A12-'1. Inputs'!$C$26-'1. Inputs'!$B$30+1),'1. Inputs'!$B$15))*'1. Inputs'!$B$31)</f>
        <v>0</v>
      </c>
      <c r="E12" s="22" t="n">
        <f aca="false">IF(MAX(0,$A12-'1. Inputs'!$C$27-'1. Inputs'!$B$30+1)&lt;=0,0,'1. Inputs'!$B$27*'1. Inputs'!$B$5*MAX(0,$A12-'1. Inputs'!$C$27-'1. Inputs'!$B$30+1)^'1. Inputs'!$B$7/('1. Inputs'!$B$6^'1. Inputs'!$B$7+MAX(0,$A12-'1. Inputs'!$C$27-'1. Inputs'!$B$30+1)^'1. Inputs'!$B$7)*('1. Inputs'!$B$9+'1. Inputs'!$B$10*MAX(0,$A12-'1. Inputs'!$C$27-'1. Inputs'!$B$30+1)/(MAX(0,$A12-'1. Inputs'!$C$27-'1. Inputs'!$B$30+1)+'1. Inputs'!$B$11))*'1. Inputs'!$B$13*(1+'1. Inputs'!$B$14*MIN(MAX(0,$A12-'1. Inputs'!$C$27-'1. Inputs'!$B$30+1),'1. Inputs'!$B$15))*'1. Inputs'!$B$31)</f>
        <v>0</v>
      </c>
      <c r="F12" s="22" t="n">
        <f aca="false">SUM(B12:E12)</f>
        <v>398644.255670103</v>
      </c>
      <c r="G12" s="22" t="n">
        <f aca="false">IF($A12=MAX('1. Inputs'!$B$17,1),'1. Inputs'!$B$3,0)+IF($A12-'1. Inputs'!$B$17&gt;=1,INDEX(F$3:F$86,$A12-'1. Inputs'!$B$17),0)</f>
        <v>0</v>
      </c>
      <c r="H12" s="22" t="n">
        <f aca="false">H11*(1-'1. Inputs'!$B$18)+G12</f>
        <v>0</v>
      </c>
      <c r="I12" s="22" t="n">
        <f aca="false">H12*'1. Inputs'!$B$18</f>
        <v>0</v>
      </c>
      <c r="J12" s="22" t="n">
        <f aca="false">J11+F12-I12</f>
        <v>150741255.832141</v>
      </c>
      <c r="K12" s="22" t="n">
        <f aca="false">IF(MAX(0,$A12-'1. Inputs'!$C$24-'1. Inputs'!$B$30+1)&lt;=0,0,'1. Inputs'!$B$24*('1. Inputs'!$B$5-'5. Diagnosing a miss'!$B$21)*MAX(0,$A12-'1. Inputs'!$C$24-'1. Inputs'!$B$30+1)^'1. Inputs'!$B$7/('1. Inputs'!$B$6^'1. Inputs'!$B$7+MAX(0,$A12-'1. Inputs'!$C$24-'1. Inputs'!$B$30+1)^'1. Inputs'!$B$7)*('1. Inputs'!$B$9+'1. Inputs'!$B$10*MAX(0,$A12-'1. Inputs'!$C$24-'1. Inputs'!$B$30+1)/(MAX(0,$A12-'1. Inputs'!$C$24-'1. Inputs'!$B$30+1)+'1. Inputs'!$B$11))*'1. Inputs'!$B$13*(1+'1. Inputs'!$B$14*MIN(MAX(0,$A12-'1. Inputs'!$C$24-'1. Inputs'!$B$30+1),'1. Inputs'!$B$15))*'1. Inputs'!$B$31)</f>
        <v>354350.449484536</v>
      </c>
      <c r="L12" s="22" t="n">
        <f aca="false">IF(MAX(0,$A12-'1. Inputs'!$C$25-'1. Inputs'!$B$30+1)&lt;=0,0,'1. Inputs'!$B$25*('1. Inputs'!$B$5-'5. Diagnosing a miss'!$B$21)*MAX(0,$A12-'1. Inputs'!$C$25-'1. Inputs'!$B$30+1)^'1. Inputs'!$B$7/('1. Inputs'!$B$6^'1. Inputs'!$B$7+MAX(0,$A12-'1. Inputs'!$C$25-'1. Inputs'!$B$30+1)^'1. Inputs'!$B$7)*('1. Inputs'!$B$9+'1. Inputs'!$B$10*MAX(0,$A12-'1. Inputs'!$C$25-'1. Inputs'!$B$30+1)/(MAX(0,$A12-'1. Inputs'!$C$25-'1. Inputs'!$B$30+1)+'1. Inputs'!$B$11))*'1. Inputs'!$B$13*(1+'1. Inputs'!$B$14*MIN(MAX(0,$A12-'1. Inputs'!$C$25-'1. Inputs'!$B$30+1),'1. Inputs'!$B$15))*'1. Inputs'!$B$31)</f>
        <v>0</v>
      </c>
      <c r="M12" s="22" t="n">
        <f aca="false">IF(MAX(0,$A12-'1. Inputs'!$C$26-'1. Inputs'!$B$30+1)&lt;=0,0,'1. Inputs'!$B$26*('1. Inputs'!$B$5-'5. Diagnosing a miss'!$B$21)*MAX(0,$A12-'1. Inputs'!$C$26-'1. Inputs'!$B$30+1)^'1. Inputs'!$B$7/('1. Inputs'!$B$6^'1. Inputs'!$B$7+MAX(0,$A12-'1. Inputs'!$C$26-'1. Inputs'!$B$30+1)^'1. Inputs'!$B$7)*('1. Inputs'!$B$9+'1. Inputs'!$B$10*MAX(0,$A12-'1. Inputs'!$C$26-'1. Inputs'!$B$30+1)/(MAX(0,$A12-'1. Inputs'!$C$26-'1. Inputs'!$B$30+1)+'1. Inputs'!$B$11))*'1. Inputs'!$B$13*(1+'1. Inputs'!$B$14*MIN(MAX(0,$A12-'1. Inputs'!$C$26-'1. Inputs'!$B$30+1),'1. Inputs'!$B$15))*'1. Inputs'!$B$31)</f>
        <v>0</v>
      </c>
      <c r="N12" s="22" t="n">
        <f aca="false">IF(MAX(0,$A12-'1. Inputs'!$C$27-'1. Inputs'!$B$30+1)&lt;=0,0,'1. Inputs'!$B$27*('1. Inputs'!$B$5-'5. Diagnosing a miss'!$B$21)*MAX(0,$A12-'1. Inputs'!$C$27-'1. Inputs'!$B$30+1)^'1. Inputs'!$B$7/('1. Inputs'!$B$6^'1. Inputs'!$B$7+MAX(0,$A12-'1. Inputs'!$C$27-'1. Inputs'!$B$30+1)^'1. Inputs'!$B$7)*('1. Inputs'!$B$9+'1. Inputs'!$B$10*MAX(0,$A12-'1. Inputs'!$C$27-'1. Inputs'!$B$30+1)/(MAX(0,$A12-'1. Inputs'!$C$27-'1. Inputs'!$B$30+1)+'1. Inputs'!$B$11))*'1. Inputs'!$B$13*(1+'1. Inputs'!$B$14*MIN(MAX(0,$A12-'1. Inputs'!$C$27-'1. Inputs'!$B$30+1),'1. Inputs'!$B$15))*'1. Inputs'!$B$31)</f>
        <v>0</v>
      </c>
      <c r="O12" s="22" t="n">
        <f aca="false">SUM(K12:N12)</f>
        <v>354350.449484536</v>
      </c>
      <c r="P12" s="22" t="n">
        <f aca="false">IF($A12=MAX('1. Inputs'!$B$17,1),'1. Inputs'!$B$3,0)+IF($A12-'1. Inputs'!$B$17&gt;=1,INDEX(O$3:O$86,$A12-'1. Inputs'!$B$17),0)</f>
        <v>0</v>
      </c>
      <c r="Q12" s="22" t="n">
        <f aca="false">Q11*(1-'1. Inputs'!$B$18)+P12</f>
        <v>0</v>
      </c>
      <c r="R12" s="22" t="n">
        <f aca="false">Q12*'1. Inputs'!$B$18</f>
        <v>0</v>
      </c>
      <c r="S12" s="22" t="n">
        <f aca="false">S11+O12-R12</f>
        <v>150658894.073014</v>
      </c>
      <c r="T12" s="22" t="n">
        <f aca="false">IF(MAX(0,$A12-'1. Inputs'!$C$24-'1. Inputs'!$B$30+1)&lt;=0,0,'1. Inputs'!$B$24*'1. Inputs'!$B$5*MAX(0,$A12-'1. Inputs'!$C$24-'1. Inputs'!$B$30+1)^'1. Inputs'!$B$7/('1. Inputs'!$B$6^'1. Inputs'!$B$7+MAX(0,$A12-'1. Inputs'!$C$24-'1. Inputs'!$B$30+1)^'1. Inputs'!$B$7)*('1. Inputs'!$B$9+'1. Inputs'!$B$10*MAX(0,$A12-'1. Inputs'!$C$24-'1. Inputs'!$B$30+1)/(MAX(0,$A12-'1. Inputs'!$C$24-'1. Inputs'!$B$30+1)+'1. Inputs'!$B$11))*'1. Inputs'!$B$13*(1+'1. Inputs'!$B$14*MIN(MAX(0,$A12-'1. Inputs'!$C$24-'1. Inputs'!$B$30+1),'1. Inputs'!$B$15))*('1. Inputs'!$B$31*'5. Diagnosing a miss'!$B$22))</f>
        <v>358779.830103093</v>
      </c>
      <c r="U12" s="22" t="n">
        <f aca="false">IF(MAX(0,$A12-'1. Inputs'!$C$25-'1. Inputs'!$B$30+1)&lt;=0,0,'1. Inputs'!$B$25*'1. Inputs'!$B$5*MAX(0,$A12-'1. Inputs'!$C$25-'1. Inputs'!$B$30+1)^'1. Inputs'!$B$7/('1. Inputs'!$B$6^'1. Inputs'!$B$7+MAX(0,$A12-'1. Inputs'!$C$25-'1. Inputs'!$B$30+1)^'1. Inputs'!$B$7)*('1. Inputs'!$B$9+'1. Inputs'!$B$10*MAX(0,$A12-'1. Inputs'!$C$25-'1. Inputs'!$B$30+1)/(MAX(0,$A12-'1. Inputs'!$C$25-'1. Inputs'!$B$30+1)+'1. Inputs'!$B$11))*'1. Inputs'!$B$13*(1+'1. Inputs'!$B$14*MIN(MAX(0,$A12-'1. Inputs'!$C$25-'1. Inputs'!$B$30+1),'1. Inputs'!$B$15))*('1. Inputs'!$B$31*'5. Diagnosing a miss'!$B$22))</f>
        <v>0</v>
      </c>
      <c r="V12" s="22" t="n">
        <f aca="false">IF(MAX(0,$A12-'1. Inputs'!$C$26-'1. Inputs'!$B$30+1)&lt;=0,0,'1. Inputs'!$B$26*'1. Inputs'!$B$5*MAX(0,$A12-'1. Inputs'!$C$26-'1. Inputs'!$B$30+1)^'1. Inputs'!$B$7/('1. Inputs'!$B$6^'1. Inputs'!$B$7+MAX(0,$A12-'1. Inputs'!$C$26-'1. Inputs'!$B$30+1)^'1. Inputs'!$B$7)*('1. Inputs'!$B$9+'1. Inputs'!$B$10*MAX(0,$A12-'1. Inputs'!$C$26-'1. Inputs'!$B$30+1)/(MAX(0,$A12-'1. Inputs'!$C$26-'1. Inputs'!$B$30+1)+'1. Inputs'!$B$11))*'1. Inputs'!$B$13*(1+'1. Inputs'!$B$14*MIN(MAX(0,$A12-'1. Inputs'!$C$26-'1. Inputs'!$B$30+1),'1. Inputs'!$B$15))*('1. Inputs'!$B$31*'5. Diagnosing a miss'!$B$22))</f>
        <v>0</v>
      </c>
      <c r="W12" s="22" t="n">
        <f aca="false">IF(MAX(0,$A12-'1. Inputs'!$C$27-'1. Inputs'!$B$30+1)&lt;=0,0,'1. Inputs'!$B$27*'1. Inputs'!$B$5*MAX(0,$A12-'1. Inputs'!$C$27-'1. Inputs'!$B$30+1)^'1. Inputs'!$B$7/('1. Inputs'!$B$6^'1. Inputs'!$B$7+MAX(0,$A12-'1. Inputs'!$C$27-'1. Inputs'!$B$30+1)^'1. Inputs'!$B$7)*('1. Inputs'!$B$9+'1. Inputs'!$B$10*MAX(0,$A12-'1. Inputs'!$C$27-'1. Inputs'!$B$30+1)/(MAX(0,$A12-'1. Inputs'!$C$27-'1. Inputs'!$B$30+1)+'1. Inputs'!$B$11))*'1. Inputs'!$B$13*(1+'1. Inputs'!$B$14*MIN(MAX(0,$A12-'1. Inputs'!$C$27-'1. Inputs'!$B$30+1),'1. Inputs'!$B$15))*('1. Inputs'!$B$31*'5. Diagnosing a miss'!$B$22))</f>
        <v>0</v>
      </c>
      <c r="X12" s="22" t="n">
        <f aca="false">SUM(T12:W12)</f>
        <v>358779.830103093</v>
      </c>
      <c r="Y12" s="22" t="n">
        <f aca="false">IF($A12=MAX('1. Inputs'!$B$17,1),'1. Inputs'!$B$3,0)+IF($A12-'1. Inputs'!$B$17&gt;=1,INDEX(X$3:X$86,$A12-'1. Inputs'!$B$17),0)</f>
        <v>0</v>
      </c>
      <c r="Z12" s="22" t="n">
        <f aca="false">Z11*(1-'1. Inputs'!$B$18)+Y12</f>
        <v>0</v>
      </c>
      <c r="AA12" s="22" t="n">
        <f aca="false">Z12*'1. Inputs'!$B$18</f>
        <v>0</v>
      </c>
      <c r="AB12" s="22" t="n">
        <f aca="false">AB11+X12-AA12</f>
        <v>150667130.248927</v>
      </c>
      <c r="AC12" s="22" t="n">
        <f aca="false">IF(MAX(0,$A12-'1. Inputs'!$C$24-('1. Inputs'!$B$30+'5. Diagnosing a miss'!$B$23)+1)&lt;=0,0,'1. Inputs'!$B$24*'1. Inputs'!$B$5*MAX(0,$A12-'1. Inputs'!$C$24-('1. Inputs'!$B$30+'5. Diagnosing a miss'!$B$23)+1)^'1. Inputs'!$B$7/('1. Inputs'!$B$6^'1. Inputs'!$B$7+MAX(0,$A12-'1. Inputs'!$C$24-('1. Inputs'!$B$30+'5. Diagnosing a miss'!$B$23)+1)^'1. Inputs'!$B$7)*('1. Inputs'!$B$9+'1. Inputs'!$B$10*MAX(0,$A12-'1. Inputs'!$C$24-('1. Inputs'!$B$30+'5. Diagnosing a miss'!$B$23)+1)/(MAX(0,$A12-'1. Inputs'!$C$24-('1. Inputs'!$B$30+'5. Diagnosing a miss'!$B$23)+1)+'1. Inputs'!$B$11))*'1. Inputs'!$B$13*(1+'1. Inputs'!$B$14*MIN(MAX(0,$A12-'1. Inputs'!$C$24-('1. Inputs'!$B$30+'5. Diagnosing a miss'!$B$23)+1),'1. Inputs'!$B$15))*'1. Inputs'!$B$31)</f>
        <v>22032</v>
      </c>
      <c r="AD12" s="22" t="n">
        <f aca="false">IF(MAX(0,$A12-'1. Inputs'!$C$25-('1. Inputs'!$B$30+'5. Diagnosing a miss'!$B$23)+1)&lt;=0,0,'1. Inputs'!$B$25*'1. Inputs'!$B$5*MAX(0,$A12-'1. Inputs'!$C$25-('1. Inputs'!$B$30+'5. Diagnosing a miss'!$B$23)+1)^'1. Inputs'!$B$7/('1. Inputs'!$B$6^'1. Inputs'!$B$7+MAX(0,$A12-'1. Inputs'!$C$25-('1. Inputs'!$B$30+'5. Diagnosing a miss'!$B$23)+1)^'1. Inputs'!$B$7)*('1. Inputs'!$B$9+'1. Inputs'!$B$10*MAX(0,$A12-'1. Inputs'!$C$25-('1. Inputs'!$B$30+'5. Diagnosing a miss'!$B$23)+1)/(MAX(0,$A12-'1. Inputs'!$C$25-('1. Inputs'!$B$30+'5. Diagnosing a miss'!$B$23)+1)+'1. Inputs'!$B$11))*'1. Inputs'!$B$13*(1+'1. Inputs'!$B$14*MIN(MAX(0,$A12-'1. Inputs'!$C$25-('1. Inputs'!$B$30+'5. Diagnosing a miss'!$B$23)+1),'1. Inputs'!$B$15))*'1. Inputs'!$B$31)</f>
        <v>0</v>
      </c>
      <c r="AE12" s="22" t="n">
        <f aca="false">IF(MAX(0,$A12-'1. Inputs'!$C$26-('1. Inputs'!$B$30+'5. Diagnosing a miss'!$B$23)+1)&lt;=0,0,'1. Inputs'!$B$26*'1. Inputs'!$B$5*MAX(0,$A12-'1. Inputs'!$C$26-('1. Inputs'!$B$30+'5. Diagnosing a miss'!$B$23)+1)^'1. Inputs'!$B$7/('1. Inputs'!$B$6^'1. Inputs'!$B$7+MAX(0,$A12-'1. Inputs'!$C$26-('1. Inputs'!$B$30+'5. Diagnosing a miss'!$B$23)+1)^'1. Inputs'!$B$7)*('1. Inputs'!$B$9+'1. Inputs'!$B$10*MAX(0,$A12-'1. Inputs'!$C$26-('1. Inputs'!$B$30+'5. Diagnosing a miss'!$B$23)+1)/(MAX(0,$A12-'1. Inputs'!$C$26-('1. Inputs'!$B$30+'5. Diagnosing a miss'!$B$23)+1)+'1. Inputs'!$B$11))*'1. Inputs'!$B$13*(1+'1. Inputs'!$B$14*MIN(MAX(0,$A12-'1. Inputs'!$C$26-('1. Inputs'!$B$30+'5. Diagnosing a miss'!$B$23)+1),'1. Inputs'!$B$15))*'1. Inputs'!$B$31)</f>
        <v>0</v>
      </c>
      <c r="AF12" s="22" t="n">
        <f aca="false">IF(MAX(0,$A12-'1. Inputs'!$C$27-('1. Inputs'!$B$30+'5. Diagnosing a miss'!$B$23)+1)&lt;=0,0,'1. Inputs'!$B$27*'1. Inputs'!$B$5*MAX(0,$A12-'1. Inputs'!$C$27-('1. Inputs'!$B$30+'5. Diagnosing a miss'!$B$23)+1)^'1. Inputs'!$B$7/('1. Inputs'!$B$6^'1. Inputs'!$B$7+MAX(0,$A12-'1. Inputs'!$C$27-('1. Inputs'!$B$30+'5. Diagnosing a miss'!$B$23)+1)^'1. Inputs'!$B$7)*('1. Inputs'!$B$9+'1. Inputs'!$B$10*MAX(0,$A12-'1. Inputs'!$C$27-('1. Inputs'!$B$30+'5. Diagnosing a miss'!$B$23)+1)/(MAX(0,$A12-'1. Inputs'!$C$27-('1. Inputs'!$B$30+'5. Diagnosing a miss'!$B$23)+1)+'1. Inputs'!$B$11))*'1. Inputs'!$B$13*(1+'1. Inputs'!$B$14*MIN(MAX(0,$A12-'1. Inputs'!$C$27-('1. Inputs'!$B$30+'5. Diagnosing a miss'!$B$23)+1),'1. Inputs'!$B$15))*'1. Inputs'!$B$31)</f>
        <v>0</v>
      </c>
      <c r="AG12" s="22" t="n">
        <f aca="false">SUM(AC12:AF12)</f>
        <v>22032</v>
      </c>
      <c r="AH12" s="22" t="n">
        <f aca="false">IF($A12=MAX('1. Inputs'!$B$17,1),'1. Inputs'!$B$3,0)+IF($A12-'1. Inputs'!$B$17&gt;=1,INDEX(AG$3:AG$86,$A12-'1. Inputs'!$B$17),0)</f>
        <v>0</v>
      </c>
      <c r="AI12" s="22" t="n">
        <f aca="false">AI11*(1-'1. Inputs'!$B$18)+AH12</f>
        <v>0</v>
      </c>
      <c r="AJ12" s="22" t="n">
        <f aca="false">AI12*'1. Inputs'!$B$18</f>
        <v>0</v>
      </c>
      <c r="AK12" s="22" t="n">
        <f aca="false">AK11+AG12-AJ12</f>
        <v>150022032</v>
      </c>
    </row>
    <row r="13" customFormat="false" ht="15" hidden="false" customHeight="false" outlineLevel="0" collapsed="false">
      <c r="A13" s="7" t="n">
        <v>11</v>
      </c>
      <c r="B13" s="22" t="n">
        <f aca="false">IF(MAX(0,$A13-'1. Inputs'!$C$24-'1. Inputs'!$B$30+1)&lt;=0,0,'1. Inputs'!$B$24*'1. Inputs'!$B$5*MAX(0,$A13-'1. Inputs'!$C$24-'1. Inputs'!$B$30+1)^'1. Inputs'!$B$7/('1. Inputs'!$B$6^'1. Inputs'!$B$7+MAX(0,$A13-'1. Inputs'!$C$24-'1. Inputs'!$B$30+1)^'1. Inputs'!$B$7)*('1. Inputs'!$B$9+'1. Inputs'!$B$10*MAX(0,$A13-'1. Inputs'!$C$24-'1. Inputs'!$B$30+1)/(MAX(0,$A13-'1. Inputs'!$C$24-'1. Inputs'!$B$30+1)+'1. Inputs'!$B$11))*'1. Inputs'!$B$13*(1+'1. Inputs'!$B$14*MIN(MAX(0,$A13-'1. Inputs'!$C$24-'1. Inputs'!$B$30+1),'1. Inputs'!$B$15))*'1. Inputs'!$B$31)</f>
        <v>606226.41509434</v>
      </c>
      <c r="C13" s="22" t="n">
        <f aca="false">IF(MAX(0,$A13-'1. Inputs'!$C$25-'1. Inputs'!$B$30+1)&lt;=0,0,'1. Inputs'!$B$25*'1. Inputs'!$B$5*MAX(0,$A13-'1. Inputs'!$C$25-'1. Inputs'!$B$30+1)^'1. Inputs'!$B$7/('1. Inputs'!$B$6^'1. Inputs'!$B$7+MAX(0,$A13-'1. Inputs'!$C$25-'1. Inputs'!$B$30+1)^'1. Inputs'!$B$7)*('1. Inputs'!$B$9+'1. Inputs'!$B$10*MAX(0,$A13-'1. Inputs'!$C$25-'1. Inputs'!$B$30+1)/(MAX(0,$A13-'1. Inputs'!$C$25-'1. Inputs'!$B$30+1)+'1. Inputs'!$B$11))*'1. Inputs'!$B$13*(1+'1. Inputs'!$B$14*MIN(MAX(0,$A13-'1. Inputs'!$C$25-'1. Inputs'!$B$30+1),'1. Inputs'!$B$15))*'1. Inputs'!$B$31)</f>
        <v>0</v>
      </c>
      <c r="D13" s="22" t="n">
        <f aca="false">IF(MAX(0,$A13-'1. Inputs'!$C$26-'1. Inputs'!$B$30+1)&lt;=0,0,'1. Inputs'!$B$26*'1. Inputs'!$B$5*MAX(0,$A13-'1. Inputs'!$C$26-'1. Inputs'!$B$30+1)^'1. Inputs'!$B$7/('1. Inputs'!$B$6^'1. Inputs'!$B$7+MAX(0,$A13-'1. Inputs'!$C$26-'1. Inputs'!$B$30+1)^'1. Inputs'!$B$7)*('1. Inputs'!$B$9+'1. Inputs'!$B$10*MAX(0,$A13-'1. Inputs'!$C$26-'1. Inputs'!$B$30+1)/(MAX(0,$A13-'1. Inputs'!$C$26-'1. Inputs'!$B$30+1)+'1. Inputs'!$B$11))*'1. Inputs'!$B$13*(1+'1. Inputs'!$B$14*MIN(MAX(0,$A13-'1. Inputs'!$C$26-'1. Inputs'!$B$30+1),'1. Inputs'!$B$15))*'1. Inputs'!$B$31)</f>
        <v>0</v>
      </c>
      <c r="E13" s="22" t="n">
        <f aca="false">IF(MAX(0,$A13-'1. Inputs'!$C$27-'1. Inputs'!$B$30+1)&lt;=0,0,'1. Inputs'!$B$27*'1. Inputs'!$B$5*MAX(0,$A13-'1. Inputs'!$C$27-'1. Inputs'!$B$30+1)^'1. Inputs'!$B$7/('1. Inputs'!$B$6^'1. Inputs'!$B$7+MAX(0,$A13-'1. Inputs'!$C$27-'1. Inputs'!$B$30+1)^'1. Inputs'!$B$7)*('1. Inputs'!$B$9+'1. Inputs'!$B$10*MAX(0,$A13-'1. Inputs'!$C$27-'1. Inputs'!$B$30+1)/(MAX(0,$A13-'1. Inputs'!$C$27-'1. Inputs'!$B$30+1)+'1. Inputs'!$B$11))*'1. Inputs'!$B$13*(1+'1. Inputs'!$B$14*MIN(MAX(0,$A13-'1. Inputs'!$C$27-'1. Inputs'!$B$30+1),'1. Inputs'!$B$15))*'1. Inputs'!$B$31)</f>
        <v>0</v>
      </c>
      <c r="F13" s="22" t="n">
        <f aca="false">SUM(B13:E13)</f>
        <v>606226.41509434</v>
      </c>
      <c r="G13" s="22" t="n">
        <f aca="false">IF($A13=MAX('1. Inputs'!$B$17,1),'1. Inputs'!$B$3,0)+IF($A13-'1. Inputs'!$B$17&gt;=1,INDEX(F$3:F$86,$A13-'1. Inputs'!$B$17),0)</f>
        <v>0</v>
      </c>
      <c r="H13" s="22" t="n">
        <f aca="false">H12*(1-'1. Inputs'!$B$18)+G13</f>
        <v>0</v>
      </c>
      <c r="I13" s="22" t="n">
        <f aca="false">H13*'1. Inputs'!$B$18</f>
        <v>0</v>
      </c>
      <c r="J13" s="22" t="n">
        <f aca="false">J12+F13-I13</f>
        <v>151347482.247235</v>
      </c>
      <c r="K13" s="22" t="n">
        <f aca="false">IF(MAX(0,$A13-'1. Inputs'!$C$24-'1. Inputs'!$B$30+1)&lt;=0,0,'1. Inputs'!$B$24*('1. Inputs'!$B$5-'5. Diagnosing a miss'!$B$21)*MAX(0,$A13-'1. Inputs'!$C$24-'1. Inputs'!$B$30+1)^'1. Inputs'!$B$7/('1. Inputs'!$B$6^'1. Inputs'!$B$7+MAX(0,$A13-'1. Inputs'!$C$24-'1. Inputs'!$B$30+1)^'1. Inputs'!$B$7)*('1. Inputs'!$B$9+'1. Inputs'!$B$10*MAX(0,$A13-'1. Inputs'!$C$24-'1. Inputs'!$B$30+1)/(MAX(0,$A13-'1. Inputs'!$C$24-'1. Inputs'!$B$30+1)+'1. Inputs'!$B$11))*'1. Inputs'!$B$13*(1+'1. Inputs'!$B$14*MIN(MAX(0,$A13-'1. Inputs'!$C$24-'1. Inputs'!$B$30+1),'1. Inputs'!$B$15))*'1. Inputs'!$B$31)</f>
        <v>538867.924528302</v>
      </c>
      <c r="L13" s="22" t="n">
        <f aca="false">IF(MAX(0,$A13-'1. Inputs'!$C$25-'1. Inputs'!$B$30+1)&lt;=0,0,'1. Inputs'!$B$25*('1. Inputs'!$B$5-'5. Diagnosing a miss'!$B$21)*MAX(0,$A13-'1. Inputs'!$C$25-'1. Inputs'!$B$30+1)^'1. Inputs'!$B$7/('1. Inputs'!$B$6^'1. Inputs'!$B$7+MAX(0,$A13-'1. Inputs'!$C$25-'1. Inputs'!$B$30+1)^'1. Inputs'!$B$7)*('1. Inputs'!$B$9+'1. Inputs'!$B$10*MAX(0,$A13-'1. Inputs'!$C$25-'1. Inputs'!$B$30+1)/(MAX(0,$A13-'1. Inputs'!$C$25-'1. Inputs'!$B$30+1)+'1. Inputs'!$B$11))*'1. Inputs'!$B$13*(1+'1. Inputs'!$B$14*MIN(MAX(0,$A13-'1. Inputs'!$C$25-'1. Inputs'!$B$30+1),'1. Inputs'!$B$15))*'1. Inputs'!$B$31)</f>
        <v>0</v>
      </c>
      <c r="M13" s="22" t="n">
        <f aca="false">IF(MAX(0,$A13-'1. Inputs'!$C$26-'1. Inputs'!$B$30+1)&lt;=0,0,'1. Inputs'!$B$26*('1. Inputs'!$B$5-'5. Diagnosing a miss'!$B$21)*MAX(0,$A13-'1. Inputs'!$C$26-'1. Inputs'!$B$30+1)^'1. Inputs'!$B$7/('1. Inputs'!$B$6^'1. Inputs'!$B$7+MAX(0,$A13-'1. Inputs'!$C$26-'1. Inputs'!$B$30+1)^'1. Inputs'!$B$7)*('1. Inputs'!$B$9+'1. Inputs'!$B$10*MAX(0,$A13-'1. Inputs'!$C$26-'1. Inputs'!$B$30+1)/(MAX(0,$A13-'1. Inputs'!$C$26-'1. Inputs'!$B$30+1)+'1. Inputs'!$B$11))*'1. Inputs'!$B$13*(1+'1. Inputs'!$B$14*MIN(MAX(0,$A13-'1. Inputs'!$C$26-'1. Inputs'!$B$30+1),'1. Inputs'!$B$15))*'1. Inputs'!$B$31)</f>
        <v>0</v>
      </c>
      <c r="N13" s="22" t="n">
        <f aca="false">IF(MAX(0,$A13-'1. Inputs'!$C$27-'1. Inputs'!$B$30+1)&lt;=0,0,'1. Inputs'!$B$27*('1. Inputs'!$B$5-'5. Diagnosing a miss'!$B$21)*MAX(0,$A13-'1. Inputs'!$C$27-'1. Inputs'!$B$30+1)^'1. Inputs'!$B$7/('1. Inputs'!$B$6^'1. Inputs'!$B$7+MAX(0,$A13-'1. Inputs'!$C$27-'1. Inputs'!$B$30+1)^'1. Inputs'!$B$7)*('1. Inputs'!$B$9+'1. Inputs'!$B$10*MAX(0,$A13-'1. Inputs'!$C$27-'1. Inputs'!$B$30+1)/(MAX(0,$A13-'1. Inputs'!$C$27-'1. Inputs'!$B$30+1)+'1. Inputs'!$B$11))*'1. Inputs'!$B$13*(1+'1. Inputs'!$B$14*MIN(MAX(0,$A13-'1. Inputs'!$C$27-'1. Inputs'!$B$30+1),'1. Inputs'!$B$15))*'1. Inputs'!$B$31)</f>
        <v>0</v>
      </c>
      <c r="O13" s="22" t="n">
        <f aca="false">SUM(K13:N13)</f>
        <v>538867.924528302</v>
      </c>
      <c r="P13" s="22" t="n">
        <f aca="false">IF($A13=MAX('1. Inputs'!$B$17,1),'1. Inputs'!$B$3,0)+IF($A13-'1. Inputs'!$B$17&gt;=1,INDEX(O$3:O$86,$A13-'1. Inputs'!$B$17),0)</f>
        <v>0</v>
      </c>
      <c r="Q13" s="22" t="n">
        <f aca="false">Q12*(1-'1. Inputs'!$B$18)+P13</f>
        <v>0</v>
      </c>
      <c r="R13" s="22" t="n">
        <f aca="false">Q13*'1. Inputs'!$B$18</f>
        <v>0</v>
      </c>
      <c r="S13" s="22" t="n">
        <f aca="false">S12+O13-R13</f>
        <v>151197761.997542</v>
      </c>
      <c r="T13" s="22" t="n">
        <f aca="false">IF(MAX(0,$A13-'1. Inputs'!$C$24-'1. Inputs'!$B$30+1)&lt;=0,0,'1. Inputs'!$B$24*'1. Inputs'!$B$5*MAX(0,$A13-'1. Inputs'!$C$24-'1. Inputs'!$B$30+1)^'1. Inputs'!$B$7/('1. Inputs'!$B$6^'1. Inputs'!$B$7+MAX(0,$A13-'1. Inputs'!$C$24-'1. Inputs'!$B$30+1)^'1. Inputs'!$B$7)*('1. Inputs'!$B$9+'1. Inputs'!$B$10*MAX(0,$A13-'1. Inputs'!$C$24-'1. Inputs'!$B$30+1)/(MAX(0,$A13-'1. Inputs'!$C$24-'1. Inputs'!$B$30+1)+'1. Inputs'!$B$11))*'1. Inputs'!$B$13*(1+'1. Inputs'!$B$14*MIN(MAX(0,$A13-'1. Inputs'!$C$24-'1. Inputs'!$B$30+1),'1. Inputs'!$B$15))*('1. Inputs'!$B$31*'5. Diagnosing a miss'!$B$22))</f>
        <v>545603.773584906</v>
      </c>
      <c r="U13" s="22" t="n">
        <f aca="false">IF(MAX(0,$A13-'1. Inputs'!$C$25-'1. Inputs'!$B$30+1)&lt;=0,0,'1. Inputs'!$B$25*'1. Inputs'!$B$5*MAX(0,$A13-'1. Inputs'!$C$25-'1. Inputs'!$B$30+1)^'1. Inputs'!$B$7/('1. Inputs'!$B$6^'1. Inputs'!$B$7+MAX(0,$A13-'1. Inputs'!$C$25-'1. Inputs'!$B$30+1)^'1. Inputs'!$B$7)*('1. Inputs'!$B$9+'1. Inputs'!$B$10*MAX(0,$A13-'1. Inputs'!$C$25-'1. Inputs'!$B$30+1)/(MAX(0,$A13-'1. Inputs'!$C$25-'1. Inputs'!$B$30+1)+'1. Inputs'!$B$11))*'1. Inputs'!$B$13*(1+'1. Inputs'!$B$14*MIN(MAX(0,$A13-'1. Inputs'!$C$25-'1. Inputs'!$B$30+1),'1. Inputs'!$B$15))*('1. Inputs'!$B$31*'5. Diagnosing a miss'!$B$22))</f>
        <v>0</v>
      </c>
      <c r="V13" s="22" t="n">
        <f aca="false">IF(MAX(0,$A13-'1. Inputs'!$C$26-'1. Inputs'!$B$30+1)&lt;=0,0,'1. Inputs'!$B$26*'1. Inputs'!$B$5*MAX(0,$A13-'1. Inputs'!$C$26-'1. Inputs'!$B$30+1)^'1. Inputs'!$B$7/('1. Inputs'!$B$6^'1. Inputs'!$B$7+MAX(0,$A13-'1. Inputs'!$C$26-'1. Inputs'!$B$30+1)^'1. Inputs'!$B$7)*('1. Inputs'!$B$9+'1. Inputs'!$B$10*MAX(0,$A13-'1. Inputs'!$C$26-'1. Inputs'!$B$30+1)/(MAX(0,$A13-'1. Inputs'!$C$26-'1. Inputs'!$B$30+1)+'1. Inputs'!$B$11))*'1. Inputs'!$B$13*(1+'1. Inputs'!$B$14*MIN(MAX(0,$A13-'1. Inputs'!$C$26-'1. Inputs'!$B$30+1),'1. Inputs'!$B$15))*('1. Inputs'!$B$31*'5. Diagnosing a miss'!$B$22))</f>
        <v>0</v>
      </c>
      <c r="W13" s="22" t="n">
        <f aca="false">IF(MAX(0,$A13-'1. Inputs'!$C$27-'1. Inputs'!$B$30+1)&lt;=0,0,'1. Inputs'!$B$27*'1. Inputs'!$B$5*MAX(0,$A13-'1. Inputs'!$C$27-'1. Inputs'!$B$30+1)^'1. Inputs'!$B$7/('1. Inputs'!$B$6^'1. Inputs'!$B$7+MAX(0,$A13-'1. Inputs'!$C$27-'1. Inputs'!$B$30+1)^'1. Inputs'!$B$7)*('1. Inputs'!$B$9+'1. Inputs'!$B$10*MAX(0,$A13-'1. Inputs'!$C$27-'1. Inputs'!$B$30+1)/(MAX(0,$A13-'1. Inputs'!$C$27-'1. Inputs'!$B$30+1)+'1. Inputs'!$B$11))*'1. Inputs'!$B$13*(1+'1. Inputs'!$B$14*MIN(MAX(0,$A13-'1. Inputs'!$C$27-'1. Inputs'!$B$30+1),'1. Inputs'!$B$15))*('1. Inputs'!$B$31*'5. Diagnosing a miss'!$B$22))</f>
        <v>0</v>
      </c>
      <c r="X13" s="22" t="n">
        <f aca="false">SUM(T13:W13)</f>
        <v>545603.773584906</v>
      </c>
      <c r="Y13" s="22" t="n">
        <f aca="false">IF($A13=MAX('1. Inputs'!$B$17,1),'1. Inputs'!$B$3,0)+IF($A13-'1. Inputs'!$B$17&gt;=1,INDEX(X$3:X$86,$A13-'1. Inputs'!$B$17),0)</f>
        <v>0</v>
      </c>
      <c r="Z13" s="22" t="n">
        <f aca="false">Z12*(1-'1. Inputs'!$B$18)+Y13</f>
        <v>0</v>
      </c>
      <c r="AA13" s="22" t="n">
        <f aca="false">Z13*'1. Inputs'!$B$18</f>
        <v>0</v>
      </c>
      <c r="AB13" s="22" t="n">
        <f aca="false">AB12+X13-AA13</f>
        <v>151212734.022512</v>
      </c>
      <c r="AC13" s="22" t="n">
        <f aca="false">IF(MAX(0,$A13-'1. Inputs'!$C$24-('1. Inputs'!$B$30+'5. Diagnosing a miss'!$B$23)+1)&lt;=0,0,'1. Inputs'!$B$24*'1. Inputs'!$B$5*MAX(0,$A13-'1. Inputs'!$C$24-('1. Inputs'!$B$30+'5. Diagnosing a miss'!$B$23)+1)^'1. Inputs'!$B$7/('1. Inputs'!$B$6^'1. Inputs'!$B$7+MAX(0,$A13-'1. Inputs'!$C$24-('1. Inputs'!$B$30+'5. Diagnosing a miss'!$B$23)+1)^'1. Inputs'!$B$7)*('1. Inputs'!$B$9+'1. Inputs'!$B$10*MAX(0,$A13-'1. Inputs'!$C$24-('1. Inputs'!$B$30+'5. Diagnosing a miss'!$B$23)+1)/(MAX(0,$A13-'1. Inputs'!$C$24-('1. Inputs'!$B$30+'5. Diagnosing a miss'!$B$23)+1)+'1. Inputs'!$B$11))*'1. Inputs'!$B$13*(1+'1. Inputs'!$B$14*MIN(MAX(0,$A13-'1. Inputs'!$C$24-('1. Inputs'!$B$30+'5. Diagnosing a miss'!$B$23)+1),'1. Inputs'!$B$15))*'1. Inputs'!$B$31)</f>
        <v>96198.7764705882</v>
      </c>
      <c r="AD13" s="22" t="n">
        <f aca="false">IF(MAX(0,$A13-'1. Inputs'!$C$25-('1. Inputs'!$B$30+'5. Diagnosing a miss'!$B$23)+1)&lt;=0,0,'1. Inputs'!$B$25*'1. Inputs'!$B$5*MAX(0,$A13-'1. Inputs'!$C$25-('1. Inputs'!$B$30+'5. Diagnosing a miss'!$B$23)+1)^'1. Inputs'!$B$7/('1. Inputs'!$B$6^'1. Inputs'!$B$7+MAX(0,$A13-'1. Inputs'!$C$25-('1. Inputs'!$B$30+'5. Diagnosing a miss'!$B$23)+1)^'1. Inputs'!$B$7)*('1. Inputs'!$B$9+'1. Inputs'!$B$10*MAX(0,$A13-'1. Inputs'!$C$25-('1. Inputs'!$B$30+'5. Diagnosing a miss'!$B$23)+1)/(MAX(0,$A13-'1. Inputs'!$C$25-('1. Inputs'!$B$30+'5. Diagnosing a miss'!$B$23)+1)+'1. Inputs'!$B$11))*'1. Inputs'!$B$13*(1+'1. Inputs'!$B$14*MIN(MAX(0,$A13-'1. Inputs'!$C$25-('1. Inputs'!$B$30+'5. Diagnosing a miss'!$B$23)+1),'1. Inputs'!$B$15))*'1. Inputs'!$B$31)</f>
        <v>0</v>
      </c>
      <c r="AE13" s="22" t="n">
        <f aca="false">IF(MAX(0,$A13-'1. Inputs'!$C$26-('1. Inputs'!$B$30+'5. Diagnosing a miss'!$B$23)+1)&lt;=0,0,'1. Inputs'!$B$26*'1. Inputs'!$B$5*MAX(0,$A13-'1. Inputs'!$C$26-('1. Inputs'!$B$30+'5. Diagnosing a miss'!$B$23)+1)^'1. Inputs'!$B$7/('1. Inputs'!$B$6^'1. Inputs'!$B$7+MAX(0,$A13-'1. Inputs'!$C$26-('1. Inputs'!$B$30+'5. Diagnosing a miss'!$B$23)+1)^'1. Inputs'!$B$7)*('1. Inputs'!$B$9+'1. Inputs'!$B$10*MAX(0,$A13-'1. Inputs'!$C$26-('1. Inputs'!$B$30+'5. Diagnosing a miss'!$B$23)+1)/(MAX(0,$A13-'1. Inputs'!$C$26-('1. Inputs'!$B$30+'5. Diagnosing a miss'!$B$23)+1)+'1. Inputs'!$B$11))*'1. Inputs'!$B$13*(1+'1. Inputs'!$B$14*MIN(MAX(0,$A13-'1. Inputs'!$C$26-('1. Inputs'!$B$30+'5. Diagnosing a miss'!$B$23)+1),'1. Inputs'!$B$15))*'1. Inputs'!$B$31)</f>
        <v>0</v>
      </c>
      <c r="AF13" s="22" t="n">
        <f aca="false">IF(MAX(0,$A13-'1. Inputs'!$C$27-('1. Inputs'!$B$30+'5. Diagnosing a miss'!$B$23)+1)&lt;=0,0,'1. Inputs'!$B$27*'1. Inputs'!$B$5*MAX(0,$A13-'1. Inputs'!$C$27-('1. Inputs'!$B$30+'5. Diagnosing a miss'!$B$23)+1)^'1. Inputs'!$B$7/('1. Inputs'!$B$6^'1. Inputs'!$B$7+MAX(0,$A13-'1. Inputs'!$C$27-('1. Inputs'!$B$30+'5. Diagnosing a miss'!$B$23)+1)^'1. Inputs'!$B$7)*('1. Inputs'!$B$9+'1. Inputs'!$B$10*MAX(0,$A13-'1. Inputs'!$C$27-('1. Inputs'!$B$30+'5. Diagnosing a miss'!$B$23)+1)/(MAX(0,$A13-'1. Inputs'!$C$27-('1. Inputs'!$B$30+'5. Diagnosing a miss'!$B$23)+1)+'1. Inputs'!$B$11))*'1. Inputs'!$B$13*(1+'1. Inputs'!$B$14*MIN(MAX(0,$A13-'1. Inputs'!$C$27-('1. Inputs'!$B$30+'5. Diagnosing a miss'!$B$23)+1),'1. Inputs'!$B$15))*'1. Inputs'!$B$31)</f>
        <v>0</v>
      </c>
      <c r="AG13" s="22" t="n">
        <f aca="false">SUM(AC13:AF13)</f>
        <v>96198.7764705882</v>
      </c>
      <c r="AH13" s="22" t="n">
        <f aca="false">IF($A13=MAX('1. Inputs'!$B$17,1),'1. Inputs'!$B$3,0)+IF($A13-'1. Inputs'!$B$17&gt;=1,INDEX(AG$3:AG$86,$A13-'1. Inputs'!$B$17),0)</f>
        <v>0</v>
      </c>
      <c r="AI13" s="22" t="n">
        <f aca="false">AI12*(1-'1. Inputs'!$B$18)+AH13</f>
        <v>0</v>
      </c>
      <c r="AJ13" s="22" t="n">
        <f aca="false">AI13*'1. Inputs'!$B$18</f>
        <v>0</v>
      </c>
      <c r="AK13" s="22" t="n">
        <f aca="false">AK12+AG13-AJ13</f>
        <v>150118230.776471</v>
      </c>
    </row>
    <row r="14" customFormat="false" ht="15" hidden="false" customHeight="false" outlineLevel="0" collapsed="false">
      <c r="A14" s="7" t="n">
        <v>12</v>
      </c>
      <c r="B14" s="22" t="n">
        <f aca="false">IF(MAX(0,$A14-'1. Inputs'!$C$24-'1. Inputs'!$B$30+1)&lt;=0,0,'1. Inputs'!$B$24*'1. Inputs'!$B$5*MAX(0,$A14-'1. Inputs'!$C$24-'1. Inputs'!$B$30+1)^'1. Inputs'!$B$7/('1. Inputs'!$B$6^'1. Inputs'!$B$7+MAX(0,$A14-'1. Inputs'!$C$24-'1. Inputs'!$B$30+1)^'1. Inputs'!$B$7)*('1. Inputs'!$B$9+'1. Inputs'!$B$10*MAX(0,$A14-'1. Inputs'!$C$24-'1. Inputs'!$B$30+1)/(MAX(0,$A14-'1. Inputs'!$C$24-'1. Inputs'!$B$30+1)+'1. Inputs'!$B$11))*'1. Inputs'!$B$13*(1+'1. Inputs'!$B$14*MIN(MAX(0,$A14-'1. Inputs'!$C$24-'1. Inputs'!$B$30+1),'1. Inputs'!$B$15))*'1. Inputs'!$B$31)</f>
        <v>833693.538461539</v>
      </c>
      <c r="C14" s="22" t="n">
        <f aca="false">IF(MAX(0,$A14-'1. Inputs'!$C$25-'1. Inputs'!$B$30+1)&lt;=0,0,'1. Inputs'!$B$25*'1. Inputs'!$B$5*MAX(0,$A14-'1. Inputs'!$C$25-'1. Inputs'!$B$30+1)^'1. Inputs'!$B$7/('1. Inputs'!$B$6^'1. Inputs'!$B$7+MAX(0,$A14-'1. Inputs'!$C$25-'1. Inputs'!$B$30+1)^'1. Inputs'!$B$7)*('1. Inputs'!$B$9+'1. Inputs'!$B$10*MAX(0,$A14-'1. Inputs'!$C$25-'1. Inputs'!$B$30+1)/(MAX(0,$A14-'1. Inputs'!$C$25-'1. Inputs'!$B$30+1)+'1. Inputs'!$B$11))*'1. Inputs'!$B$13*(1+'1. Inputs'!$B$14*MIN(MAX(0,$A14-'1. Inputs'!$C$25-'1. Inputs'!$B$30+1),'1. Inputs'!$B$15))*'1. Inputs'!$B$31)</f>
        <v>29376</v>
      </c>
      <c r="D14" s="22" t="n">
        <f aca="false">IF(MAX(0,$A14-'1. Inputs'!$C$26-'1. Inputs'!$B$30+1)&lt;=0,0,'1. Inputs'!$B$26*'1. Inputs'!$B$5*MAX(0,$A14-'1. Inputs'!$C$26-'1. Inputs'!$B$30+1)^'1. Inputs'!$B$7/('1. Inputs'!$B$6^'1. Inputs'!$B$7+MAX(0,$A14-'1. Inputs'!$C$26-'1. Inputs'!$B$30+1)^'1. Inputs'!$B$7)*('1. Inputs'!$B$9+'1. Inputs'!$B$10*MAX(0,$A14-'1. Inputs'!$C$26-'1. Inputs'!$B$30+1)/(MAX(0,$A14-'1. Inputs'!$C$26-'1. Inputs'!$B$30+1)+'1. Inputs'!$B$11))*'1. Inputs'!$B$13*(1+'1. Inputs'!$B$14*MIN(MAX(0,$A14-'1. Inputs'!$C$26-'1. Inputs'!$B$30+1),'1. Inputs'!$B$15))*'1. Inputs'!$B$31)</f>
        <v>0</v>
      </c>
      <c r="E14" s="22" t="n">
        <f aca="false">IF(MAX(0,$A14-'1. Inputs'!$C$27-'1. Inputs'!$B$30+1)&lt;=0,0,'1. Inputs'!$B$27*'1. Inputs'!$B$5*MAX(0,$A14-'1. Inputs'!$C$27-'1. Inputs'!$B$30+1)^'1. Inputs'!$B$7/('1. Inputs'!$B$6^'1. Inputs'!$B$7+MAX(0,$A14-'1. Inputs'!$C$27-'1. Inputs'!$B$30+1)^'1. Inputs'!$B$7)*('1. Inputs'!$B$9+'1. Inputs'!$B$10*MAX(0,$A14-'1. Inputs'!$C$27-'1. Inputs'!$B$30+1)/(MAX(0,$A14-'1. Inputs'!$C$27-'1. Inputs'!$B$30+1)+'1. Inputs'!$B$11))*'1. Inputs'!$B$13*(1+'1. Inputs'!$B$14*MIN(MAX(0,$A14-'1. Inputs'!$C$27-'1. Inputs'!$B$30+1),'1. Inputs'!$B$15))*'1. Inputs'!$B$31)</f>
        <v>0</v>
      </c>
      <c r="F14" s="22" t="n">
        <f aca="false">SUM(B14:E14)</f>
        <v>863069.538461539</v>
      </c>
      <c r="G14" s="22" t="n">
        <f aca="false">IF($A14=MAX('1. Inputs'!$B$17,1),'1. Inputs'!$B$3,0)+IF($A14-'1. Inputs'!$B$17&gt;=1,INDEX(F$3:F$86,$A14-'1. Inputs'!$B$17),0)</f>
        <v>150000000</v>
      </c>
      <c r="H14" s="22" t="n">
        <f aca="false">H13*(1-'1. Inputs'!$B$18)+G14</f>
        <v>150000000</v>
      </c>
      <c r="I14" s="22" t="n">
        <f aca="false">H14*'1. Inputs'!$B$18</f>
        <v>1500000</v>
      </c>
      <c r="J14" s="22" t="n">
        <f aca="false">J13+F14-I14</f>
        <v>150710551.785697</v>
      </c>
      <c r="K14" s="22" t="n">
        <f aca="false">IF(MAX(0,$A14-'1. Inputs'!$C$24-'1. Inputs'!$B$30+1)&lt;=0,0,'1. Inputs'!$B$24*('1. Inputs'!$B$5-'5. Diagnosing a miss'!$B$21)*MAX(0,$A14-'1. Inputs'!$C$24-'1. Inputs'!$B$30+1)^'1. Inputs'!$B$7/('1. Inputs'!$B$6^'1. Inputs'!$B$7+MAX(0,$A14-'1. Inputs'!$C$24-'1. Inputs'!$B$30+1)^'1. Inputs'!$B$7)*('1. Inputs'!$B$9+'1. Inputs'!$B$10*MAX(0,$A14-'1. Inputs'!$C$24-'1. Inputs'!$B$30+1)/(MAX(0,$A14-'1. Inputs'!$C$24-'1. Inputs'!$B$30+1)+'1. Inputs'!$B$11))*'1. Inputs'!$B$13*(1+'1. Inputs'!$B$14*MIN(MAX(0,$A14-'1. Inputs'!$C$24-'1. Inputs'!$B$30+1),'1. Inputs'!$B$15))*'1. Inputs'!$B$31)</f>
        <v>741060.923076923</v>
      </c>
      <c r="L14" s="22" t="n">
        <f aca="false">IF(MAX(0,$A14-'1. Inputs'!$C$25-'1. Inputs'!$B$30+1)&lt;=0,0,'1. Inputs'!$B$25*('1. Inputs'!$B$5-'5. Diagnosing a miss'!$B$21)*MAX(0,$A14-'1. Inputs'!$C$25-'1. Inputs'!$B$30+1)^'1. Inputs'!$B$7/('1. Inputs'!$B$6^'1. Inputs'!$B$7+MAX(0,$A14-'1. Inputs'!$C$25-'1. Inputs'!$B$30+1)^'1. Inputs'!$B$7)*('1. Inputs'!$B$9+'1. Inputs'!$B$10*MAX(0,$A14-'1. Inputs'!$C$25-'1. Inputs'!$B$30+1)/(MAX(0,$A14-'1. Inputs'!$C$25-'1. Inputs'!$B$30+1)+'1. Inputs'!$B$11))*'1. Inputs'!$B$13*(1+'1. Inputs'!$B$14*MIN(MAX(0,$A14-'1. Inputs'!$C$25-'1. Inputs'!$B$30+1),'1. Inputs'!$B$15))*'1. Inputs'!$B$31)</f>
        <v>26112</v>
      </c>
      <c r="M14" s="22" t="n">
        <f aca="false">IF(MAX(0,$A14-'1. Inputs'!$C$26-'1. Inputs'!$B$30+1)&lt;=0,0,'1. Inputs'!$B$26*('1. Inputs'!$B$5-'5. Diagnosing a miss'!$B$21)*MAX(0,$A14-'1. Inputs'!$C$26-'1. Inputs'!$B$30+1)^'1. Inputs'!$B$7/('1. Inputs'!$B$6^'1. Inputs'!$B$7+MAX(0,$A14-'1. Inputs'!$C$26-'1. Inputs'!$B$30+1)^'1. Inputs'!$B$7)*('1. Inputs'!$B$9+'1. Inputs'!$B$10*MAX(0,$A14-'1. Inputs'!$C$26-'1. Inputs'!$B$30+1)/(MAX(0,$A14-'1. Inputs'!$C$26-'1. Inputs'!$B$30+1)+'1. Inputs'!$B$11))*'1. Inputs'!$B$13*(1+'1. Inputs'!$B$14*MIN(MAX(0,$A14-'1. Inputs'!$C$26-'1. Inputs'!$B$30+1),'1. Inputs'!$B$15))*'1. Inputs'!$B$31)</f>
        <v>0</v>
      </c>
      <c r="N14" s="22" t="n">
        <f aca="false">IF(MAX(0,$A14-'1. Inputs'!$C$27-'1. Inputs'!$B$30+1)&lt;=0,0,'1. Inputs'!$B$27*('1. Inputs'!$B$5-'5. Diagnosing a miss'!$B$21)*MAX(0,$A14-'1. Inputs'!$C$27-'1. Inputs'!$B$30+1)^'1. Inputs'!$B$7/('1. Inputs'!$B$6^'1. Inputs'!$B$7+MAX(0,$A14-'1. Inputs'!$C$27-'1. Inputs'!$B$30+1)^'1. Inputs'!$B$7)*('1. Inputs'!$B$9+'1. Inputs'!$B$10*MAX(0,$A14-'1. Inputs'!$C$27-'1. Inputs'!$B$30+1)/(MAX(0,$A14-'1. Inputs'!$C$27-'1. Inputs'!$B$30+1)+'1. Inputs'!$B$11))*'1. Inputs'!$B$13*(1+'1. Inputs'!$B$14*MIN(MAX(0,$A14-'1. Inputs'!$C$27-'1. Inputs'!$B$30+1),'1. Inputs'!$B$15))*'1. Inputs'!$B$31)</f>
        <v>0</v>
      </c>
      <c r="O14" s="22" t="n">
        <f aca="false">SUM(K14:N14)</f>
        <v>767172.923076923</v>
      </c>
      <c r="P14" s="22" t="n">
        <f aca="false">IF($A14=MAX('1. Inputs'!$B$17,1),'1. Inputs'!$B$3,0)+IF($A14-'1. Inputs'!$B$17&gt;=1,INDEX(O$3:O$86,$A14-'1. Inputs'!$B$17),0)</f>
        <v>150000000</v>
      </c>
      <c r="Q14" s="22" t="n">
        <f aca="false">Q13*(1-'1. Inputs'!$B$18)+P14</f>
        <v>150000000</v>
      </c>
      <c r="R14" s="22" t="n">
        <f aca="false">Q14*'1. Inputs'!$B$18</f>
        <v>1500000</v>
      </c>
      <c r="S14" s="22" t="n">
        <f aca="false">S13+O14-R14</f>
        <v>150464934.920619</v>
      </c>
      <c r="T14" s="22" t="n">
        <f aca="false">IF(MAX(0,$A14-'1. Inputs'!$C$24-'1. Inputs'!$B$30+1)&lt;=0,0,'1. Inputs'!$B$24*'1. Inputs'!$B$5*MAX(0,$A14-'1. Inputs'!$C$24-'1. Inputs'!$B$30+1)^'1. Inputs'!$B$7/('1. Inputs'!$B$6^'1. Inputs'!$B$7+MAX(0,$A14-'1. Inputs'!$C$24-'1. Inputs'!$B$30+1)^'1. Inputs'!$B$7)*('1. Inputs'!$B$9+'1. Inputs'!$B$10*MAX(0,$A14-'1. Inputs'!$C$24-'1. Inputs'!$B$30+1)/(MAX(0,$A14-'1. Inputs'!$C$24-'1. Inputs'!$B$30+1)+'1. Inputs'!$B$11))*'1. Inputs'!$B$13*(1+'1. Inputs'!$B$14*MIN(MAX(0,$A14-'1. Inputs'!$C$24-'1. Inputs'!$B$30+1),'1. Inputs'!$B$15))*('1. Inputs'!$B$31*'5. Diagnosing a miss'!$B$22))</f>
        <v>750324.184615385</v>
      </c>
      <c r="U14" s="22" t="n">
        <f aca="false">IF(MAX(0,$A14-'1. Inputs'!$C$25-'1. Inputs'!$B$30+1)&lt;=0,0,'1. Inputs'!$B$25*'1. Inputs'!$B$5*MAX(0,$A14-'1. Inputs'!$C$25-'1. Inputs'!$B$30+1)^'1. Inputs'!$B$7/('1. Inputs'!$B$6^'1. Inputs'!$B$7+MAX(0,$A14-'1. Inputs'!$C$25-'1. Inputs'!$B$30+1)^'1. Inputs'!$B$7)*('1. Inputs'!$B$9+'1. Inputs'!$B$10*MAX(0,$A14-'1. Inputs'!$C$25-'1. Inputs'!$B$30+1)/(MAX(0,$A14-'1. Inputs'!$C$25-'1. Inputs'!$B$30+1)+'1. Inputs'!$B$11))*'1. Inputs'!$B$13*(1+'1. Inputs'!$B$14*MIN(MAX(0,$A14-'1. Inputs'!$C$25-'1. Inputs'!$B$30+1),'1. Inputs'!$B$15))*('1. Inputs'!$B$31*'5. Diagnosing a miss'!$B$22))</f>
        <v>26438.4</v>
      </c>
      <c r="V14" s="22" t="n">
        <f aca="false">IF(MAX(0,$A14-'1. Inputs'!$C$26-'1. Inputs'!$B$30+1)&lt;=0,0,'1. Inputs'!$B$26*'1. Inputs'!$B$5*MAX(0,$A14-'1. Inputs'!$C$26-'1. Inputs'!$B$30+1)^'1. Inputs'!$B$7/('1. Inputs'!$B$6^'1. Inputs'!$B$7+MAX(0,$A14-'1. Inputs'!$C$26-'1. Inputs'!$B$30+1)^'1. Inputs'!$B$7)*('1. Inputs'!$B$9+'1. Inputs'!$B$10*MAX(0,$A14-'1. Inputs'!$C$26-'1. Inputs'!$B$30+1)/(MAX(0,$A14-'1. Inputs'!$C$26-'1. Inputs'!$B$30+1)+'1. Inputs'!$B$11))*'1. Inputs'!$B$13*(1+'1. Inputs'!$B$14*MIN(MAX(0,$A14-'1. Inputs'!$C$26-'1. Inputs'!$B$30+1),'1. Inputs'!$B$15))*('1. Inputs'!$B$31*'5. Diagnosing a miss'!$B$22))</f>
        <v>0</v>
      </c>
      <c r="W14" s="22" t="n">
        <f aca="false">IF(MAX(0,$A14-'1. Inputs'!$C$27-'1. Inputs'!$B$30+1)&lt;=0,0,'1. Inputs'!$B$27*'1. Inputs'!$B$5*MAX(0,$A14-'1. Inputs'!$C$27-'1. Inputs'!$B$30+1)^'1. Inputs'!$B$7/('1. Inputs'!$B$6^'1. Inputs'!$B$7+MAX(0,$A14-'1. Inputs'!$C$27-'1. Inputs'!$B$30+1)^'1. Inputs'!$B$7)*('1. Inputs'!$B$9+'1. Inputs'!$B$10*MAX(0,$A14-'1. Inputs'!$C$27-'1. Inputs'!$B$30+1)/(MAX(0,$A14-'1. Inputs'!$C$27-'1. Inputs'!$B$30+1)+'1. Inputs'!$B$11))*'1. Inputs'!$B$13*(1+'1. Inputs'!$B$14*MIN(MAX(0,$A14-'1. Inputs'!$C$27-'1. Inputs'!$B$30+1),'1. Inputs'!$B$15))*('1. Inputs'!$B$31*'5. Diagnosing a miss'!$B$22))</f>
        <v>0</v>
      </c>
      <c r="X14" s="22" t="n">
        <f aca="false">SUM(T14:W14)</f>
        <v>776762.584615385</v>
      </c>
      <c r="Y14" s="22" t="n">
        <f aca="false">IF($A14=MAX('1. Inputs'!$B$17,1),'1. Inputs'!$B$3,0)+IF($A14-'1. Inputs'!$B$17&gt;=1,INDEX(X$3:X$86,$A14-'1. Inputs'!$B$17),0)</f>
        <v>150000000</v>
      </c>
      <c r="Z14" s="22" t="n">
        <f aca="false">Z13*(1-'1. Inputs'!$B$18)+Y14</f>
        <v>150000000</v>
      </c>
      <c r="AA14" s="22" t="n">
        <f aca="false">Z14*'1. Inputs'!$B$18</f>
        <v>1500000</v>
      </c>
      <c r="AB14" s="22" t="n">
        <f aca="false">AB13+X14-AA14</f>
        <v>150489496.607127</v>
      </c>
      <c r="AC14" s="22" t="n">
        <f aca="false">IF(MAX(0,$A14-'1. Inputs'!$C$24-('1. Inputs'!$B$30+'5. Diagnosing a miss'!$B$23)+1)&lt;=0,0,'1. Inputs'!$B$24*'1. Inputs'!$B$5*MAX(0,$A14-'1. Inputs'!$C$24-('1. Inputs'!$B$30+'5. Diagnosing a miss'!$B$23)+1)^'1. Inputs'!$B$7/('1. Inputs'!$B$6^'1. Inputs'!$B$7+MAX(0,$A14-'1. Inputs'!$C$24-('1. Inputs'!$B$30+'5. Diagnosing a miss'!$B$23)+1)^'1. Inputs'!$B$7)*('1. Inputs'!$B$9+'1. Inputs'!$B$10*MAX(0,$A14-'1. Inputs'!$C$24-('1. Inputs'!$B$30+'5. Diagnosing a miss'!$B$23)+1)/(MAX(0,$A14-'1. Inputs'!$C$24-('1. Inputs'!$B$30+'5. Diagnosing a miss'!$B$23)+1)+'1. Inputs'!$B$11))*'1. Inputs'!$B$13*(1+'1. Inputs'!$B$14*MIN(MAX(0,$A14-'1. Inputs'!$C$24-('1. Inputs'!$B$30+'5. Diagnosing a miss'!$B$23)+1),'1. Inputs'!$B$15))*'1. Inputs'!$B$31)</f>
        <v>224380.8</v>
      </c>
      <c r="AD14" s="22" t="n">
        <f aca="false">IF(MAX(0,$A14-'1. Inputs'!$C$25-('1. Inputs'!$B$30+'5. Diagnosing a miss'!$B$23)+1)&lt;=0,0,'1. Inputs'!$B$25*'1. Inputs'!$B$5*MAX(0,$A14-'1. Inputs'!$C$25-('1. Inputs'!$B$30+'5. Diagnosing a miss'!$B$23)+1)^'1. Inputs'!$B$7/('1. Inputs'!$B$6^'1. Inputs'!$B$7+MAX(0,$A14-'1. Inputs'!$C$25-('1. Inputs'!$B$30+'5. Diagnosing a miss'!$B$23)+1)^'1. Inputs'!$B$7)*('1. Inputs'!$B$9+'1. Inputs'!$B$10*MAX(0,$A14-'1. Inputs'!$C$25-('1. Inputs'!$B$30+'5. Diagnosing a miss'!$B$23)+1)/(MAX(0,$A14-'1. Inputs'!$C$25-('1. Inputs'!$B$30+'5. Diagnosing a miss'!$B$23)+1)+'1. Inputs'!$B$11))*'1. Inputs'!$B$13*(1+'1. Inputs'!$B$14*MIN(MAX(0,$A14-'1. Inputs'!$C$25-('1. Inputs'!$B$30+'5. Diagnosing a miss'!$B$23)+1),'1. Inputs'!$B$15))*'1. Inputs'!$B$31)</f>
        <v>0</v>
      </c>
      <c r="AE14" s="22" t="n">
        <f aca="false">IF(MAX(0,$A14-'1. Inputs'!$C$26-('1. Inputs'!$B$30+'5. Diagnosing a miss'!$B$23)+1)&lt;=0,0,'1. Inputs'!$B$26*'1. Inputs'!$B$5*MAX(0,$A14-'1. Inputs'!$C$26-('1. Inputs'!$B$30+'5. Diagnosing a miss'!$B$23)+1)^'1. Inputs'!$B$7/('1. Inputs'!$B$6^'1. Inputs'!$B$7+MAX(0,$A14-'1. Inputs'!$C$26-('1. Inputs'!$B$30+'5. Diagnosing a miss'!$B$23)+1)^'1. Inputs'!$B$7)*('1. Inputs'!$B$9+'1. Inputs'!$B$10*MAX(0,$A14-'1. Inputs'!$C$26-('1. Inputs'!$B$30+'5. Diagnosing a miss'!$B$23)+1)/(MAX(0,$A14-'1. Inputs'!$C$26-('1. Inputs'!$B$30+'5. Diagnosing a miss'!$B$23)+1)+'1. Inputs'!$B$11))*'1. Inputs'!$B$13*(1+'1. Inputs'!$B$14*MIN(MAX(0,$A14-'1. Inputs'!$C$26-('1. Inputs'!$B$30+'5. Diagnosing a miss'!$B$23)+1),'1. Inputs'!$B$15))*'1. Inputs'!$B$31)</f>
        <v>0</v>
      </c>
      <c r="AF14" s="22" t="n">
        <f aca="false">IF(MAX(0,$A14-'1. Inputs'!$C$27-('1. Inputs'!$B$30+'5. Diagnosing a miss'!$B$23)+1)&lt;=0,0,'1. Inputs'!$B$27*'1. Inputs'!$B$5*MAX(0,$A14-'1. Inputs'!$C$27-('1. Inputs'!$B$30+'5. Diagnosing a miss'!$B$23)+1)^'1. Inputs'!$B$7/('1. Inputs'!$B$6^'1. Inputs'!$B$7+MAX(0,$A14-'1. Inputs'!$C$27-('1. Inputs'!$B$30+'5. Diagnosing a miss'!$B$23)+1)^'1. Inputs'!$B$7)*('1. Inputs'!$B$9+'1. Inputs'!$B$10*MAX(0,$A14-'1. Inputs'!$C$27-('1. Inputs'!$B$30+'5. Diagnosing a miss'!$B$23)+1)/(MAX(0,$A14-'1. Inputs'!$C$27-('1. Inputs'!$B$30+'5. Diagnosing a miss'!$B$23)+1)+'1. Inputs'!$B$11))*'1. Inputs'!$B$13*(1+'1. Inputs'!$B$14*MIN(MAX(0,$A14-'1. Inputs'!$C$27-('1. Inputs'!$B$30+'5. Diagnosing a miss'!$B$23)+1),'1. Inputs'!$B$15))*'1. Inputs'!$B$31)</f>
        <v>0</v>
      </c>
      <c r="AG14" s="22" t="n">
        <f aca="false">SUM(AC14:AF14)</f>
        <v>224380.8</v>
      </c>
      <c r="AH14" s="22" t="n">
        <f aca="false">IF($A14=MAX('1. Inputs'!$B$17,1),'1. Inputs'!$B$3,0)+IF($A14-'1. Inputs'!$B$17&gt;=1,INDEX(AG$3:AG$86,$A14-'1. Inputs'!$B$17),0)</f>
        <v>150000000</v>
      </c>
      <c r="AI14" s="22" t="n">
        <f aca="false">AI13*(1-'1. Inputs'!$B$18)+AH14</f>
        <v>150000000</v>
      </c>
      <c r="AJ14" s="22" t="n">
        <f aca="false">AI14*'1. Inputs'!$B$18</f>
        <v>1500000</v>
      </c>
      <c r="AK14" s="22" t="n">
        <f aca="false">AK13+AG14-AJ14</f>
        <v>148842611.576471</v>
      </c>
    </row>
    <row r="15" customFormat="false" ht="15" hidden="false" customHeight="false" outlineLevel="0" collapsed="false">
      <c r="A15" s="7" t="n">
        <v>13</v>
      </c>
      <c r="B15" s="22" t="n">
        <f aca="false">IF(MAX(0,$A15-'1. Inputs'!$C$24-'1. Inputs'!$B$30+1)&lt;=0,0,'1. Inputs'!$B$24*'1. Inputs'!$B$5*MAX(0,$A15-'1. Inputs'!$C$24-'1. Inputs'!$B$30+1)^'1. Inputs'!$B$7/('1. Inputs'!$B$6^'1. Inputs'!$B$7+MAX(0,$A15-'1. Inputs'!$C$24-'1. Inputs'!$B$30+1)^'1. Inputs'!$B$7)*('1. Inputs'!$B$9+'1. Inputs'!$B$10*MAX(0,$A15-'1. Inputs'!$C$24-'1. Inputs'!$B$30+1)/(MAX(0,$A15-'1. Inputs'!$C$24-'1. Inputs'!$B$30+1)+'1. Inputs'!$B$11))*'1. Inputs'!$B$13*(1+'1. Inputs'!$B$14*MIN(MAX(0,$A15-'1. Inputs'!$C$24-'1. Inputs'!$B$30+1),'1. Inputs'!$B$15))*'1. Inputs'!$B$31)</f>
        <v>1069497.54319527</v>
      </c>
      <c r="C15" s="22" t="n">
        <f aca="false">IF(MAX(0,$A15-'1. Inputs'!$C$25-'1. Inputs'!$B$30+1)&lt;=0,0,'1. Inputs'!$B$25*'1. Inputs'!$B$5*MAX(0,$A15-'1. Inputs'!$C$25-'1. Inputs'!$B$30+1)^'1. Inputs'!$B$7/('1. Inputs'!$B$6^'1. Inputs'!$B$7+MAX(0,$A15-'1. Inputs'!$C$25-'1. Inputs'!$B$30+1)^'1. Inputs'!$B$7)*('1. Inputs'!$B$9+'1. Inputs'!$B$10*MAX(0,$A15-'1. Inputs'!$C$25-'1. Inputs'!$B$30+1)/(MAX(0,$A15-'1. Inputs'!$C$25-'1. Inputs'!$B$30+1)+'1. Inputs'!$B$11))*'1. Inputs'!$B$13*(1+'1. Inputs'!$B$14*MIN(MAX(0,$A15-'1. Inputs'!$C$25-'1. Inputs'!$B$30+1),'1. Inputs'!$B$15))*'1. Inputs'!$B$31)</f>
        <v>128265.035294118</v>
      </c>
      <c r="D15" s="22" t="n">
        <f aca="false">IF(MAX(0,$A15-'1. Inputs'!$C$26-'1. Inputs'!$B$30+1)&lt;=0,0,'1. Inputs'!$B$26*'1. Inputs'!$B$5*MAX(0,$A15-'1. Inputs'!$C$26-'1. Inputs'!$B$30+1)^'1. Inputs'!$B$7/('1. Inputs'!$B$6^'1. Inputs'!$B$7+MAX(0,$A15-'1. Inputs'!$C$26-'1. Inputs'!$B$30+1)^'1. Inputs'!$B$7)*('1. Inputs'!$B$9+'1. Inputs'!$B$10*MAX(0,$A15-'1. Inputs'!$C$26-'1. Inputs'!$B$30+1)/(MAX(0,$A15-'1. Inputs'!$C$26-'1. Inputs'!$B$30+1)+'1. Inputs'!$B$11))*'1. Inputs'!$B$13*(1+'1. Inputs'!$B$14*MIN(MAX(0,$A15-'1. Inputs'!$C$26-'1. Inputs'!$B$30+1),'1. Inputs'!$B$15))*'1. Inputs'!$B$31)</f>
        <v>0</v>
      </c>
      <c r="E15" s="22" t="n">
        <f aca="false">IF(MAX(0,$A15-'1. Inputs'!$C$27-'1. Inputs'!$B$30+1)&lt;=0,0,'1. Inputs'!$B$27*'1. Inputs'!$B$5*MAX(0,$A15-'1. Inputs'!$C$27-'1. Inputs'!$B$30+1)^'1. Inputs'!$B$7/('1. Inputs'!$B$6^'1. Inputs'!$B$7+MAX(0,$A15-'1. Inputs'!$C$27-'1. Inputs'!$B$30+1)^'1. Inputs'!$B$7)*('1. Inputs'!$B$9+'1. Inputs'!$B$10*MAX(0,$A15-'1. Inputs'!$C$27-'1. Inputs'!$B$30+1)/(MAX(0,$A15-'1. Inputs'!$C$27-'1. Inputs'!$B$30+1)+'1. Inputs'!$B$11))*'1. Inputs'!$B$13*(1+'1. Inputs'!$B$14*MIN(MAX(0,$A15-'1. Inputs'!$C$27-'1. Inputs'!$B$30+1),'1. Inputs'!$B$15))*'1. Inputs'!$B$31)</f>
        <v>0</v>
      </c>
      <c r="F15" s="22" t="n">
        <f aca="false">SUM(B15:E15)</f>
        <v>1197762.57848938</v>
      </c>
      <c r="G15" s="22" t="n">
        <f aca="false">IF($A15=MAX('1. Inputs'!$B$17,1),'1. Inputs'!$B$3,0)+IF($A15-'1. Inputs'!$B$17&gt;=1,INDEX(F$3:F$86,$A15-'1. Inputs'!$B$17),0)</f>
        <v>0</v>
      </c>
      <c r="H15" s="22" t="n">
        <f aca="false">H14*(1-'1. Inputs'!$B$18)+G15</f>
        <v>148500000</v>
      </c>
      <c r="I15" s="22" t="n">
        <f aca="false">H15*'1. Inputs'!$B$18</f>
        <v>1485000</v>
      </c>
      <c r="J15" s="22" t="n">
        <f aca="false">J14+F15-I15</f>
        <v>150423314.364186</v>
      </c>
      <c r="K15" s="22" t="n">
        <f aca="false">IF(MAX(0,$A15-'1. Inputs'!$C$24-'1. Inputs'!$B$30+1)&lt;=0,0,'1. Inputs'!$B$24*('1. Inputs'!$B$5-'5. Diagnosing a miss'!$B$21)*MAX(0,$A15-'1. Inputs'!$C$24-'1. Inputs'!$B$30+1)^'1. Inputs'!$B$7/('1. Inputs'!$B$6^'1. Inputs'!$B$7+MAX(0,$A15-'1. Inputs'!$C$24-'1. Inputs'!$B$30+1)^'1. Inputs'!$B$7)*('1. Inputs'!$B$9+'1. Inputs'!$B$10*MAX(0,$A15-'1. Inputs'!$C$24-'1. Inputs'!$B$30+1)/(MAX(0,$A15-'1. Inputs'!$C$24-'1. Inputs'!$B$30+1)+'1. Inputs'!$B$11))*'1. Inputs'!$B$13*(1+'1. Inputs'!$B$14*MIN(MAX(0,$A15-'1. Inputs'!$C$24-'1. Inputs'!$B$30+1),'1. Inputs'!$B$15))*'1. Inputs'!$B$31)</f>
        <v>950664.482840237</v>
      </c>
      <c r="L15" s="22" t="n">
        <f aca="false">IF(MAX(0,$A15-'1. Inputs'!$C$25-'1. Inputs'!$B$30+1)&lt;=0,0,'1. Inputs'!$B$25*('1. Inputs'!$B$5-'5. Diagnosing a miss'!$B$21)*MAX(0,$A15-'1. Inputs'!$C$25-'1. Inputs'!$B$30+1)^'1. Inputs'!$B$7/('1. Inputs'!$B$6^'1. Inputs'!$B$7+MAX(0,$A15-'1. Inputs'!$C$25-'1. Inputs'!$B$30+1)^'1. Inputs'!$B$7)*('1. Inputs'!$B$9+'1. Inputs'!$B$10*MAX(0,$A15-'1. Inputs'!$C$25-'1. Inputs'!$B$30+1)/(MAX(0,$A15-'1. Inputs'!$C$25-'1. Inputs'!$B$30+1)+'1. Inputs'!$B$11))*'1. Inputs'!$B$13*(1+'1. Inputs'!$B$14*MIN(MAX(0,$A15-'1. Inputs'!$C$25-'1. Inputs'!$B$30+1),'1. Inputs'!$B$15))*'1. Inputs'!$B$31)</f>
        <v>114013.364705882</v>
      </c>
      <c r="M15" s="22" t="n">
        <f aca="false">IF(MAX(0,$A15-'1. Inputs'!$C$26-'1. Inputs'!$B$30+1)&lt;=0,0,'1. Inputs'!$B$26*('1. Inputs'!$B$5-'5. Diagnosing a miss'!$B$21)*MAX(0,$A15-'1. Inputs'!$C$26-'1. Inputs'!$B$30+1)^'1. Inputs'!$B$7/('1. Inputs'!$B$6^'1. Inputs'!$B$7+MAX(0,$A15-'1. Inputs'!$C$26-'1. Inputs'!$B$30+1)^'1. Inputs'!$B$7)*('1. Inputs'!$B$9+'1. Inputs'!$B$10*MAX(0,$A15-'1. Inputs'!$C$26-'1. Inputs'!$B$30+1)/(MAX(0,$A15-'1. Inputs'!$C$26-'1. Inputs'!$B$30+1)+'1. Inputs'!$B$11))*'1. Inputs'!$B$13*(1+'1. Inputs'!$B$14*MIN(MAX(0,$A15-'1. Inputs'!$C$26-'1. Inputs'!$B$30+1),'1. Inputs'!$B$15))*'1. Inputs'!$B$31)</f>
        <v>0</v>
      </c>
      <c r="N15" s="22" t="n">
        <f aca="false">IF(MAX(0,$A15-'1. Inputs'!$C$27-'1. Inputs'!$B$30+1)&lt;=0,0,'1. Inputs'!$B$27*('1. Inputs'!$B$5-'5. Diagnosing a miss'!$B$21)*MAX(0,$A15-'1. Inputs'!$C$27-'1. Inputs'!$B$30+1)^'1. Inputs'!$B$7/('1. Inputs'!$B$6^'1. Inputs'!$B$7+MAX(0,$A15-'1. Inputs'!$C$27-'1. Inputs'!$B$30+1)^'1. Inputs'!$B$7)*('1. Inputs'!$B$9+'1. Inputs'!$B$10*MAX(0,$A15-'1. Inputs'!$C$27-'1. Inputs'!$B$30+1)/(MAX(0,$A15-'1. Inputs'!$C$27-'1. Inputs'!$B$30+1)+'1. Inputs'!$B$11))*'1. Inputs'!$B$13*(1+'1. Inputs'!$B$14*MIN(MAX(0,$A15-'1. Inputs'!$C$27-'1. Inputs'!$B$30+1),'1. Inputs'!$B$15))*'1. Inputs'!$B$31)</f>
        <v>0</v>
      </c>
      <c r="O15" s="22" t="n">
        <f aca="false">SUM(K15:N15)</f>
        <v>1064677.84754612</v>
      </c>
      <c r="P15" s="22" t="n">
        <f aca="false">IF($A15=MAX('1. Inputs'!$B$17,1),'1. Inputs'!$B$3,0)+IF($A15-'1. Inputs'!$B$17&gt;=1,INDEX(O$3:O$86,$A15-'1. Inputs'!$B$17),0)</f>
        <v>0</v>
      </c>
      <c r="Q15" s="22" t="n">
        <f aca="false">Q14*(1-'1. Inputs'!$B$18)+P15</f>
        <v>148500000</v>
      </c>
      <c r="R15" s="22" t="n">
        <f aca="false">Q15*'1. Inputs'!$B$18</f>
        <v>1485000</v>
      </c>
      <c r="S15" s="22" t="n">
        <f aca="false">S14+O15-R15</f>
        <v>150044612.768165</v>
      </c>
      <c r="T15" s="22" t="n">
        <f aca="false">IF(MAX(0,$A15-'1. Inputs'!$C$24-'1. Inputs'!$B$30+1)&lt;=0,0,'1. Inputs'!$B$24*'1. Inputs'!$B$5*MAX(0,$A15-'1. Inputs'!$C$24-'1. Inputs'!$B$30+1)^'1. Inputs'!$B$7/('1. Inputs'!$B$6^'1. Inputs'!$B$7+MAX(0,$A15-'1. Inputs'!$C$24-'1. Inputs'!$B$30+1)^'1. Inputs'!$B$7)*('1. Inputs'!$B$9+'1. Inputs'!$B$10*MAX(0,$A15-'1. Inputs'!$C$24-'1. Inputs'!$B$30+1)/(MAX(0,$A15-'1. Inputs'!$C$24-'1. Inputs'!$B$30+1)+'1. Inputs'!$B$11))*'1. Inputs'!$B$13*(1+'1. Inputs'!$B$14*MIN(MAX(0,$A15-'1. Inputs'!$C$24-'1. Inputs'!$B$30+1),'1. Inputs'!$B$15))*('1. Inputs'!$B$31*'5. Diagnosing a miss'!$B$22))</f>
        <v>962547.78887574</v>
      </c>
      <c r="U15" s="22" t="n">
        <f aca="false">IF(MAX(0,$A15-'1. Inputs'!$C$25-'1. Inputs'!$B$30+1)&lt;=0,0,'1. Inputs'!$B$25*'1. Inputs'!$B$5*MAX(0,$A15-'1. Inputs'!$C$25-'1. Inputs'!$B$30+1)^'1. Inputs'!$B$7/('1. Inputs'!$B$6^'1. Inputs'!$B$7+MAX(0,$A15-'1. Inputs'!$C$25-'1. Inputs'!$B$30+1)^'1. Inputs'!$B$7)*('1. Inputs'!$B$9+'1. Inputs'!$B$10*MAX(0,$A15-'1. Inputs'!$C$25-'1. Inputs'!$B$30+1)/(MAX(0,$A15-'1. Inputs'!$C$25-'1. Inputs'!$B$30+1)+'1. Inputs'!$B$11))*'1. Inputs'!$B$13*(1+'1. Inputs'!$B$14*MIN(MAX(0,$A15-'1. Inputs'!$C$25-'1. Inputs'!$B$30+1),'1. Inputs'!$B$15))*('1. Inputs'!$B$31*'5. Diagnosing a miss'!$B$22))</f>
        <v>115438.531764706</v>
      </c>
      <c r="V15" s="22" t="n">
        <f aca="false">IF(MAX(0,$A15-'1. Inputs'!$C$26-'1. Inputs'!$B$30+1)&lt;=0,0,'1. Inputs'!$B$26*'1. Inputs'!$B$5*MAX(0,$A15-'1. Inputs'!$C$26-'1. Inputs'!$B$30+1)^'1. Inputs'!$B$7/('1. Inputs'!$B$6^'1. Inputs'!$B$7+MAX(0,$A15-'1. Inputs'!$C$26-'1. Inputs'!$B$30+1)^'1. Inputs'!$B$7)*('1. Inputs'!$B$9+'1. Inputs'!$B$10*MAX(0,$A15-'1. Inputs'!$C$26-'1. Inputs'!$B$30+1)/(MAX(0,$A15-'1. Inputs'!$C$26-'1. Inputs'!$B$30+1)+'1. Inputs'!$B$11))*'1. Inputs'!$B$13*(1+'1. Inputs'!$B$14*MIN(MAX(0,$A15-'1. Inputs'!$C$26-'1. Inputs'!$B$30+1),'1. Inputs'!$B$15))*('1. Inputs'!$B$31*'5. Diagnosing a miss'!$B$22))</f>
        <v>0</v>
      </c>
      <c r="W15" s="22" t="n">
        <f aca="false">IF(MAX(0,$A15-'1. Inputs'!$C$27-'1. Inputs'!$B$30+1)&lt;=0,0,'1. Inputs'!$B$27*'1. Inputs'!$B$5*MAX(0,$A15-'1. Inputs'!$C$27-'1. Inputs'!$B$30+1)^'1. Inputs'!$B$7/('1. Inputs'!$B$6^'1. Inputs'!$B$7+MAX(0,$A15-'1. Inputs'!$C$27-'1. Inputs'!$B$30+1)^'1. Inputs'!$B$7)*('1. Inputs'!$B$9+'1. Inputs'!$B$10*MAX(0,$A15-'1. Inputs'!$C$27-'1. Inputs'!$B$30+1)/(MAX(0,$A15-'1. Inputs'!$C$27-'1. Inputs'!$B$30+1)+'1. Inputs'!$B$11))*'1. Inputs'!$B$13*(1+'1. Inputs'!$B$14*MIN(MAX(0,$A15-'1. Inputs'!$C$27-'1. Inputs'!$B$30+1),'1. Inputs'!$B$15))*('1. Inputs'!$B$31*'5. Diagnosing a miss'!$B$22))</f>
        <v>0</v>
      </c>
      <c r="X15" s="22" t="n">
        <f aca="false">SUM(T15:W15)</f>
        <v>1077986.32064045</v>
      </c>
      <c r="Y15" s="22" t="n">
        <f aca="false">IF($A15=MAX('1. Inputs'!$B$17,1),'1. Inputs'!$B$3,0)+IF($A15-'1. Inputs'!$B$17&gt;=1,INDEX(X$3:X$86,$A15-'1. Inputs'!$B$17),0)</f>
        <v>0</v>
      </c>
      <c r="Z15" s="22" t="n">
        <f aca="false">Z14*(1-'1. Inputs'!$B$18)+Y15</f>
        <v>148500000</v>
      </c>
      <c r="AA15" s="22" t="n">
        <f aca="false">Z15*'1. Inputs'!$B$18</f>
        <v>1485000</v>
      </c>
      <c r="AB15" s="22" t="n">
        <f aca="false">AB14+X15-AA15</f>
        <v>150082482.927767</v>
      </c>
      <c r="AC15" s="22" t="n">
        <f aca="false">IF(MAX(0,$A15-'1. Inputs'!$C$24-('1. Inputs'!$B$30+'5. Diagnosing a miss'!$B$23)+1)&lt;=0,0,'1. Inputs'!$B$24*'1. Inputs'!$B$5*MAX(0,$A15-'1. Inputs'!$C$24-('1. Inputs'!$B$30+'5. Diagnosing a miss'!$B$23)+1)^'1. Inputs'!$B$7/('1. Inputs'!$B$6^'1. Inputs'!$B$7+MAX(0,$A15-'1. Inputs'!$C$24-('1. Inputs'!$B$30+'5. Diagnosing a miss'!$B$23)+1)^'1. Inputs'!$B$7)*('1. Inputs'!$B$9+'1. Inputs'!$B$10*MAX(0,$A15-'1. Inputs'!$C$24-('1. Inputs'!$B$30+'5. Diagnosing a miss'!$B$23)+1)/(MAX(0,$A15-'1. Inputs'!$C$24-('1. Inputs'!$B$30+'5. Diagnosing a miss'!$B$23)+1)+'1. Inputs'!$B$11))*'1. Inputs'!$B$13*(1+'1. Inputs'!$B$14*MIN(MAX(0,$A15-'1. Inputs'!$C$24-('1. Inputs'!$B$30+'5. Diagnosing a miss'!$B$23)+1),'1. Inputs'!$B$15))*'1. Inputs'!$B$31)</f>
        <v>398644.255670103</v>
      </c>
      <c r="AD15" s="22" t="n">
        <f aca="false">IF(MAX(0,$A15-'1. Inputs'!$C$25-('1. Inputs'!$B$30+'5. Diagnosing a miss'!$B$23)+1)&lt;=0,0,'1. Inputs'!$B$25*'1. Inputs'!$B$5*MAX(0,$A15-'1. Inputs'!$C$25-('1. Inputs'!$B$30+'5. Diagnosing a miss'!$B$23)+1)^'1. Inputs'!$B$7/('1. Inputs'!$B$6^'1. Inputs'!$B$7+MAX(0,$A15-'1. Inputs'!$C$25-('1. Inputs'!$B$30+'5. Diagnosing a miss'!$B$23)+1)^'1. Inputs'!$B$7)*('1. Inputs'!$B$9+'1. Inputs'!$B$10*MAX(0,$A15-'1. Inputs'!$C$25-('1. Inputs'!$B$30+'5. Diagnosing a miss'!$B$23)+1)/(MAX(0,$A15-'1. Inputs'!$C$25-('1. Inputs'!$B$30+'5. Diagnosing a miss'!$B$23)+1)+'1. Inputs'!$B$11))*'1. Inputs'!$B$13*(1+'1. Inputs'!$B$14*MIN(MAX(0,$A15-'1. Inputs'!$C$25-('1. Inputs'!$B$30+'5. Diagnosing a miss'!$B$23)+1),'1. Inputs'!$B$15))*'1. Inputs'!$B$31)</f>
        <v>0</v>
      </c>
      <c r="AE15" s="22" t="n">
        <f aca="false">IF(MAX(0,$A15-'1. Inputs'!$C$26-('1. Inputs'!$B$30+'5. Diagnosing a miss'!$B$23)+1)&lt;=0,0,'1. Inputs'!$B$26*'1. Inputs'!$B$5*MAX(0,$A15-'1. Inputs'!$C$26-('1. Inputs'!$B$30+'5. Diagnosing a miss'!$B$23)+1)^'1. Inputs'!$B$7/('1. Inputs'!$B$6^'1. Inputs'!$B$7+MAX(0,$A15-'1. Inputs'!$C$26-('1. Inputs'!$B$30+'5. Diagnosing a miss'!$B$23)+1)^'1. Inputs'!$B$7)*('1. Inputs'!$B$9+'1. Inputs'!$B$10*MAX(0,$A15-'1. Inputs'!$C$26-('1. Inputs'!$B$30+'5. Diagnosing a miss'!$B$23)+1)/(MAX(0,$A15-'1. Inputs'!$C$26-('1. Inputs'!$B$30+'5. Diagnosing a miss'!$B$23)+1)+'1. Inputs'!$B$11))*'1. Inputs'!$B$13*(1+'1. Inputs'!$B$14*MIN(MAX(0,$A15-'1. Inputs'!$C$26-('1. Inputs'!$B$30+'5. Diagnosing a miss'!$B$23)+1),'1. Inputs'!$B$15))*'1. Inputs'!$B$31)</f>
        <v>0</v>
      </c>
      <c r="AF15" s="22" t="n">
        <f aca="false">IF(MAX(0,$A15-'1. Inputs'!$C$27-('1. Inputs'!$B$30+'5. Diagnosing a miss'!$B$23)+1)&lt;=0,0,'1. Inputs'!$B$27*'1. Inputs'!$B$5*MAX(0,$A15-'1. Inputs'!$C$27-('1. Inputs'!$B$30+'5. Diagnosing a miss'!$B$23)+1)^'1. Inputs'!$B$7/('1. Inputs'!$B$6^'1. Inputs'!$B$7+MAX(0,$A15-'1. Inputs'!$C$27-('1. Inputs'!$B$30+'5. Diagnosing a miss'!$B$23)+1)^'1. Inputs'!$B$7)*('1. Inputs'!$B$9+'1. Inputs'!$B$10*MAX(0,$A15-'1. Inputs'!$C$27-('1. Inputs'!$B$30+'5. Diagnosing a miss'!$B$23)+1)/(MAX(0,$A15-'1. Inputs'!$C$27-('1. Inputs'!$B$30+'5. Diagnosing a miss'!$B$23)+1)+'1. Inputs'!$B$11))*'1. Inputs'!$B$13*(1+'1. Inputs'!$B$14*MIN(MAX(0,$A15-'1. Inputs'!$C$27-('1. Inputs'!$B$30+'5. Diagnosing a miss'!$B$23)+1),'1. Inputs'!$B$15))*'1. Inputs'!$B$31)</f>
        <v>0</v>
      </c>
      <c r="AG15" s="22" t="n">
        <f aca="false">SUM(AC15:AF15)</f>
        <v>398644.255670103</v>
      </c>
      <c r="AH15" s="22" t="n">
        <f aca="false">IF($A15=MAX('1. Inputs'!$B$17,1),'1. Inputs'!$B$3,0)+IF($A15-'1. Inputs'!$B$17&gt;=1,INDEX(AG$3:AG$86,$A15-'1. Inputs'!$B$17),0)</f>
        <v>0</v>
      </c>
      <c r="AI15" s="22" t="n">
        <f aca="false">AI14*(1-'1. Inputs'!$B$18)+AH15</f>
        <v>148500000</v>
      </c>
      <c r="AJ15" s="22" t="n">
        <f aca="false">AI15*'1. Inputs'!$B$18</f>
        <v>1485000</v>
      </c>
      <c r="AK15" s="22" t="n">
        <f aca="false">AK14+AG15-AJ15</f>
        <v>147756255.832141</v>
      </c>
    </row>
    <row r="16" customFormat="false" ht="15" hidden="false" customHeight="false" outlineLevel="0" collapsed="false">
      <c r="A16" s="7" t="n">
        <v>14</v>
      </c>
      <c r="B16" s="22" t="n">
        <f aca="false">IF(MAX(0,$A16-'1. Inputs'!$C$24-'1. Inputs'!$B$30+1)&lt;=0,0,'1. Inputs'!$B$24*'1. Inputs'!$B$5*MAX(0,$A16-'1. Inputs'!$C$24-'1. Inputs'!$B$30+1)^'1. Inputs'!$B$7/('1. Inputs'!$B$6^'1. Inputs'!$B$7+MAX(0,$A16-'1. Inputs'!$C$24-'1. Inputs'!$B$30+1)^'1. Inputs'!$B$7)*('1. Inputs'!$B$9+'1. Inputs'!$B$10*MAX(0,$A16-'1. Inputs'!$C$24-'1. Inputs'!$B$30+1)/(MAX(0,$A16-'1. Inputs'!$C$24-'1. Inputs'!$B$30+1)+'1. Inputs'!$B$11))*'1. Inputs'!$B$13*(1+'1. Inputs'!$B$14*MIN(MAX(0,$A16-'1. Inputs'!$C$24-'1. Inputs'!$B$30+1),'1. Inputs'!$B$15))*'1. Inputs'!$B$31)</f>
        <v>1304985.6</v>
      </c>
      <c r="C16" s="22" t="n">
        <f aca="false">IF(MAX(0,$A16-'1. Inputs'!$C$25-'1. Inputs'!$B$30+1)&lt;=0,0,'1. Inputs'!$B$25*'1. Inputs'!$B$5*MAX(0,$A16-'1. Inputs'!$C$25-'1. Inputs'!$B$30+1)^'1. Inputs'!$B$7/('1. Inputs'!$B$6^'1. Inputs'!$B$7+MAX(0,$A16-'1. Inputs'!$C$25-'1. Inputs'!$B$30+1)^'1. Inputs'!$B$7)*('1. Inputs'!$B$9+'1. Inputs'!$B$10*MAX(0,$A16-'1. Inputs'!$C$25-'1. Inputs'!$B$30+1)/(MAX(0,$A16-'1. Inputs'!$C$25-'1. Inputs'!$B$30+1)+'1. Inputs'!$B$11))*'1. Inputs'!$B$13*(1+'1. Inputs'!$B$14*MIN(MAX(0,$A16-'1. Inputs'!$C$25-'1. Inputs'!$B$30+1),'1. Inputs'!$B$15))*'1. Inputs'!$B$31)</f>
        <v>299174.4</v>
      </c>
      <c r="D16" s="22" t="n">
        <f aca="false">IF(MAX(0,$A16-'1. Inputs'!$C$26-'1. Inputs'!$B$30+1)&lt;=0,0,'1. Inputs'!$B$26*'1. Inputs'!$B$5*MAX(0,$A16-'1. Inputs'!$C$26-'1. Inputs'!$B$30+1)^'1. Inputs'!$B$7/('1. Inputs'!$B$6^'1. Inputs'!$B$7+MAX(0,$A16-'1. Inputs'!$C$26-'1. Inputs'!$B$30+1)^'1. Inputs'!$B$7)*('1. Inputs'!$B$9+'1. Inputs'!$B$10*MAX(0,$A16-'1. Inputs'!$C$26-'1. Inputs'!$B$30+1)/(MAX(0,$A16-'1. Inputs'!$C$26-'1. Inputs'!$B$30+1)+'1. Inputs'!$B$11))*'1. Inputs'!$B$13*(1+'1. Inputs'!$B$14*MIN(MAX(0,$A16-'1. Inputs'!$C$26-'1. Inputs'!$B$30+1),'1. Inputs'!$B$15))*'1. Inputs'!$B$31)</f>
        <v>0</v>
      </c>
      <c r="E16" s="22" t="n">
        <f aca="false">IF(MAX(0,$A16-'1. Inputs'!$C$27-'1. Inputs'!$B$30+1)&lt;=0,0,'1. Inputs'!$B$27*'1. Inputs'!$B$5*MAX(0,$A16-'1. Inputs'!$C$27-'1. Inputs'!$B$30+1)^'1. Inputs'!$B$7/('1. Inputs'!$B$6^'1. Inputs'!$B$7+MAX(0,$A16-'1. Inputs'!$C$27-'1. Inputs'!$B$30+1)^'1. Inputs'!$B$7)*('1. Inputs'!$B$9+'1. Inputs'!$B$10*MAX(0,$A16-'1. Inputs'!$C$27-'1. Inputs'!$B$30+1)/(MAX(0,$A16-'1. Inputs'!$C$27-'1. Inputs'!$B$30+1)+'1. Inputs'!$B$11))*'1. Inputs'!$B$13*(1+'1. Inputs'!$B$14*MIN(MAX(0,$A16-'1. Inputs'!$C$27-'1. Inputs'!$B$30+1),'1. Inputs'!$B$15))*'1. Inputs'!$B$31)</f>
        <v>0</v>
      </c>
      <c r="F16" s="22" t="n">
        <f aca="false">SUM(B16:E16)</f>
        <v>1604160</v>
      </c>
      <c r="G16" s="22" t="n">
        <f aca="false">IF($A16=MAX('1. Inputs'!$B$17,1),'1. Inputs'!$B$3,0)+IF($A16-'1. Inputs'!$B$17&gt;=1,INDEX(F$3:F$86,$A16-'1. Inputs'!$B$17),0)</f>
        <v>0</v>
      </c>
      <c r="H16" s="22" t="n">
        <f aca="false">H15*(1-'1. Inputs'!$B$18)+G16</f>
        <v>147015000</v>
      </c>
      <c r="I16" s="22" t="n">
        <f aca="false">H16*'1. Inputs'!$B$18</f>
        <v>1470150</v>
      </c>
      <c r="J16" s="22" t="n">
        <f aca="false">J15+F16-I16</f>
        <v>150557324.364186</v>
      </c>
      <c r="K16" s="22" t="n">
        <f aca="false">IF(MAX(0,$A16-'1. Inputs'!$C$24-'1. Inputs'!$B$30+1)&lt;=0,0,'1. Inputs'!$B$24*('1. Inputs'!$B$5-'5. Diagnosing a miss'!$B$21)*MAX(0,$A16-'1. Inputs'!$C$24-'1. Inputs'!$B$30+1)^'1. Inputs'!$B$7/('1. Inputs'!$B$6^'1. Inputs'!$B$7+MAX(0,$A16-'1. Inputs'!$C$24-'1. Inputs'!$B$30+1)^'1. Inputs'!$B$7)*('1. Inputs'!$B$9+'1. Inputs'!$B$10*MAX(0,$A16-'1. Inputs'!$C$24-'1. Inputs'!$B$30+1)/(MAX(0,$A16-'1. Inputs'!$C$24-'1. Inputs'!$B$30+1)+'1. Inputs'!$B$11))*'1. Inputs'!$B$13*(1+'1. Inputs'!$B$14*MIN(MAX(0,$A16-'1. Inputs'!$C$24-'1. Inputs'!$B$30+1),'1. Inputs'!$B$15))*'1. Inputs'!$B$31)</f>
        <v>1159987.2</v>
      </c>
      <c r="L16" s="22" t="n">
        <f aca="false">IF(MAX(0,$A16-'1. Inputs'!$C$25-'1. Inputs'!$B$30+1)&lt;=0,0,'1. Inputs'!$B$25*('1. Inputs'!$B$5-'5. Diagnosing a miss'!$B$21)*MAX(0,$A16-'1. Inputs'!$C$25-'1. Inputs'!$B$30+1)^'1. Inputs'!$B$7/('1. Inputs'!$B$6^'1. Inputs'!$B$7+MAX(0,$A16-'1. Inputs'!$C$25-'1. Inputs'!$B$30+1)^'1. Inputs'!$B$7)*('1. Inputs'!$B$9+'1. Inputs'!$B$10*MAX(0,$A16-'1. Inputs'!$C$25-'1. Inputs'!$B$30+1)/(MAX(0,$A16-'1. Inputs'!$C$25-'1. Inputs'!$B$30+1)+'1. Inputs'!$B$11))*'1. Inputs'!$B$13*(1+'1. Inputs'!$B$14*MIN(MAX(0,$A16-'1. Inputs'!$C$25-'1. Inputs'!$B$30+1),'1. Inputs'!$B$15))*'1. Inputs'!$B$31)</f>
        <v>265932.8</v>
      </c>
      <c r="M16" s="22" t="n">
        <f aca="false">IF(MAX(0,$A16-'1. Inputs'!$C$26-'1. Inputs'!$B$30+1)&lt;=0,0,'1. Inputs'!$B$26*('1. Inputs'!$B$5-'5. Diagnosing a miss'!$B$21)*MAX(0,$A16-'1. Inputs'!$C$26-'1. Inputs'!$B$30+1)^'1. Inputs'!$B$7/('1. Inputs'!$B$6^'1. Inputs'!$B$7+MAX(0,$A16-'1. Inputs'!$C$26-'1. Inputs'!$B$30+1)^'1. Inputs'!$B$7)*('1. Inputs'!$B$9+'1. Inputs'!$B$10*MAX(0,$A16-'1. Inputs'!$C$26-'1. Inputs'!$B$30+1)/(MAX(0,$A16-'1. Inputs'!$C$26-'1. Inputs'!$B$30+1)+'1. Inputs'!$B$11))*'1. Inputs'!$B$13*(1+'1. Inputs'!$B$14*MIN(MAX(0,$A16-'1. Inputs'!$C$26-'1. Inputs'!$B$30+1),'1. Inputs'!$B$15))*'1. Inputs'!$B$31)</f>
        <v>0</v>
      </c>
      <c r="N16" s="22" t="n">
        <f aca="false">IF(MAX(0,$A16-'1. Inputs'!$C$27-'1. Inputs'!$B$30+1)&lt;=0,0,'1. Inputs'!$B$27*('1. Inputs'!$B$5-'5. Diagnosing a miss'!$B$21)*MAX(0,$A16-'1. Inputs'!$C$27-'1. Inputs'!$B$30+1)^'1. Inputs'!$B$7/('1. Inputs'!$B$6^'1. Inputs'!$B$7+MAX(0,$A16-'1. Inputs'!$C$27-'1. Inputs'!$B$30+1)^'1. Inputs'!$B$7)*('1. Inputs'!$B$9+'1. Inputs'!$B$10*MAX(0,$A16-'1. Inputs'!$C$27-'1. Inputs'!$B$30+1)/(MAX(0,$A16-'1. Inputs'!$C$27-'1. Inputs'!$B$30+1)+'1. Inputs'!$B$11))*'1. Inputs'!$B$13*(1+'1. Inputs'!$B$14*MIN(MAX(0,$A16-'1. Inputs'!$C$27-'1. Inputs'!$B$30+1),'1. Inputs'!$B$15))*'1. Inputs'!$B$31)</f>
        <v>0</v>
      </c>
      <c r="O16" s="22" t="n">
        <f aca="false">SUM(K16:N16)</f>
        <v>1425920</v>
      </c>
      <c r="P16" s="22" t="n">
        <f aca="false">IF($A16=MAX('1. Inputs'!$B$17,1),'1. Inputs'!$B$3,0)+IF($A16-'1. Inputs'!$B$17&gt;=1,INDEX(O$3:O$86,$A16-'1. Inputs'!$B$17),0)</f>
        <v>0</v>
      </c>
      <c r="Q16" s="22" t="n">
        <f aca="false">Q15*(1-'1. Inputs'!$B$18)+P16</f>
        <v>147015000</v>
      </c>
      <c r="R16" s="22" t="n">
        <f aca="false">Q16*'1. Inputs'!$B$18</f>
        <v>1470150</v>
      </c>
      <c r="S16" s="22" t="n">
        <f aca="false">S15+O16-R16</f>
        <v>150000382.768165</v>
      </c>
      <c r="T16" s="22" t="n">
        <f aca="false">IF(MAX(0,$A16-'1. Inputs'!$C$24-'1. Inputs'!$B$30+1)&lt;=0,0,'1. Inputs'!$B$24*'1. Inputs'!$B$5*MAX(0,$A16-'1. Inputs'!$C$24-'1. Inputs'!$B$30+1)^'1. Inputs'!$B$7/('1. Inputs'!$B$6^'1. Inputs'!$B$7+MAX(0,$A16-'1. Inputs'!$C$24-'1. Inputs'!$B$30+1)^'1. Inputs'!$B$7)*('1. Inputs'!$B$9+'1. Inputs'!$B$10*MAX(0,$A16-'1. Inputs'!$C$24-'1. Inputs'!$B$30+1)/(MAX(0,$A16-'1. Inputs'!$C$24-'1. Inputs'!$B$30+1)+'1. Inputs'!$B$11))*'1. Inputs'!$B$13*(1+'1. Inputs'!$B$14*MIN(MAX(0,$A16-'1. Inputs'!$C$24-'1. Inputs'!$B$30+1),'1. Inputs'!$B$15))*('1. Inputs'!$B$31*'5. Diagnosing a miss'!$B$22))</f>
        <v>1174487.04</v>
      </c>
      <c r="U16" s="22" t="n">
        <f aca="false">IF(MAX(0,$A16-'1. Inputs'!$C$25-'1. Inputs'!$B$30+1)&lt;=0,0,'1. Inputs'!$B$25*'1. Inputs'!$B$5*MAX(0,$A16-'1. Inputs'!$C$25-'1. Inputs'!$B$30+1)^'1. Inputs'!$B$7/('1. Inputs'!$B$6^'1. Inputs'!$B$7+MAX(0,$A16-'1. Inputs'!$C$25-'1. Inputs'!$B$30+1)^'1. Inputs'!$B$7)*('1. Inputs'!$B$9+'1. Inputs'!$B$10*MAX(0,$A16-'1. Inputs'!$C$25-'1. Inputs'!$B$30+1)/(MAX(0,$A16-'1. Inputs'!$C$25-'1. Inputs'!$B$30+1)+'1. Inputs'!$B$11))*'1. Inputs'!$B$13*(1+'1. Inputs'!$B$14*MIN(MAX(0,$A16-'1. Inputs'!$C$25-'1. Inputs'!$B$30+1),'1. Inputs'!$B$15))*('1. Inputs'!$B$31*'5. Diagnosing a miss'!$B$22))</f>
        <v>269256.96</v>
      </c>
      <c r="V16" s="22" t="n">
        <f aca="false">IF(MAX(0,$A16-'1. Inputs'!$C$26-'1. Inputs'!$B$30+1)&lt;=0,0,'1. Inputs'!$B$26*'1. Inputs'!$B$5*MAX(0,$A16-'1. Inputs'!$C$26-'1. Inputs'!$B$30+1)^'1. Inputs'!$B$7/('1. Inputs'!$B$6^'1. Inputs'!$B$7+MAX(0,$A16-'1. Inputs'!$C$26-'1. Inputs'!$B$30+1)^'1. Inputs'!$B$7)*('1. Inputs'!$B$9+'1. Inputs'!$B$10*MAX(0,$A16-'1. Inputs'!$C$26-'1. Inputs'!$B$30+1)/(MAX(0,$A16-'1. Inputs'!$C$26-'1. Inputs'!$B$30+1)+'1. Inputs'!$B$11))*'1. Inputs'!$B$13*(1+'1. Inputs'!$B$14*MIN(MAX(0,$A16-'1. Inputs'!$C$26-'1. Inputs'!$B$30+1),'1. Inputs'!$B$15))*('1. Inputs'!$B$31*'5. Diagnosing a miss'!$B$22))</f>
        <v>0</v>
      </c>
      <c r="W16" s="22" t="n">
        <f aca="false">IF(MAX(0,$A16-'1. Inputs'!$C$27-'1. Inputs'!$B$30+1)&lt;=0,0,'1. Inputs'!$B$27*'1. Inputs'!$B$5*MAX(0,$A16-'1. Inputs'!$C$27-'1. Inputs'!$B$30+1)^'1. Inputs'!$B$7/('1. Inputs'!$B$6^'1. Inputs'!$B$7+MAX(0,$A16-'1. Inputs'!$C$27-'1. Inputs'!$B$30+1)^'1. Inputs'!$B$7)*('1. Inputs'!$B$9+'1. Inputs'!$B$10*MAX(0,$A16-'1. Inputs'!$C$27-'1. Inputs'!$B$30+1)/(MAX(0,$A16-'1. Inputs'!$C$27-'1. Inputs'!$B$30+1)+'1. Inputs'!$B$11))*'1. Inputs'!$B$13*(1+'1. Inputs'!$B$14*MIN(MAX(0,$A16-'1. Inputs'!$C$27-'1. Inputs'!$B$30+1),'1. Inputs'!$B$15))*('1. Inputs'!$B$31*'5. Diagnosing a miss'!$B$22))</f>
        <v>0</v>
      </c>
      <c r="X16" s="22" t="n">
        <f aca="false">SUM(T16:W16)</f>
        <v>1443744</v>
      </c>
      <c r="Y16" s="22" t="n">
        <f aca="false">IF($A16=MAX('1. Inputs'!$B$17,1),'1. Inputs'!$B$3,0)+IF($A16-'1. Inputs'!$B$17&gt;=1,INDEX(X$3:X$86,$A16-'1. Inputs'!$B$17),0)</f>
        <v>0</v>
      </c>
      <c r="Z16" s="22" t="n">
        <f aca="false">Z15*(1-'1. Inputs'!$B$18)+Y16</f>
        <v>147015000</v>
      </c>
      <c r="AA16" s="22" t="n">
        <f aca="false">Z16*'1. Inputs'!$B$18</f>
        <v>1470150</v>
      </c>
      <c r="AB16" s="22" t="n">
        <f aca="false">AB15+X16-AA16</f>
        <v>150056076.927767</v>
      </c>
      <c r="AC16" s="22" t="n">
        <f aca="false">IF(MAX(0,$A16-'1. Inputs'!$C$24-('1. Inputs'!$B$30+'5. Diagnosing a miss'!$B$23)+1)&lt;=0,0,'1. Inputs'!$B$24*'1. Inputs'!$B$5*MAX(0,$A16-'1. Inputs'!$C$24-('1. Inputs'!$B$30+'5. Diagnosing a miss'!$B$23)+1)^'1. Inputs'!$B$7/('1. Inputs'!$B$6^'1. Inputs'!$B$7+MAX(0,$A16-'1. Inputs'!$C$24-('1. Inputs'!$B$30+'5. Diagnosing a miss'!$B$23)+1)^'1. Inputs'!$B$7)*('1. Inputs'!$B$9+'1. Inputs'!$B$10*MAX(0,$A16-'1. Inputs'!$C$24-('1. Inputs'!$B$30+'5. Diagnosing a miss'!$B$23)+1)/(MAX(0,$A16-'1. Inputs'!$C$24-('1. Inputs'!$B$30+'5. Diagnosing a miss'!$B$23)+1)+'1. Inputs'!$B$11))*'1. Inputs'!$B$13*(1+'1. Inputs'!$B$14*MIN(MAX(0,$A16-'1. Inputs'!$C$24-('1. Inputs'!$B$30+'5. Diagnosing a miss'!$B$23)+1),'1. Inputs'!$B$15))*'1. Inputs'!$B$31)</f>
        <v>606226.41509434</v>
      </c>
      <c r="AD16" s="22" t="n">
        <f aca="false">IF(MAX(0,$A16-'1. Inputs'!$C$25-('1. Inputs'!$B$30+'5. Diagnosing a miss'!$B$23)+1)&lt;=0,0,'1. Inputs'!$B$25*'1. Inputs'!$B$5*MAX(0,$A16-'1. Inputs'!$C$25-('1. Inputs'!$B$30+'5. Diagnosing a miss'!$B$23)+1)^'1. Inputs'!$B$7/('1. Inputs'!$B$6^'1. Inputs'!$B$7+MAX(0,$A16-'1. Inputs'!$C$25-('1. Inputs'!$B$30+'5. Diagnosing a miss'!$B$23)+1)^'1. Inputs'!$B$7)*('1. Inputs'!$B$9+'1. Inputs'!$B$10*MAX(0,$A16-'1. Inputs'!$C$25-('1. Inputs'!$B$30+'5. Diagnosing a miss'!$B$23)+1)/(MAX(0,$A16-'1. Inputs'!$C$25-('1. Inputs'!$B$30+'5. Diagnosing a miss'!$B$23)+1)+'1. Inputs'!$B$11))*'1. Inputs'!$B$13*(1+'1. Inputs'!$B$14*MIN(MAX(0,$A16-'1. Inputs'!$C$25-('1. Inputs'!$B$30+'5. Diagnosing a miss'!$B$23)+1),'1. Inputs'!$B$15))*'1. Inputs'!$B$31)</f>
        <v>0</v>
      </c>
      <c r="AE16" s="22" t="n">
        <f aca="false">IF(MAX(0,$A16-'1. Inputs'!$C$26-('1. Inputs'!$B$30+'5. Diagnosing a miss'!$B$23)+1)&lt;=0,0,'1. Inputs'!$B$26*'1. Inputs'!$B$5*MAX(0,$A16-'1. Inputs'!$C$26-('1. Inputs'!$B$30+'5. Diagnosing a miss'!$B$23)+1)^'1. Inputs'!$B$7/('1. Inputs'!$B$6^'1. Inputs'!$B$7+MAX(0,$A16-'1. Inputs'!$C$26-('1. Inputs'!$B$30+'5. Diagnosing a miss'!$B$23)+1)^'1. Inputs'!$B$7)*('1. Inputs'!$B$9+'1. Inputs'!$B$10*MAX(0,$A16-'1. Inputs'!$C$26-('1. Inputs'!$B$30+'5. Diagnosing a miss'!$B$23)+1)/(MAX(0,$A16-'1. Inputs'!$C$26-('1. Inputs'!$B$30+'5. Diagnosing a miss'!$B$23)+1)+'1. Inputs'!$B$11))*'1. Inputs'!$B$13*(1+'1. Inputs'!$B$14*MIN(MAX(0,$A16-'1. Inputs'!$C$26-('1. Inputs'!$B$30+'5. Diagnosing a miss'!$B$23)+1),'1. Inputs'!$B$15))*'1. Inputs'!$B$31)</f>
        <v>0</v>
      </c>
      <c r="AF16" s="22" t="n">
        <f aca="false">IF(MAX(0,$A16-'1. Inputs'!$C$27-('1. Inputs'!$B$30+'5. Diagnosing a miss'!$B$23)+1)&lt;=0,0,'1. Inputs'!$B$27*'1. Inputs'!$B$5*MAX(0,$A16-'1. Inputs'!$C$27-('1. Inputs'!$B$30+'5. Diagnosing a miss'!$B$23)+1)^'1. Inputs'!$B$7/('1. Inputs'!$B$6^'1. Inputs'!$B$7+MAX(0,$A16-'1. Inputs'!$C$27-('1. Inputs'!$B$30+'5. Diagnosing a miss'!$B$23)+1)^'1. Inputs'!$B$7)*('1. Inputs'!$B$9+'1. Inputs'!$B$10*MAX(0,$A16-'1. Inputs'!$C$27-('1. Inputs'!$B$30+'5. Diagnosing a miss'!$B$23)+1)/(MAX(0,$A16-'1. Inputs'!$C$27-('1. Inputs'!$B$30+'5. Diagnosing a miss'!$B$23)+1)+'1. Inputs'!$B$11))*'1. Inputs'!$B$13*(1+'1. Inputs'!$B$14*MIN(MAX(0,$A16-'1. Inputs'!$C$27-('1. Inputs'!$B$30+'5. Diagnosing a miss'!$B$23)+1),'1. Inputs'!$B$15))*'1. Inputs'!$B$31)</f>
        <v>0</v>
      </c>
      <c r="AG16" s="22" t="n">
        <f aca="false">SUM(AC16:AF16)</f>
        <v>606226.41509434</v>
      </c>
      <c r="AH16" s="22" t="n">
        <f aca="false">IF($A16=MAX('1. Inputs'!$B$17,1),'1. Inputs'!$B$3,0)+IF($A16-'1. Inputs'!$B$17&gt;=1,INDEX(AG$3:AG$86,$A16-'1. Inputs'!$B$17),0)</f>
        <v>0</v>
      </c>
      <c r="AI16" s="22" t="n">
        <f aca="false">AI15*(1-'1. Inputs'!$B$18)+AH16</f>
        <v>147015000</v>
      </c>
      <c r="AJ16" s="22" t="n">
        <f aca="false">AI16*'1. Inputs'!$B$18</f>
        <v>1470150</v>
      </c>
      <c r="AK16" s="22" t="n">
        <f aca="false">AK15+AG16-AJ16</f>
        <v>146892332.247235</v>
      </c>
    </row>
    <row r="17" customFormat="false" ht="15" hidden="false" customHeight="false" outlineLevel="0" collapsed="false">
      <c r="A17" s="7" t="n">
        <v>15</v>
      </c>
      <c r="B17" s="22" t="n">
        <f aca="false">IF(MAX(0,$A17-'1. Inputs'!$C$24-'1. Inputs'!$B$30+1)&lt;=0,0,'1. Inputs'!$B$24*'1. Inputs'!$B$5*MAX(0,$A17-'1. Inputs'!$C$24-'1. Inputs'!$B$30+1)^'1. Inputs'!$B$7/('1. Inputs'!$B$6^'1. Inputs'!$B$7+MAX(0,$A17-'1. Inputs'!$C$24-'1. Inputs'!$B$30+1)^'1. Inputs'!$B$7)*('1. Inputs'!$B$9+'1. Inputs'!$B$10*MAX(0,$A17-'1. Inputs'!$C$24-'1. Inputs'!$B$30+1)/(MAX(0,$A17-'1. Inputs'!$C$24-'1. Inputs'!$B$30+1)+'1. Inputs'!$B$11))*'1. Inputs'!$B$13*(1+'1. Inputs'!$B$14*MIN(MAX(0,$A17-'1. Inputs'!$C$24-'1. Inputs'!$B$30+1),'1. Inputs'!$B$15))*'1. Inputs'!$B$31)</f>
        <v>1534377.6</v>
      </c>
      <c r="C17" s="22" t="n">
        <f aca="false">IF(MAX(0,$A17-'1. Inputs'!$C$25-'1. Inputs'!$B$30+1)&lt;=0,0,'1. Inputs'!$B$25*'1. Inputs'!$B$5*MAX(0,$A17-'1. Inputs'!$C$25-'1. Inputs'!$B$30+1)^'1. Inputs'!$B$7/('1. Inputs'!$B$6^'1. Inputs'!$B$7+MAX(0,$A17-'1. Inputs'!$C$25-'1. Inputs'!$B$30+1)^'1. Inputs'!$B$7)*('1. Inputs'!$B$9+'1. Inputs'!$B$10*MAX(0,$A17-'1. Inputs'!$C$25-'1. Inputs'!$B$30+1)/(MAX(0,$A17-'1. Inputs'!$C$25-'1. Inputs'!$B$30+1)+'1. Inputs'!$B$11))*'1. Inputs'!$B$13*(1+'1. Inputs'!$B$14*MIN(MAX(0,$A17-'1. Inputs'!$C$25-'1. Inputs'!$B$30+1),'1. Inputs'!$B$15))*'1. Inputs'!$B$31)</f>
        <v>531525.674226804</v>
      </c>
      <c r="D17" s="22" t="n">
        <f aca="false">IF(MAX(0,$A17-'1. Inputs'!$C$26-'1. Inputs'!$B$30+1)&lt;=0,0,'1. Inputs'!$B$26*'1. Inputs'!$B$5*MAX(0,$A17-'1. Inputs'!$C$26-'1. Inputs'!$B$30+1)^'1. Inputs'!$B$7/('1. Inputs'!$B$6^'1. Inputs'!$B$7+MAX(0,$A17-'1. Inputs'!$C$26-'1. Inputs'!$B$30+1)^'1. Inputs'!$B$7)*('1. Inputs'!$B$9+'1. Inputs'!$B$10*MAX(0,$A17-'1. Inputs'!$C$26-'1. Inputs'!$B$30+1)/(MAX(0,$A17-'1. Inputs'!$C$26-'1. Inputs'!$B$30+1)+'1. Inputs'!$B$11))*'1. Inputs'!$B$13*(1+'1. Inputs'!$B$14*MIN(MAX(0,$A17-'1. Inputs'!$C$26-'1. Inputs'!$B$30+1),'1. Inputs'!$B$15))*'1. Inputs'!$B$31)</f>
        <v>0</v>
      </c>
      <c r="E17" s="22" t="n">
        <f aca="false">IF(MAX(0,$A17-'1. Inputs'!$C$27-'1. Inputs'!$B$30+1)&lt;=0,0,'1. Inputs'!$B$27*'1. Inputs'!$B$5*MAX(0,$A17-'1. Inputs'!$C$27-'1. Inputs'!$B$30+1)^'1. Inputs'!$B$7/('1. Inputs'!$B$6^'1. Inputs'!$B$7+MAX(0,$A17-'1. Inputs'!$C$27-'1. Inputs'!$B$30+1)^'1. Inputs'!$B$7)*('1. Inputs'!$B$9+'1. Inputs'!$B$10*MAX(0,$A17-'1. Inputs'!$C$27-'1. Inputs'!$B$30+1)/(MAX(0,$A17-'1. Inputs'!$C$27-'1. Inputs'!$B$30+1)+'1. Inputs'!$B$11))*'1. Inputs'!$B$13*(1+'1. Inputs'!$B$14*MIN(MAX(0,$A17-'1. Inputs'!$C$27-'1. Inputs'!$B$30+1),'1. Inputs'!$B$15))*'1. Inputs'!$B$31)</f>
        <v>0</v>
      </c>
      <c r="F17" s="22" t="n">
        <f aca="false">SUM(B17:E17)</f>
        <v>2065903.2742268</v>
      </c>
      <c r="G17" s="22" t="n">
        <f aca="false">IF($A17=MAX('1. Inputs'!$B$17,1),'1. Inputs'!$B$3,0)+IF($A17-'1. Inputs'!$B$17&gt;=1,INDEX(F$3:F$86,$A17-'1. Inputs'!$B$17),0)</f>
        <v>0</v>
      </c>
      <c r="H17" s="22" t="n">
        <f aca="false">H16*(1-'1. Inputs'!$B$18)+G17</f>
        <v>145544850</v>
      </c>
      <c r="I17" s="22" t="n">
        <f aca="false">H17*'1. Inputs'!$B$18</f>
        <v>1455448.5</v>
      </c>
      <c r="J17" s="22" t="n">
        <f aca="false">J16+F17-I17</f>
        <v>151167779.138413</v>
      </c>
      <c r="K17" s="22" t="n">
        <f aca="false">IF(MAX(0,$A17-'1. Inputs'!$C$24-'1. Inputs'!$B$30+1)&lt;=0,0,'1. Inputs'!$B$24*('1. Inputs'!$B$5-'5. Diagnosing a miss'!$B$21)*MAX(0,$A17-'1. Inputs'!$C$24-'1. Inputs'!$B$30+1)^'1. Inputs'!$B$7/('1. Inputs'!$B$6^'1. Inputs'!$B$7+MAX(0,$A17-'1. Inputs'!$C$24-'1. Inputs'!$B$30+1)^'1. Inputs'!$B$7)*('1. Inputs'!$B$9+'1. Inputs'!$B$10*MAX(0,$A17-'1. Inputs'!$C$24-'1. Inputs'!$B$30+1)/(MAX(0,$A17-'1. Inputs'!$C$24-'1. Inputs'!$B$30+1)+'1. Inputs'!$B$11))*'1. Inputs'!$B$13*(1+'1. Inputs'!$B$14*MIN(MAX(0,$A17-'1. Inputs'!$C$24-'1. Inputs'!$B$30+1),'1. Inputs'!$B$15))*'1. Inputs'!$B$31)</f>
        <v>1363891.2</v>
      </c>
      <c r="L17" s="22" t="n">
        <f aca="false">IF(MAX(0,$A17-'1. Inputs'!$C$25-'1. Inputs'!$B$30+1)&lt;=0,0,'1. Inputs'!$B$25*('1. Inputs'!$B$5-'5. Diagnosing a miss'!$B$21)*MAX(0,$A17-'1. Inputs'!$C$25-'1. Inputs'!$B$30+1)^'1. Inputs'!$B$7/('1. Inputs'!$B$6^'1. Inputs'!$B$7+MAX(0,$A17-'1. Inputs'!$C$25-'1. Inputs'!$B$30+1)^'1. Inputs'!$B$7)*('1. Inputs'!$B$9+'1. Inputs'!$B$10*MAX(0,$A17-'1. Inputs'!$C$25-'1. Inputs'!$B$30+1)/(MAX(0,$A17-'1. Inputs'!$C$25-'1. Inputs'!$B$30+1)+'1. Inputs'!$B$11))*'1. Inputs'!$B$13*(1+'1. Inputs'!$B$14*MIN(MAX(0,$A17-'1. Inputs'!$C$25-'1. Inputs'!$B$30+1),'1. Inputs'!$B$15))*'1. Inputs'!$B$31)</f>
        <v>472467.265979382</v>
      </c>
      <c r="M17" s="22" t="n">
        <f aca="false">IF(MAX(0,$A17-'1. Inputs'!$C$26-'1. Inputs'!$B$30+1)&lt;=0,0,'1. Inputs'!$B$26*('1. Inputs'!$B$5-'5. Diagnosing a miss'!$B$21)*MAX(0,$A17-'1. Inputs'!$C$26-'1. Inputs'!$B$30+1)^'1. Inputs'!$B$7/('1. Inputs'!$B$6^'1. Inputs'!$B$7+MAX(0,$A17-'1. Inputs'!$C$26-'1. Inputs'!$B$30+1)^'1. Inputs'!$B$7)*('1. Inputs'!$B$9+'1. Inputs'!$B$10*MAX(0,$A17-'1. Inputs'!$C$26-'1. Inputs'!$B$30+1)/(MAX(0,$A17-'1. Inputs'!$C$26-'1. Inputs'!$B$30+1)+'1. Inputs'!$B$11))*'1. Inputs'!$B$13*(1+'1. Inputs'!$B$14*MIN(MAX(0,$A17-'1. Inputs'!$C$26-'1. Inputs'!$B$30+1),'1. Inputs'!$B$15))*'1. Inputs'!$B$31)</f>
        <v>0</v>
      </c>
      <c r="N17" s="22" t="n">
        <f aca="false">IF(MAX(0,$A17-'1. Inputs'!$C$27-'1. Inputs'!$B$30+1)&lt;=0,0,'1. Inputs'!$B$27*('1. Inputs'!$B$5-'5. Diagnosing a miss'!$B$21)*MAX(0,$A17-'1. Inputs'!$C$27-'1. Inputs'!$B$30+1)^'1. Inputs'!$B$7/('1. Inputs'!$B$6^'1. Inputs'!$B$7+MAX(0,$A17-'1. Inputs'!$C$27-'1. Inputs'!$B$30+1)^'1. Inputs'!$B$7)*('1. Inputs'!$B$9+'1. Inputs'!$B$10*MAX(0,$A17-'1. Inputs'!$C$27-'1. Inputs'!$B$30+1)/(MAX(0,$A17-'1. Inputs'!$C$27-'1. Inputs'!$B$30+1)+'1. Inputs'!$B$11))*'1. Inputs'!$B$13*(1+'1. Inputs'!$B$14*MIN(MAX(0,$A17-'1. Inputs'!$C$27-'1. Inputs'!$B$30+1),'1. Inputs'!$B$15))*'1. Inputs'!$B$31)</f>
        <v>0</v>
      </c>
      <c r="O17" s="22" t="n">
        <f aca="false">SUM(K17:N17)</f>
        <v>1836358.46597938</v>
      </c>
      <c r="P17" s="22" t="n">
        <f aca="false">IF($A17=MAX('1. Inputs'!$B$17,1),'1. Inputs'!$B$3,0)+IF($A17-'1. Inputs'!$B$17&gt;=1,INDEX(O$3:O$86,$A17-'1. Inputs'!$B$17),0)</f>
        <v>0</v>
      </c>
      <c r="Q17" s="22" t="n">
        <f aca="false">Q16*(1-'1. Inputs'!$B$18)+P17</f>
        <v>145544850</v>
      </c>
      <c r="R17" s="22" t="n">
        <f aca="false">Q17*'1. Inputs'!$B$18</f>
        <v>1455448.5</v>
      </c>
      <c r="S17" s="22" t="n">
        <f aca="false">S16+O17-R17</f>
        <v>150381292.734145</v>
      </c>
      <c r="T17" s="22" t="n">
        <f aca="false">IF(MAX(0,$A17-'1. Inputs'!$C$24-'1. Inputs'!$B$30+1)&lt;=0,0,'1. Inputs'!$B$24*'1. Inputs'!$B$5*MAX(0,$A17-'1. Inputs'!$C$24-'1. Inputs'!$B$30+1)^'1. Inputs'!$B$7/('1. Inputs'!$B$6^'1. Inputs'!$B$7+MAX(0,$A17-'1. Inputs'!$C$24-'1. Inputs'!$B$30+1)^'1. Inputs'!$B$7)*('1. Inputs'!$B$9+'1. Inputs'!$B$10*MAX(0,$A17-'1. Inputs'!$C$24-'1. Inputs'!$B$30+1)/(MAX(0,$A17-'1. Inputs'!$C$24-'1. Inputs'!$B$30+1)+'1. Inputs'!$B$11))*'1. Inputs'!$B$13*(1+'1. Inputs'!$B$14*MIN(MAX(0,$A17-'1. Inputs'!$C$24-'1. Inputs'!$B$30+1),'1. Inputs'!$B$15))*('1. Inputs'!$B$31*'5. Diagnosing a miss'!$B$22))</f>
        <v>1380939.84</v>
      </c>
      <c r="U17" s="22" t="n">
        <f aca="false">IF(MAX(0,$A17-'1. Inputs'!$C$25-'1. Inputs'!$B$30+1)&lt;=0,0,'1. Inputs'!$B$25*'1. Inputs'!$B$5*MAX(0,$A17-'1. Inputs'!$C$25-'1. Inputs'!$B$30+1)^'1. Inputs'!$B$7/('1. Inputs'!$B$6^'1. Inputs'!$B$7+MAX(0,$A17-'1. Inputs'!$C$25-'1. Inputs'!$B$30+1)^'1. Inputs'!$B$7)*('1. Inputs'!$B$9+'1. Inputs'!$B$10*MAX(0,$A17-'1. Inputs'!$C$25-'1. Inputs'!$B$30+1)/(MAX(0,$A17-'1. Inputs'!$C$25-'1. Inputs'!$B$30+1)+'1. Inputs'!$B$11))*'1. Inputs'!$B$13*(1+'1. Inputs'!$B$14*MIN(MAX(0,$A17-'1. Inputs'!$C$25-'1. Inputs'!$B$30+1),'1. Inputs'!$B$15))*('1. Inputs'!$B$31*'5. Diagnosing a miss'!$B$22))</f>
        <v>478373.106804124</v>
      </c>
      <c r="V17" s="22" t="n">
        <f aca="false">IF(MAX(0,$A17-'1. Inputs'!$C$26-'1. Inputs'!$B$30+1)&lt;=0,0,'1. Inputs'!$B$26*'1. Inputs'!$B$5*MAX(0,$A17-'1. Inputs'!$C$26-'1. Inputs'!$B$30+1)^'1. Inputs'!$B$7/('1. Inputs'!$B$6^'1. Inputs'!$B$7+MAX(0,$A17-'1. Inputs'!$C$26-'1. Inputs'!$B$30+1)^'1. Inputs'!$B$7)*('1. Inputs'!$B$9+'1. Inputs'!$B$10*MAX(0,$A17-'1. Inputs'!$C$26-'1. Inputs'!$B$30+1)/(MAX(0,$A17-'1. Inputs'!$C$26-'1. Inputs'!$B$30+1)+'1. Inputs'!$B$11))*'1. Inputs'!$B$13*(1+'1. Inputs'!$B$14*MIN(MAX(0,$A17-'1. Inputs'!$C$26-'1. Inputs'!$B$30+1),'1. Inputs'!$B$15))*('1. Inputs'!$B$31*'5. Diagnosing a miss'!$B$22))</f>
        <v>0</v>
      </c>
      <c r="W17" s="22" t="n">
        <f aca="false">IF(MAX(0,$A17-'1. Inputs'!$C$27-'1. Inputs'!$B$30+1)&lt;=0,0,'1. Inputs'!$B$27*'1. Inputs'!$B$5*MAX(0,$A17-'1. Inputs'!$C$27-'1. Inputs'!$B$30+1)^'1. Inputs'!$B$7/('1. Inputs'!$B$6^'1. Inputs'!$B$7+MAX(0,$A17-'1. Inputs'!$C$27-'1. Inputs'!$B$30+1)^'1. Inputs'!$B$7)*('1. Inputs'!$B$9+'1. Inputs'!$B$10*MAX(0,$A17-'1. Inputs'!$C$27-'1. Inputs'!$B$30+1)/(MAX(0,$A17-'1. Inputs'!$C$27-'1. Inputs'!$B$30+1)+'1. Inputs'!$B$11))*'1. Inputs'!$B$13*(1+'1. Inputs'!$B$14*MIN(MAX(0,$A17-'1. Inputs'!$C$27-'1. Inputs'!$B$30+1),'1. Inputs'!$B$15))*('1. Inputs'!$B$31*'5. Diagnosing a miss'!$B$22))</f>
        <v>0</v>
      </c>
      <c r="X17" s="22" t="n">
        <f aca="false">SUM(T17:W17)</f>
        <v>1859312.94680412</v>
      </c>
      <c r="Y17" s="22" t="n">
        <f aca="false">IF($A17=MAX('1. Inputs'!$B$17,1),'1. Inputs'!$B$3,0)+IF($A17-'1. Inputs'!$B$17&gt;=1,INDEX(X$3:X$86,$A17-'1. Inputs'!$B$17),0)</f>
        <v>0</v>
      </c>
      <c r="Z17" s="22" t="n">
        <f aca="false">Z16*(1-'1. Inputs'!$B$18)+Y17</f>
        <v>145544850</v>
      </c>
      <c r="AA17" s="22" t="n">
        <f aca="false">Z17*'1. Inputs'!$B$18</f>
        <v>1455448.5</v>
      </c>
      <c r="AB17" s="22" t="n">
        <f aca="false">AB16+X17-AA17</f>
        <v>150459941.374572</v>
      </c>
      <c r="AC17" s="22" t="n">
        <f aca="false">IF(MAX(0,$A17-'1. Inputs'!$C$24-('1. Inputs'!$B$30+'5. Diagnosing a miss'!$B$23)+1)&lt;=0,0,'1. Inputs'!$B$24*'1. Inputs'!$B$5*MAX(0,$A17-'1. Inputs'!$C$24-('1. Inputs'!$B$30+'5. Diagnosing a miss'!$B$23)+1)^'1. Inputs'!$B$7/('1. Inputs'!$B$6^'1. Inputs'!$B$7+MAX(0,$A17-'1. Inputs'!$C$24-('1. Inputs'!$B$30+'5. Diagnosing a miss'!$B$23)+1)^'1. Inputs'!$B$7)*('1. Inputs'!$B$9+'1. Inputs'!$B$10*MAX(0,$A17-'1. Inputs'!$C$24-('1. Inputs'!$B$30+'5. Diagnosing a miss'!$B$23)+1)/(MAX(0,$A17-'1. Inputs'!$C$24-('1. Inputs'!$B$30+'5. Diagnosing a miss'!$B$23)+1)+'1. Inputs'!$B$11))*'1. Inputs'!$B$13*(1+'1. Inputs'!$B$14*MIN(MAX(0,$A17-'1. Inputs'!$C$24-('1. Inputs'!$B$30+'5. Diagnosing a miss'!$B$23)+1),'1. Inputs'!$B$15))*'1. Inputs'!$B$31)</f>
        <v>833693.538461539</v>
      </c>
      <c r="AD17" s="22" t="n">
        <f aca="false">IF(MAX(0,$A17-'1. Inputs'!$C$25-('1. Inputs'!$B$30+'5. Diagnosing a miss'!$B$23)+1)&lt;=0,0,'1. Inputs'!$B$25*'1. Inputs'!$B$5*MAX(0,$A17-'1. Inputs'!$C$25-('1. Inputs'!$B$30+'5. Diagnosing a miss'!$B$23)+1)^'1. Inputs'!$B$7/('1. Inputs'!$B$6^'1. Inputs'!$B$7+MAX(0,$A17-'1. Inputs'!$C$25-('1. Inputs'!$B$30+'5. Diagnosing a miss'!$B$23)+1)^'1. Inputs'!$B$7)*('1. Inputs'!$B$9+'1. Inputs'!$B$10*MAX(0,$A17-'1. Inputs'!$C$25-('1. Inputs'!$B$30+'5. Diagnosing a miss'!$B$23)+1)/(MAX(0,$A17-'1. Inputs'!$C$25-('1. Inputs'!$B$30+'5. Diagnosing a miss'!$B$23)+1)+'1. Inputs'!$B$11))*'1. Inputs'!$B$13*(1+'1. Inputs'!$B$14*MIN(MAX(0,$A17-'1. Inputs'!$C$25-('1. Inputs'!$B$30+'5. Diagnosing a miss'!$B$23)+1),'1. Inputs'!$B$15))*'1. Inputs'!$B$31)</f>
        <v>29376</v>
      </c>
      <c r="AE17" s="22" t="n">
        <f aca="false">IF(MAX(0,$A17-'1. Inputs'!$C$26-('1. Inputs'!$B$30+'5. Diagnosing a miss'!$B$23)+1)&lt;=0,0,'1. Inputs'!$B$26*'1. Inputs'!$B$5*MAX(0,$A17-'1. Inputs'!$C$26-('1. Inputs'!$B$30+'5. Diagnosing a miss'!$B$23)+1)^'1. Inputs'!$B$7/('1. Inputs'!$B$6^'1. Inputs'!$B$7+MAX(0,$A17-'1. Inputs'!$C$26-('1. Inputs'!$B$30+'5. Diagnosing a miss'!$B$23)+1)^'1. Inputs'!$B$7)*('1. Inputs'!$B$9+'1. Inputs'!$B$10*MAX(0,$A17-'1. Inputs'!$C$26-('1. Inputs'!$B$30+'5. Diagnosing a miss'!$B$23)+1)/(MAX(0,$A17-'1. Inputs'!$C$26-('1. Inputs'!$B$30+'5. Diagnosing a miss'!$B$23)+1)+'1. Inputs'!$B$11))*'1. Inputs'!$B$13*(1+'1. Inputs'!$B$14*MIN(MAX(0,$A17-'1. Inputs'!$C$26-('1. Inputs'!$B$30+'5. Diagnosing a miss'!$B$23)+1),'1. Inputs'!$B$15))*'1. Inputs'!$B$31)</f>
        <v>0</v>
      </c>
      <c r="AF17" s="22" t="n">
        <f aca="false">IF(MAX(0,$A17-'1. Inputs'!$C$27-('1. Inputs'!$B$30+'5. Diagnosing a miss'!$B$23)+1)&lt;=0,0,'1. Inputs'!$B$27*'1. Inputs'!$B$5*MAX(0,$A17-'1. Inputs'!$C$27-('1. Inputs'!$B$30+'5. Diagnosing a miss'!$B$23)+1)^'1. Inputs'!$B$7/('1. Inputs'!$B$6^'1. Inputs'!$B$7+MAX(0,$A17-'1. Inputs'!$C$27-('1. Inputs'!$B$30+'5. Diagnosing a miss'!$B$23)+1)^'1. Inputs'!$B$7)*('1. Inputs'!$B$9+'1. Inputs'!$B$10*MAX(0,$A17-'1. Inputs'!$C$27-('1. Inputs'!$B$30+'5. Diagnosing a miss'!$B$23)+1)/(MAX(0,$A17-'1. Inputs'!$C$27-('1. Inputs'!$B$30+'5. Diagnosing a miss'!$B$23)+1)+'1. Inputs'!$B$11))*'1. Inputs'!$B$13*(1+'1. Inputs'!$B$14*MIN(MAX(0,$A17-'1. Inputs'!$C$27-('1. Inputs'!$B$30+'5. Diagnosing a miss'!$B$23)+1),'1. Inputs'!$B$15))*'1. Inputs'!$B$31)</f>
        <v>0</v>
      </c>
      <c r="AG17" s="22" t="n">
        <f aca="false">SUM(AC17:AF17)</f>
        <v>863069.538461539</v>
      </c>
      <c r="AH17" s="22" t="n">
        <f aca="false">IF($A17=MAX('1. Inputs'!$B$17,1),'1. Inputs'!$B$3,0)+IF($A17-'1. Inputs'!$B$17&gt;=1,INDEX(AG$3:AG$86,$A17-'1. Inputs'!$B$17),0)</f>
        <v>0</v>
      </c>
      <c r="AI17" s="22" t="n">
        <f aca="false">AI16*(1-'1. Inputs'!$B$18)+AH17</f>
        <v>145544850</v>
      </c>
      <c r="AJ17" s="22" t="n">
        <f aca="false">AI17*'1. Inputs'!$B$18</f>
        <v>1455448.5</v>
      </c>
      <c r="AK17" s="22" t="n">
        <f aca="false">AK16+AG17-AJ17</f>
        <v>146299953.285697</v>
      </c>
    </row>
    <row r="18" customFormat="false" ht="15" hidden="false" customHeight="false" outlineLevel="0" collapsed="false">
      <c r="A18" s="7" t="n">
        <v>16</v>
      </c>
      <c r="B18" s="22" t="n">
        <f aca="false">IF(MAX(0,$A18-'1. Inputs'!$C$24-'1. Inputs'!$B$30+1)&lt;=0,0,'1. Inputs'!$B$24*'1. Inputs'!$B$5*MAX(0,$A18-'1. Inputs'!$C$24-'1. Inputs'!$B$30+1)^'1. Inputs'!$B$7/('1. Inputs'!$B$6^'1. Inputs'!$B$7+MAX(0,$A18-'1. Inputs'!$C$24-'1. Inputs'!$B$30+1)^'1. Inputs'!$B$7)*('1. Inputs'!$B$9+'1. Inputs'!$B$10*MAX(0,$A18-'1. Inputs'!$C$24-'1. Inputs'!$B$30+1)/(MAX(0,$A18-'1. Inputs'!$C$24-'1. Inputs'!$B$30+1)+'1. Inputs'!$B$11))*'1. Inputs'!$B$13*(1+'1. Inputs'!$B$14*MIN(MAX(0,$A18-'1. Inputs'!$C$24-'1. Inputs'!$B$30+1),'1. Inputs'!$B$15))*'1. Inputs'!$B$31)</f>
        <v>1754254.14364641</v>
      </c>
      <c r="C18" s="22" t="n">
        <f aca="false">IF(MAX(0,$A18-'1. Inputs'!$C$25-'1. Inputs'!$B$30+1)&lt;=0,0,'1. Inputs'!$B$25*'1. Inputs'!$B$5*MAX(0,$A18-'1. Inputs'!$C$25-'1. Inputs'!$B$30+1)^'1. Inputs'!$B$7/('1. Inputs'!$B$6^'1. Inputs'!$B$7+MAX(0,$A18-'1. Inputs'!$C$25-'1. Inputs'!$B$30+1)^'1. Inputs'!$B$7)*('1. Inputs'!$B$9+'1. Inputs'!$B$10*MAX(0,$A18-'1. Inputs'!$C$25-'1. Inputs'!$B$30+1)/(MAX(0,$A18-'1. Inputs'!$C$25-'1. Inputs'!$B$30+1)+'1. Inputs'!$B$11))*'1. Inputs'!$B$13*(1+'1. Inputs'!$B$14*MIN(MAX(0,$A18-'1. Inputs'!$C$25-'1. Inputs'!$B$30+1),'1. Inputs'!$B$15))*'1. Inputs'!$B$31)</f>
        <v>808301.886792453</v>
      </c>
      <c r="D18" s="22" t="n">
        <f aca="false">IF(MAX(0,$A18-'1. Inputs'!$C$26-'1. Inputs'!$B$30+1)&lt;=0,0,'1. Inputs'!$B$26*'1. Inputs'!$B$5*MAX(0,$A18-'1. Inputs'!$C$26-'1. Inputs'!$B$30+1)^'1. Inputs'!$B$7/('1. Inputs'!$B$6^'1. Inputs'!$B$7+MAX(0,$A18-'1. Inputs'!$C$26-'1. Inputs'!$B$30+1)^'1. Inputs'!$B$7)*('1. Inputs'!$B$9+'1. Inputs'!$B$10*MAX(0,$A18-'1. Inputs'!$C$26-'1. Inputs'!$B$30+1)/(MAX(0,$A18-'1. Inputs'!$C$26-'1. Inputs'!$B$30+1)+'1. Inputs'!$B$11))*'1. Inputs'!$B$13*(1+'1. Inputs'!$B$14*MIN(MAX(0,$A18-'1. Inputs'!$C$26-'1. Inputs'!$B$30+1),'1. Inputs'!$B$15))*'1. Inputs'!$B$31)</f>
        <v>0</v>
      </c>
      <c r="E18" s="22" t="n">
        <f aca="false">IF(MAX(0,$A18-'1. Inputs'!$C$27-'1. Inputs'!$B$30+1)&lt;=0,0,'1. Inputs'!$B$27*'1. Inputs'!$B$5*MAX(0,$A18-'1. Inputs'!$C$27-'1. Inputs'!$B$30+1)^'1. Inputs'!$B$7/('1. Inputs'!$B$6^'1. Inputs'!$B$7+MAX(0,$A18-'1. Inputs'!$C$27-'1. Inputs'!$B$30+1)^'1. Inputs'!$B$7)*('1. Inputs'!$B$9+'1. Inputs'!$B$10*MAX(0,$A18-'1. Inputs'!$C$27-'1. Inputs'!$B$30+1)/(MAX(0,$A18-'1. Inputs'!$C$27-'1. Inputs'!$B$30+1)+'1. Inputs'!$B$11))*'1. Inputs'!$B$13*(1+'1. Inputs'!$B$14*MIN(MAX(0,$A18-'1. Inputs'!$C$27-'1. Inputs'!$B$30+1),'1. Inputs'!$B$15))*'1. Inputs'!$B$31)</f>
        <v>0</v>
      </c>
      <c r="F18" s="22" t="n">
        <f aca="false">SUM(B18:E18)</f>
        <v>2562556.03043886</v>
      </c>
      <c r="G18" s="22" t="n">
        <f aca="false">IF($A18=MAX('1. Inputs'!$B$17,1),'1. Inputs'!$B$3,0)+IF($A18-'1. Inputs'!$B$17&gt;=1,INDEX(F$3:F$86,$A18-'1. Inputs'!$B$17),0)</f>
        <v>0</v>
      </c>
      <c r="H18" s="22" t="n">
        <f aca="false">H17*(1-'1. Inputs'!$B$18)+G18</f>
        <v>144089401.5</v>
      </c>
      <c r="I18" s="22" t="n">
        <f aca="false">H18*'1. Inputs'!$B$18</f>
        <v>1440894.015</v>
      </c>
      <c r="J18" s="22" t="n">
        <f aca="false">J17+F18-I18</f>
        <v>152289441.153852</v>
      </c>
      <c r="K18" s="22" t="n">
        <f aca="false">IF(MAX(0,$A18-'1. Inputs'!$C$24-'1. Inputs'!$B$30+1)&lt;=0,0,'1. Inputs'!$B$24*('1. Inputs'!$B$5-'5. Diagnosing a miss'!$B$21)*MAX(0,$A18-'1. Inputs'!$C$24-'1. Inputs'!$B$30+1)^'1. Inputs'!$B$7/('1. Inputs'!$B$6^'1. Inputs'!$B$7+MAX(0,$A18-'1. Inputs'!$C$24-'1. Inputs'!$B$30+1)^'1. Inputs'!$B$7)*('1. Inputs'!$B$9+'1. Inputs'!$B$10*MAX(0,$A18-'1. Inputs'!$C$24-'1. Inputs'!$B$30+1)/(MAX(0,$A18-'1. Inputs'!$C$24-'1. Inputs'!$B$30+1)+'1. Inputs'!$B$11))*'1. Inputs'!$B$13*(1+'1. Inputs'!$B$14*MIN(MAX(0,$A18-'1. Inputs'!$C$24-'1. Inputs'!$B$30+1),'1. Inputs'!$B$15))*'1. Inputs'!$B$31)</f>
        <v>1559337.01657459</v>
      </c>
      <c r="L18" s="22" t="n">
        <f aca="false">IF(MAX(0,$A18-'1. Inputs'!$C$25-'1. Inputs'!$B$30+1)&lt;=0,0,'1. Inputs'!$B$25*('1. Inputs'!$B$5-'5. Diagnosing a miss'!$B$21)*MAX(0,$A18-'1. Inputs'!$C$25-'1. Inputs'!$B$30+1)^'1. Inputs'!$B$7/('1. Inputs'!$B$6^'1. Inputs'!$B$7+MAX(0,$A18-'1. Inputs'!$C$25-'1. Inputs'!$B$30+1)^'1. Inputs'!$B$7)*('1. Inputs'!$B$9+'1. Inputs'!$B$10*MAX(0,$A18-'1. Inputs'!$C$25-'1. Inputs'!$B$30+1)/(MAX(0,$A18-'1. Inputs'!$C$25-'1. Inputs'!$B$30+1)+'1. Inputs'!$B$11))*'1. Inputs'!$B$13*(1+'1. Inputs'!$B$14*MIN(MAX(0,$A18-'1. Inputs'!$C$25-'1. Inputs'!$B$30+1),'1. Inputs'!$B$15))*'1. Inputs'!$B$31)</f>
        <v>718490.566037736</v>
      </c>
      <c r="M18" s="22" t="n">
        <f aca="false">IF(MAX(0,$A18-'1. Inputs'!$C$26-'1. Inputs'!$B$30+1)&lt;=0,0,'1. Inputs'!$B$26*('1. Inputs'!$B$5-'5. Diagnosing a miss'!$B$21)*MAX(0,$A18-'1. Inputs'!$C$26-'1. Inputs'!$B$30+1)^'1. Inputs'!$B$7/('1. Inputs'!$B$6^'1. Inputs'!$B$7+MAX(0,$A18-'1. Inputs'!$C$26-'1. Inputs'!$B$30+1)^'1. Inputs'!$B$7)*('1. Inputs'!$B$9+'1. Inputs'!$B$10*MAX(0,$A18-'1. Inputs'!$C$26-'1. Inputs'!$B$30+1)/(MAX(0,$A18-'1. Inputs'!$C$26-'1. Inputs'!$B$30+1)+'1. Inputs'!$B$11))*'1. Inputs'!$B$13*(1+'1. Inputs'!$B$14*MIN(MAX(0,$A18-'1. Inputs'!$C$26-'1. Inputs'!$B$30+1),'1. Inputs'!$B$15))*'1. Inputs'!$B$31)</f>
        <v>0</v>
      </c>
      <c r="N18" s="22" t="n">
        <f aca="false">IF(MAX(0,$A18-'1. Inputs'!$C$27-'1. Inputs'!$B$30+1)&lt;=0,0,'1. Inputs'!$B$27*('1. Inputs'!$B$5-'5. Diagnosing a miss'!$B$21)*MAX(0,$A18-'1. Inputs'!$C$27-'1. Inputs'!$B$30+1)^'1. Inputs'!$B$7/('1. Inputs'!$B$6^'1. Inputs'!$B$7+MAX(0,$A18-'1. Inputs'!$C$27-'1. Inputs'!$B$30+1)^'1. Inputs'!$B$7)*('1. Inputs'!$B$9+'1. Inputs'!$B$10*MAX(0,$A18-'1. Inputs'!$C$27-'1. Inputs'!$B$30+1)/(MAX(0,$A18-'1. Inputs'!$C$27-'1. Inputs'!$B$30+1)+'1. Inputs'!$B$11))*'1. Inputs'!$B$13*(1+'1. Inputs'!$B$14*MIN(MAX(0,$A18-'1. Inputs'!$C$27-'1. Inputs'!$B$30+1),'1. Inputs'!$B$15))*'1. Inputs'!$B$31)</f>
        <v>0</v>
      </c>
      <c r="O18" s="22" t="n">
        <f aca="false">SUM(K18:N18)</f>
        <v>2277827.58261232</v>
      </c>
      <c r="P18" s="22" t="n">
        <f aca="false">IF($A18=MAX('1. Inputs'!$B$17,1),'1. Inputs'!$B$3,0)+IF($A18-'1. Inputs'!$B$17&gt;=1,INDEX(O$3:O$86,$A18-'1. Inputs'!$B$17),0)</f>
        <v>0</v>
      </c>
      <c r="Q18" s="22" t="n">
        <f aca="false">Q17*(1-'1. Inputs'!$B$18)+P18</f>
        <v>144089401.5</v>
      </c>
      <c r="R18" s="22" t="n">
        <f aca="false">Q18*'1. Inputs'!$B$18</f>
        <v>1440894.015</v>
      </c>
      <c r="S18" s="22" t="n">
        <f aca="false">S17+O18-R18</f>
        <v>151218226.301757</v>
      </c>
      <c r="T18" s="22" t="n">
        <f aca="false">IF(MAX(0,$A18-'1. Inputs'!$C$24-'1. Inputs'!$B$30+1)&lt;=0,0,'1. Inputs'!$B$24*'1. Inputs'!$B$5*MAX(0,$A18-'1. Inputs'!$C$24-'1. Inputs'!$B$30+1)^'1. Inputs'!$B$7/('1. Inputs'!$B$6^'1. Inputs'!$B$7+MAX(0,$A18-'1. Inputs'!$C$24-'1. Inputs'!$B$30+1)^'1. Inputs'!$B$7)*('1. Inputs'!$B$9+'1. Inputs'!$B$10*MAX(0,$A18-'1. Inputs'!$C$24-'1. Inputs'!$B$30+1)/(MAX(0,$A18-'1. Inputs'!$C$24-'1. Inputs'!$B$30+1)+'1. Inputs'!$B$11))*'1. Inputs'!$B$13*(1+'1. Inputs'!$B$14*MIN(MAX(0,$A18-'1. Inputs'!$C$24-'1. Inputs'!$B$30+1),'1. Inputs'!$B$15))*('1. Inputs'!$B$31*'5. Diagnosing a miss'!$B$22))</f>
        <v>1578828.72928177</v>
      </c>
      <c r="U18" s="22" t="n">
        <f aca="false">IF(MAX(0,$A18-'1. Inputs'!$C$25-'1. Inputs'!$B$30+1)&lt;=0,0,'1. Inputs'!$B$25*'1. Inputs'!$B$5*MAX(0,$A18-'1. Inputs'!$C$25-'1. Inputs'!$B$30+1)^'1. Inputs'!$B$7/('1. Inputs'!$B$6^'1. Inputs'!$B$7+MAX(0,$A18-'1. Inputs'!$C$25-'1. Inputs'!$B$30+1)^'1. Inputs'!$B$7)*('1. Inputs'!$B$9+'1. Inputs'!$B$10*MAX(0,$A18-'1. Inputs'!$C$25-'1. Inputs'!$B$30+1)/(MAX(0,$A18-'1. Inputs'!$C$25-'1. Inputs'!$B$30+1)+'1. Inputs'!$B$11))*'1. Inputs'!$B$13*(1+'1. Inputs'!$B$14*MIN(MAX(0,$A18-'1. Inputs'!$C$25-'1. Inputs'!$B$30+1),'1. Inputs'!$B$15))*('1. Inputs'!$B$31*'5. Diagnosing a miss'!$B$22))</f>
        <v>727471.698113208</v>
      </c>
      <c r="V18" s="22" t="n">
        <f aca="false">IF(MAX(0,$A18-'1. Inputs'!$C$26-'1. Inputs'!$B$30+1)&lt;=0,0,'1. Inputs'!$B$26*'1. Inputs'!$B$5*MAX(0,$A18-'1. Inputs'!$C$26-'1. Inputs'!$B$30+1)^'1. Inputs'!$B$7/('1. Inputs'!$B$6^'1. Inputs'!$B$7+MAX(0,$A18-'1. Inputs'!$C$26-'1. Inputs'!$B$30+1)^'1. Inputs'!$B$7)*('1. Inputs'!$B$9+'1. Inputs'!$B$10*MAX(0,$A18-'1. Inputs'!$C$26-'1. Inputs'!$B$30+1)/(MAX(0,$A18-'1. Inputs'!$C$26-'1. Inputs'!$B$30+1)+'1. Inputs'!$B$11))*'1. Inputs'!$B$13*(1+'1. Inputs'!$B$14*MIN(MAX(0,$A18-'1. Inputs'!$C$26-'1. Inputs'!$B$30+1),'1. Inputs'!$B$15))*('1. Inputs'!$B$31*'5. Diagnosing a miss'!$B$22))</f>
        <v>0</v>
      </c>
      <c r="W18" s="22" t="n">
        <f aca="false">IF(MAX(0,$A18-'1. Inputs'!$C$27-'1. Inputs'!$B$30+1)&lt;=0,0,'1. Inputs'!$B$27*'1. Inputs'!$B$5*MAX(0,$A18-'1. Inputs'!$C$27-'1. Inputs'!$B$30+1)^'1. Inputs'!$B$7/('1. Inputs'!$B$6^'1. Inputs'!$B$7+MAX(0,$A18-'1. Inputs'!$C$27-'1. Inputs'!$B$30+1)^'1. Inputs'!$B$7)*('1. Inputs'!$B$9+'1. Inputs'!$B$10*MAX(0,$A18-'1. Inputs'!$C$27-'1. Inputs'!$B$30+1)/(MAX(0,$A18-'1. Inputs'!$C$27-'1. Inputs'!$B$30+1)+'1. Inputs'!$B$11))*'1. Inputs'!$B$13*(1+'1. Inputs'!$B$14*MIN(MAX(0,$A18-'1. Inputs'!$C$27-'1. Inputs'!$B$30+1),'1. Inputs'!$B$15))*('1. Inputs'!$B$31*'5. Diagnosing a miss'!$B$22))</f>
        <v>0</v>
      </c>
      <c r="X18" s="22" t="n">
        <f aca="false">SUM(T18:W18)</f>
        <v>2306300.42739498</v>
      </c>
      <c r="Y18" s="22" t="n">
        <f aca="false">IF($A18=MAX('1. Inputs'!$B$17,1),'1. Inputs'!$B$3,0)+IF($A18-'1. Inputs'!$B$17&gt;=1,INDEX(X$3:X$86,$A18-'1. Inputs'!$B$17),0)</f>
        <v>0</v>
      </c>
      <c r="Z18" s="22" t="n">
        <f aca="false">Z17*(1-'1. Inputs'!$B$18)+Y18</f>
        <v>144089401.5</v>
      </c>
      <c r="AA18" s="22" t="n">
        <f aca="false">Z18*'1. Inputs'!$B$18</f>
        <v>1440894.015</v>
      </c>
      <c r="AB18" s="22" t="n">
        <f aca="false">AB17+X18-AA18</f>
        <v>151325347.786967</v>
      </c>
      <c r="AC18" s="22" t="n">
        <f aca="false">IF(MAX(0,$A18-'1. Inputs'!$C$24-('1. Inputs'!$B$30+'5. Diagnosing a miss'!$B$23)+1)&lt;=0,0,'1. Inputs'!$B$24*'1. Inputs'!$B$5*MAX(0,$A18-'1. Inputs'!$C$24-('1. Inputs'!$B$30+'5. Diagnosing a miss'!$B$23)+1)^'1. Inputs'!$B$7/('1. Inputs'!$B$6^'1. Inputs'!$B$7+MAX(0,$A18-'1. Inputs'!$C$24-('1. Inputs'!$B$30+'5. Diagnosing a miss'!$B$23)+1)^'1. Inputs'!$B$7)*('1. Inputs'!$B$9+'1. Inputs'!$B$10*MAX(0,$A18-'1. Inputs'!$C$24-('1. Inputs'!$B$30+'5. Diagnosing a miss'!$B$23)+1)/(MAX(0,$A18-'1. Inputs'!$C$24-('1. Inputs'!$B$30+'5. Diagnosing a miss'!$B$23)+1)+'1. Inputs'!$B$11))*'1. Inputs'!$B$13*(1+'1. Inputs'!$B$14*MIN(MAX(0,$A18-'1. Inputs'!$C$24-('1. Inputs'!$B$30+'5. Diagnosing a miss'!$B$23)+1),'1. Inputs'!$B$15))*'1. Inputs'!$B$31)</f>
        <v>1069497.54319527</v>
      </c>
      <c r="AD18" s="22" t="n">
        <f aca="false">IF(MAX(0,$A18-'1. Inputs'!$C$25-('1. Inputs'!$B$30+'5. Diagnosing a miss'!$B$23)+1)&lt;=0,0,'1. Inputs'!$B$25*'1. Inputs'!$B$5*MAX(0,$A18-'1. Inputs'!$C$25-('1. Inputs'!$B$30+'5. Diagnosing a miss'!$B$23)+1)^'1. Inputs'!$B$7/('1. Inputs'!$B$6^'1. Inputs'!$B$7+MAX(0,$A18-'1. Inputs'!$C$25-('1. Inputs'!$B$30+'5. Diagnosing a miss'!$B$23)+1)^'1. Inputs'!$B$7)*('1. Inputs'!$B$9+'1. Inputs'!$B$10*MAX(0,$A18-'1. Inputs'!$C$25-('1. Inputs'!$B$30+'5. Diagnosing a miss'!$B$23)+1)/(MAX(0,$A18-'1. Inputs'!$C$25-('1. Inputs'!$B$30+'5. Diagnosing a miss'!$B$23)+1)+'1. Inputs'!$B$11))*'1. Inputs'!$B$13*(1+'1. Inputs'!$B$14*MIN(MAX(0,$A18-'1. Inputs'!$C$25-('1. Inputs'!$B$30+'5. Diagnosing a miss'!$B$23)+1),'1. Inputs'!$B$15))*'1. Inputs'!$B$31)</f>
        <v>128265.035294118</v>
      </c>
      <c r="AE18" s="22" t="n">
        <f aca="false">IF(MAX(0,$A18-'1. Inputs'!$C$26-('1. Inputs'!$B$30+'5. Diagnosing a miss'!$B$23)+1)&lt;=0,0,'1. Inputs'!$B$26*'1. Inputs'!$B$5*MAX(0,$A18-'1. Inputs'!$C$26-('1. Inputs'!$B$30+'5. Diagnosing a miss'!$B$23)+1)^'1. Inputs'!$B$7/('1. Inputs'!$B$6^'1. Inputs'!$B$7+MAX(0,$A18-'1. Inputs'!$C$26-('1. Inputs'!$B$30+'5. Diagnosing a miss'!$B$23)+1)^'1. Inputs'!$B$7)*('1. Inputs'!$B$9+'1. Inputs'!$B$10*MAX(0,$A18-'1. Inputs'!$C$26-('1. Inputs'!$B$30+'5. Diagnosing a miss'!$B$23)+1)/(MAX(0,$A18-'1. Inputs'!$C$26-('1. Inputs'!$B$30+'5. Diagnosing a miss'!$B$23)+1)+'1. Inputs'!$B$11))*'1. Inputs'!$B$13*(1+'1. Inputs'!$B$14*MIN(MAX(0,$A18-'1. Inputs'!$C$26-('1. Inputs'!$B$30+'5. Diagnosing a miss'!$B$23)+1),'1. Inputs'!$B$15))*'1. Inputs'!$B$31)</f>
        <v>0</v>
      </c>
      <c r="AF18" s="22" t="n">
        <f aca="false">IF(MAX(0,$A18-'1. Inputs'!$C$27-('1. Inputs'!$B$30+'5. Diagnosing a miss'!$B$23)+1)&lt;=0,0,'1. Inputs'!$B$27*'1. Inputs'!$B$5*MAX(0,$A18-'1. Inputs'!$C$27-('1. Inputs'!$B$30+'5. Diagnosing a miss'!$B$23)+1)^'1. Inputs'!$B$7/('1. Inputs'!$B$6^'1. Inputs'!$B$7+MAX(0,$A18-'1. Inputs'!$C$27-('1. Inputs'!$B$30+'5. Diagnosing a miss'!$B$23)+1)^'1. Inputs'!$B$7)*('1. Inputs'!$B$9+'1. Inputs'!$B$10*MAX(0,$A18-'1. Inputs'!$C$27-('1. Inputs'!$B$30+'5. Diagnosing a miss'!$B$23)+1)/(MAX(0,$A18-'1. Inputs'!$C$27-('1. Inputs'!$B$30+'5. Diagnosing a miss'!$B$23)+1)+'1. Inputs'!$B$11))*'1. Inputs'!$B$13*(1+'1. Inputs'!$B$14*MIN(MAX(0,$A18-'1. Inputs'!$C$27-('1. Inputs'!$B$30+'5. Diagnosing a miss'!$B$23)+1),'1. Inputs'!$B$15))*'1. Inputs'!$B$31)</f>
        <v>0</v>
      </c>
      <c r="AG18" s="22" t="n">
        <f aca="false">SUM(AC18:AF18)</f>
        <v>1197762.57848938</v>
      </c>
      <c r="AH18" s="22" t="n">
        <f aca="false">IF($A18=MAX('1. Inputs'!$B$17,1),'1. Inputs'!$B$3,0)+IF($A18-'1. Inputs'!$B$17&gt;=1,INDEX(AG$3:AG$86,$A18-'1. Inputs'!$B$17),0)</f>
        <v>0</v>
      </c>
      <c r="AI18" s="22" t="n">
        <f aca="false">AI17*(1-'1. Inputs'!$B$18)+AH18</f>
        <v>144089401.5</v>
      </c>
      <c r="AJ18" s="22" t="n">
        <f aca="false">AI18*'1. Inputs'!$B$18</f>
        <v>1440894.015</v>
      </c>
      <c r="AK18" s="22" t="n">
        <f aca="false">AK17+AG18-AJ18</f>
        <v>146056821.849186</v>
      </c>
    </row>
    <row r="19" customFormat="false" ht="15" hidden="false" customHeight="false" outlineLevel="0" collapsed="false">
      <c r="A19" s="7" t="n">
        <v>17</v>
      </c>
      <c r="B19" s="22" t="n">
        <f aca="false">IF(MAX(0,$A19-'1. Inputs'!$C$24-'1. Inputs'!$B$30+1)&lt;=0,0,'1. Inputs'!$B$24*'1. Inputs'!$B$5*MAX(0,$A19-'1. Inputs'!$C$24-'1. Inputs'!$B$30+1)^'1. Inputs'!$B$7/('1. Inputs'!$B$6^'1. Inputs'!$B$7+MAX(0,$A19-'1. Inputs'!$C$24-'1. Inputs'!$B$30+1)^'1. Inputs'!$B$7)*('1. Inputs'!$B$9+'1. Inputs'!$B$10*MAX(0,$A19-'1. Inputs'!$C$24-'1. Inputs'!$B$30+1)/(MAX(0,$A19-'1. Inputs'!$C$24-'1. Inputs'!$B$30+1)+'1. Inputs'!$B$11))*'1. Inputs'!$B$13*(1+'1. Inputs'!$B$14*MIN(MAX(0,$A19-'1. Inputs'!$C$24-'1. Inputs'!$B$30+1),'1. Inputs'!$B$15))*'1. Inputs'!$B$31)</f>
        <v>1962924.71986022</v>
      </c>
      <c r="C19" s="22" t="n">
        <f aca="false">IF(MAX(0,$A19-'1. Inputs'!$C$25-'1. Inputs'!$B$30+1)&lt;=0,0,'1. Inputs'!$B$25*'1. Inputs'!$B$5*MAX(0,$A19-'1. Inputs'!$C$25-'1. Inputs'!$B$30+1)^'1. Inputs'!$B$7/('1. Inputs'!$B$6^'1. Inputs'!$B$7+MAX(0,$A19-'1. Inputs'!$C$25-'1. Inputs'!$B$30+1)^'1. Inputs'!$B$7)*('1. Inputs'!$B$9+'1. Inputs'!$B$10*MAX(0,$A19-'1. Inputs'!$C$25-'1. Inputs'!$B$30+1)/(MAX(0,$A19-'1. Inputs'!$C$25-'1. Inputs'!$B$30+1)+'1. Inputs'!$B$11))*'1. Inputs'!$B$13*(1+'1. Inputs'!$B$14*MIN(MAX(0,$A19-'1. Inputs'!$C$25-'1. Inputs'!$B$30+1),'1. Inputs'!$B$15))*'1. Inputs'!$B$31)</f>
        <v>1111591.38461538</v>
      </c>
      <c r="D19" s="22" t="n">
        <f aca="false">IF(MAX(0,$A19-'1. Inputs'!$C$26-'1. Inputs'!$B$30+1)&lt;=0,0,'1. Inputs'!$B$26*'1. Inputs'!$B$5*MAX(0,$A19-'1. Inputs'!$C$26-'1. Inputs'!$B$30+1)^'1. Inputs'!$B$7/('1. Inputs'!$B$6^'1. Inputs'!$B$7+MAX(0,$A19-'1. Inputs'!$C$26-'1. Inputs'!$B$30+1)^'1. Inputs'!$B$7)*('1. Inputs'!$B$9+'1. Inputs'!$B$10*MAX(0,$A19-'1. Inputs'!$C$26-'1. Inputs'!$B$30+1)/(MAX(0,$A19-'1. Inputs'!$C$26-'1. Inputs'!$B$30+1)+'1. Inputs'!$B$11))*'1. Inputs'!$B$13*(1+'1. Inputs'!$B$14*MIN(MAX(0,$A19-'1. Inputs'!$C$26-'1. Inputs'!$B$30+1),'1. Inputs'!$B$15))*'1. Inputs'!$B$31)</f>
        <v>12852</v>
      </c>
      <c r="E19" s="22" t="n">
        <f aca="false">IF(MAX(0,$A19-'1. Inputs'!$C$27-'1. Inputs'!$B$30+1)&lt;=0,0,'1. Inputs'!$B$27*'1. Inputs'!$B$5*MAX(0,$A19-'1. Inputs'!$C$27-'1. Inputs'!$B$30+1)^'1. Inputs'!$B$7/('1. Inputs'!$B$6^'1. Inputs'!$B$7+MAX(0,$A19-'1. Inputs'!$C$27-'1. Inputs'!$B$30+1)^'1. Inputs'!$B$7)*('1. Inputs'!$B$9+'1. Inputs'!$B$10*MAX(0,$A19-'1. Inputs'!$C$27-'1. Inputs'!$B$30+1)/(MAX(0,$A19-'1. Inputs'!$C$27-'1. Inputs'!$B$30+1)+'1. Inputs'!$B$11))*'1. Inputs'!$B$13*(1+'1. Inputs'!$B$14*MIN(MAX(0,$A19-'1. Inputs'!$C$27-'1. Inputs'!$B$30+1),'1. Inputs'!$B$15))*'1. Inputs'!$B$31)</f>
        <v>0</v>
      </c>
      <c r="F19" s="22" t="n">
        <f aca="false">SUM(B19:E19)</f>
        <v>3087368.10447561</v>
      </c>
      <c r="G19" s="22" t="n">
        <f aca="false">IF($A19=MAX('1. Inputs'!$B$17,1),'1. Inputs'!$B$3,0)+IF($A19-'1. Inputs'!$B$17&gt;=1,INDEX(F$3:F$86,$A19-'1. Inputs'!$B$17),0)</f>
        <v>0</v>
      </c>
      <c r="H19" s="22" t="n">
        <f aca="false">H18*(1-'1. Inputs'!$B$18)+G19</f>
        <v>142648507.485</v>
      </c>
      <c r="I19" s="22" t="n">
        <f aca="false">H19*'1. Inputs'!$B$18</f>
        <v>1426485.07485</v>
      </c>
      <c r="J19" s="22" t="n">
        <f aca="false">J18+F19-I19</f>
        <v>153950324.183477</v>
      </c>
      <c r="K19" s="22" t="n">
        <f aca="false">IF(MAX(0,$A19-'1. Inputs'!$C$24-'1. Inputs'!$B$30+1)&lt;=0,0,'1. Inputs'!$B$24*('1. Inputs'!$B$5-'5. Diagnosing a miss'!$B$21)*MAX(0,$A19-'1. Inputs'!$C$24-'1. Inputs'!$B$30+1)^'1. Inputs'!$B$7/('1. Inputs'!$B$6^'1. Inputs'!$B$7+MAX(0,$A19-'1. Inputs'!$C$24-'1. Inputs'!$B$30+1)^'1. Inputs'!$B$7)*('1. Inputs'!$B$9+'1. Inputs'!$B$10*MAX(0,$A19-'1. Inputs'!$C$24-'1. Inputs'!$B$30+1)/(MAX(0,$A19-'1. Inputs'!$C$24-'1. Inputs'!$B$30+1)+'1. Inputs'!$B$11))*'1. Inputs'!$B$13*(1+'1. Inputs'!$B$14*MIN(MAX(0,$A19-'1. Inputs'!$C$24-'1. Inputs'!$B$30+1),'1. Inputs'!$B$15))*'1. Inputs'!$B$31)</f>
        <v>1744821.97320909</v>
      </c>
      <c r="L19" s="22" t="n">
        <f aca="false">IF(MAX(0,$A19-'1. Inputs'!$C$25-'1. Inputs'!$B$30+1)&lt;=0,0,'1. Inputs'!$B$25*('1. Inputs'!$B$5-'5. Diagnosing a miss'!$B$21)*MAX(0,$A19-'1. Inputs'!$C$25-'1. Inputs'!$B$30+1)^'1. Inputs'!$B$7/('1. Inputs'!$B$6^'1. Inputs'!$B$7+MAX(0,$A19-'1. Inputs'!$C$25-'1. Inputs'!$B$30+1)^'1. Inputs'!$B$7)*('1. Inputs'!$B$9+'1. Inputs'!$B$10*MAX(0,$A19-'1. Inputs'!$C$25-'1. Inputs'!$B$30+1)/(MAX(0,$A19-'1. Inputs'!$C$25-'1. Inputs'!$B$30+1)+'1. Inputs'!$B$11))*'1. Inputs'!$B$13*(1+'1. Inputs'!$B$14*MIN(MAX(0,$A19-'1. Inputs'!$C$25-'1. Inputs'!$B$30+1),'1. Inputs'!$B$15))*'1. Inputs'!$B$31)</f>
        <v>988081.230769231</v>
      </c>
      <c r="M19" s="22" t="n">
        <f aca="false">IF(MAX(0,$A19-'1. Inputs'!$C$26-'1. Inputs'!$B$30+1)&lt;=0,0,'1. Inputs'!$B$26*('1. Inputs'!$B$5-'5. Diagnosing a miss'!$B$21)*MAX(0,$A19-'1. Inputs'!$C$26-'1. Inputs'!$B$30+1)^'1. Inputs'!$B$7/('1. Inputs'!$B$6^'1. Inputs'!$B$7+MAX(0,$A19-'1. Inputs'!$C$26-'1. Inputs'!$B$30+1)^'1. Inputs'!$B$7)*('1. Inputs'!$B$9+'1. Inputs'!$B$10*MAX(0,$A19-'1. Inputs'!$C$26-'1. Inputs'!$B$30+1)/(MAX(0,$A19-'1. Inputs'!$C$26-'1. Inputs'!$B$30+1)+'1. Inputs'!$B$11))*'1. Inputs'!$B$13*(1+'1. Inputs'!$B$14*MIN(MAX(0,$A19-'1. Inputs'!$C$26-'1. Inputs'!$B$30+1),'1. Inputs'!$B$15))*'1. Inputs'!$B$31)</f>
        <v>11424</v>
      </c>
      <c r="N19" s="22" t="n">
        <f aca="false">IF(MAX(0,$A19-'1. Inputs'!$C$27-'1. Inputs'!$B$30+1)&lt;=0,0,'1. Inputs'!$B$27*('1. Inputs'!$B$5-'5. Diagnosing a miss'!$B$21)*MAX(0,$A19-'1. Inputs'!$C$27-'1. Inputs'!$B$30+1)^'1. Inputs'!$B$7/('1. Inputs'!$B$6^'1. Inputs'!$B$7+MAX(0,$A19-'1. Inputs'!$C$27-'1. Inputs'!$B$30+1)^'1. Inputs'!$B$7)*('1. Inputs'!$B$9+'1. Inputs'!$B$10*MAX(0,$A19-'1. Inputs'!$C$27-'1. Inputs'!$B$30+1)/(MAX(0,$A19-'1. Inputs'!$C$27-'1. Inputs'!$B$30+1)+'1. Inputs'!$B$11))*'1. Inputs'!$B$13*(1+'1. Inputs'!$B$14*MIN(MAX(0,$A19-'1. Inputs'!$C$27-'1. Inputs'!$B$30+1),'1. Inputs'!$B$15))*'1. Inputs'!$B$31)</f>
        <v>0</v>
      </c>
      <c r="O19" s="22" t="n">
        <f aca="false">SUM(K19:N19)</f>
        <v>2744327.20397832</v>
      </c>
      <c r="P19" s="22" t="n">
        <f aca="false">IF($A19=MAX('1. Inputs'!$B$17,1),'1. Inputs'!$B$3,0)+IF($A19-'1. Inputs'!$B$17&gt;=1,INDEX(O$3:O$86,$A19-'1. Inputs'!$B$17),0)</f>
        <v>0</v>
      </c>
      <c r="Q19" s="22" t="n">
        <f aca="false">Q18*(1-'1. Inputs'!$B$18)+P19</f>
        <v>142648507.485</v>
      </c>
      <c r="R19" s="22" t="n">
        <f aca="false">Q19*'1. Inputs'!$B$18</f>
        <v>1426485.07485</v>
      </c>
      <c r="S19" s="22" t="n">
        <f aca="false">S18+O19-R19</f>
        <v>152536068.430885</v>
      </c>
      <c r="T19" s="22" t="n">
        <f aca="false">IF(MAX(0,$A19-'1. Inputs'!$C$24-'1. Inputs'!$B$30+1)&lt;=0,0,'1. Inputs'!$B$24*'1. Inputs'!$B$5*MAX(0,$A19-'1. Inputs'!$C$24-'1. Inputs'!$B$30+1)^'1. Inputs'!$B$7/('1. Inputs'!$B$6^'1. Inputs'!$B$7+MAX(0,$A19-'1. Inputs'!$C$24-'1. Inputs'!$B$30+1)^'1. Inputs'!$B$7)*('1. Inputs'!$B$9+'1. Inputs'!$B$10*MAX(0,$A19-'1. Inputs'!$C$24-'1. Inputs'!$B$30+1)/(MAX(0,$A19-'1. Inputs'!$C$24-'1. Inputs'!$B$30+1)+'1. Inputs'!$B$11))*'1. Inputs'!$B$13*(1+'1. Inputs'!$B$14*MIN(MAX(0,$A19-'1. Inputs'!$C$24-'1. Inputs'!$B$30+1),'1. Inputs'!$B$15))*('1. Inputs'!$B$31*'5. Diagnosing a miss'!$B$22))</f>
        <v>1766632.2478742</v>
      </c>
      <c r="U19" s="22" t="n">
        <f aca="false">IF(MAX(0,$A19-'1. Inputs'!$C$25-'1. Inputs'!$B$30+1)&lt;=0,0,'1. Inputs'!$B$25*'1. Inputs'!$B$5*MAX(0,$A19-'1. Inputs'!$C$25-'1. Inputs'!$B$30+1)^'1. Inputs'!$B$7/('1. Inputs'!$B$6^'1. Inputs'!$B$7+MAX(0,$A19-'1. Inputs'!$C$25-'1. Inputs'!$B$30+1)^'1. Inputs'!$B$7)*('1. Inputs'!$B$9+'1. Inputs'!$B$10*MAX(0,$A19-'1. Inputs'!$C$25-'1. Inputs'!$B$30+1)/(MAX(0,$A19-'1. Inputs'!$C$25-'1. Inputs'!$B$30+1)+'1. Inputs'!$B$11))*'1. Inputs'!$B$13*(1+'1. Inputs'!$B$14*MIN(MAX(0,$A19-'1. Inputs'!$C$25-'1. Inputs'!$B$30+1),'1. Inputs'!$B$15))*('1. Inputs'!$B$31*'5. Diagnosing a miss'!$B$22))</f>
        <v>1000432.24615385</v>
      </c>
      <c r="V19" s="22" t="n">
        <f aca="false">IF(MAX(0,$A19-'1. Inputs'!$C$26-'1. Inputs'!$B$30+1)&lt;=0,0,'1. Inputs'!$B$26*'1. Inputs'!$B$5*MAX(0,$A19-'1. Inputs'!$C$26-'1. Inputs'!$B$30+1)^'1. Inputs'!$B$7/('1. Inputs'!$B$6^'1. Inputs'!$B$7+MAX(0,$A19-'1. Inputs'!$C$26-'1. Inputs'!$B$30+1)^'1. Inputs'!$B$7)*('1. Inputs'!$B$9+'1. Inputs'!$B$10*MAX(0,$A19-'1. Inputs'!$C$26-'1. Inputs'!$B$30+1)/(MAX(0,$A19-'1. Inputs'!$C$26-'1. Inputs'!$B$30+1)+'1. Inputs'!$B$11))*'1. Inputs'!$B$13*(1+'1. Inputs'!$B$14*MIN(MAX(0,$A19-'1. Inputs'!$C$26-'1. Inputs'!$B$30+1),'1. Inputs'!$B$15))*('1. Inputs'!$B$31*'5. Diagnosing a miss'!$B$22))</f>
        <v>11566.8</v>
      </c>
      <c r="W19" s="22" t="n">
        <f aca="false">IF(MAX(0,$A19-'1. Inputs'!$C$27-'1. Inputs'!$B$30+1)&lt;=0,0,'1. Inputs'!$B$27*'1. Inputs'!$B$5*MAX(0,$A19-'1. Inputs'!$C$27-'1. Inputs'!$B$30+1)^'1. Inputs'!$B$7/('1. Inputs'!$B$6^'1. Inputs'!$B$7+MAX(0,$A19-'1. Inputs'!$C$27-'1. Inputs'!$B$30+1)^'1. Inputs'!$B$7)*('1. Inputs'!$B$9+'1. Inputs'!$B$10*MAX(0,$A19-'1. Inputs'!$C$27-'1. Inputs'!$B$30+1)/(MAX(0,$A19-'1. Inputs'!$C$27-'1. Inputs'!$B$30+1)+'1. Inputs'!$B$11))*'1. Inputs'!$B$13*(1+'1. Inputs'!$B$14*MIN(MAX(0,$A19-'1. Inputs'!$C$27-'1. Inputs'!$B$30+1),'1. Inputs'!$B$15))*('1. Inputs'!$B$31*'5. Diagnosing a miss'!$B$22))</f>
        <v>0</v>
      </c>
      <c r="X19" s="22" t="n">
        <f aca="false">SUM(T19:W19)</f>
        <v>2778631.29402805</v>
      </c>
      <c r="Y19" s="22" t="n">
        <f aca="false">IF($A19=MAX('1. Inputs'!$B$17,1),'1. Inputs'!$B$3,0)+IF($A19-'1. Inputs'!$B$17&gt;=1,INDEX(X$3:X$86,$A19-'1. Inputs'!$B$17),0)</f>
        <v>0</v>
      </c>
      <c r="Z19" s="22" t="n">
        <f aca="false">Z18*(1-'1. Inputs'!$B$18)+Y19</f>
        <v>142648507.485</v>
      </c>
      <c r="AA19" s="22" t="n">
        <f aca="false">Z19*'1. Inputs'!$B$18</f>
        <v>1426485.07485</v>
      </c>
      <c r="AB19" s="22" t="n">
        <f aca="false">AB18+X19-AA19</f>
        <v>152677494.006145</v>
      </c>
      <c r="AC19" s="22" t="n">
        <f aca="false">IF(MAX(0,$A19-'1. Inputs'!$C$24-('1. Inputs'!$B$30+'5. Diagnosing a miss'!$B$23)+1)&lt;=0,0,'1. Inputs'!$B$24*'1. Inputs'!$B$5*MAX(0,$A19-'1. Inputs'!$C$24-('1. Inputs'!$B$30+'5. Diagnosing a miss'!$B$23)+1)^'1. Inputs'!$B$7/('1. Inputs'!$B$6^'1. Inputs'!$B$7+MAX(0,$A19-'1. Inputs'!$C$24-('1. Inputs'!$B$30+'5. Diagnosing a miss'!$B$23)+1)^'1. Inputs'!$B$7)*('1. Inputs'!$B$9+'1. Inputs'!$B$10*MAX(0,$A19-'1. Inputs'!$C$24-('1. Inputs'!$B$30+'5. Diagnosing a miss'!$B$23)+1)/(MAX(0,$A19-'1. Inputs'!$C$24-('1. Inputs'!$B$30+'5. Diagnosing a miss'!$B$23)+1)+'1. Inputs'!$B$11))*'1. Inputs'!$B$13*(1+'1. Inputs'!$B$14*MIN(MAX(0,$A19-'1. Inputs'!$C$24-('1. Inputs'!$B$30+'5. Diagnosing a miss'!$B$23)+1),'1. Inputs'!$B$15))*'1. Inputs'!$B$31)</f>
        <v>1304985.6</v>
      </c>
      <c r="AD19" s="22" t="n">
        <f aca="false">IF(MAX(0,$A19-'1. Inputs'!$C$25-('1. Inputs'!$B$30+'5. Diagnosing a miss'!$B$23)+1)&lt;=0,0,'1. Inputs'!$B$25*'1. Inputs'!$B$5*MAX(0,$A19-'1. Inputs'!$C$25-('1. Inputs'!$B$30+'5. Diagnosing a miss'!$B$23)+1)^'1. Inputs'!$B$7/('1. Inputs'!$B$6^'1. Inputs'!$B$7+MAX(0,$A19-'1. Inputs'!$C$25-('1. Inputs'!$B$30+'5. Diagnosing a miss'!$B$23)+1)^'1. Inputs'!$B$7)*('1. Inputs'!$B$9+'1. Inputs'!$B$10*MAX(0,$A19-'1. Inputs'!$C$25-('1. Inputs'!$B$30+'5. Diagnosing a miss'!$B$23)+1)/(MAX(0,$A19-'1. Inputs'!$C$25-('1. Inputs'!$B$30+'5. Diagnosing a miss'!$B$23)+1)+'1. Inputs'!$B$11))*'1. Inputs'!$B$13*(1+'1. Inputs'!$B$14*MIN(MAX(0,$A19-'1. Inputs'!$C$25-('1. Inputs'!$B$30+'5. Diagnosing a miss'!$B$23)+1),'1. Inputs'!$B$15))*'1. Inputs'!$B$31)</f>
        <v>299174.4</v>
      </c>
      <c r="AE19" s="22" t="n">
        <f aca="false">IF(MAX(0,$A19-'1. Inputs'!$C$26-('1. Inputs'!$B$30+'5. Diagnosing a miss'!$B$23)+1)&lt;=0,0,'1. Inputs'!$B$26*'1. Inputs'!$B$5*MAX(0,$A19-'1. Inputs'!$C$26-('1. Inputs'!$B$30+'5. Diagnosing a miss'!$B$23)+1)^'1. Inputs'!$B$7/('1. Inputs'!$B$6^'1. Inputs'!$B$7+MAX(0,$A19-'1. Inputs'!$C$26-('1. Inputs'!$B$30+'5. Diagnosing a miss'!$B$23)+1)^'1. Inputs'!$B$7)*('1. Inputs'!$B$9+'1. Inputs'!$B$10*MAX(0,$A19-'1. Inputs'!$C$26-('1. Inputs'!$B$30+'5. Diagnosing a miss'!$B$23)+1)/(MAX(0,$A19-'1. Inputs'!$C$26-('1. Inputs'!$B$30+'5. Diagnosing a miss'!$B$23)+1)+'1. Inputs'!$B$11))*'1. Inputs'!$B$13*(1+'1. Inputs'!$B$14*MIN(MAX(0,$A19-'1. Inputs'!$C$26-('1. Inputs'!$B$30+'5. Diagnosing a miss'!$B$23)+1),'1. Inputs'!$B$15))*'1. Inputs'!$B$31)</f>
        <v>0</v>
      </c>
      <c r="AF19" s="22" t="n">
        <f aca="false">IF(MAX(0,$A19-'1. Inputs'!$C$27-('1. Inputs'!$B$30+'5. Diagnosing a miss'!$B$23)+1)&lt;=0,0,'1. Inputs'!$B$27*'1. Inputs'!$B$5*MAX(0,$A19-'1. Inputs'!$C$27-('1. Inputs'!$B$30+'5. Diagnosing a miss'!$B$23)+1)^'1. Inputs'!$B$7/('1. Inputs'!$B$6^'1. Inputs'!$B$7+MAX(0,$A19-'1. Inputs'!$C$27-('1. Inputs'!$B$30+'5. Diagnosing a miss'!$B$23)+1)^'1. Inputs'!$B$7)*('1. Inputs'!$B$9+'1. Inputs'!$B$10*MAX(0,$A19-'1. Inputs'!$C$27-('1. Inputs'!$B$30+'5. Diagnosing a miss'!$B$23)+1)/(MAX(0,$A19-'1. Inputs'!$C$27-('1. Inputs'!$B$30+'5. Diagnosing a miss'!$B$23)+1)+'1. Inputs'!$B$11))*'1. Inputs'!$B$13*(1+'1. Inputs'!$B$14*MIN(MAX(0,$A19-'1. Inputs'!$C$27-('1. Inputs'!$B$30+'5. Diagnosing a miss'!$B$23)+1),'1. Inputs'!$B$15))*'1. Inputs'!$B$31)</f>
        <v>0</v>
      </c>
      <c r="AG19" s="22" t="n">
        <f aca="false">SUM(AC19:AF19)</f>
        <v>1604160</v>
      </c>
      <c r="AH19" s="22" t="n">
        <f aca="false">IF($A19=MAX('1. Inputs'!$B$17,1),'1. Inputs'!$B$3,0)+IF($A19-'1. Inputs'!$B$17&gt;=1,INDEX(AG$3:AG$86,$A19-'1. Inputs'!$B$17),0)</f>
        <v>0</v>
      </c>
      <c r="AI19" s="22" t="n">
        <f aca="false">AI18*(1-'1. Inputs'!$B$18)+AH19</f>
        <v>142648507.485</v>
      </c>
      <c r="AJ19" s="22" t="n">
        <f aca="false">AI19*'1. Inputs'!$B$18</f>
        <v>1426485.07485</v>
      </c>
      <c r="AK19" s="22" t="n">
        <f aca="false">AK18+AG19-AJ19</f>
        <v>146234496.774336</v>
      </c>
    </row>
    <row r="20" customFormat="false" ht="15" hidden="false" customHeight="false" outlineLevel="0" collapsed="false">
      <c r="A20" s="7" t="n">
        <v>18</v>
      </c>
      <c r="B20" s="22" t="n">
        <f aca="false">IF(MAX(0,$A20-'1. Inputs'!$C$24-'1. Inputs'!$B$30+1)&lt;=0,0,'1. Inputs'!$B$24*'1. Inputs'!$B$5*MAX(0,$A20-'1. Inputs'!$C$24-'1. Inputs'!$B$30+1)^'1. Inputs'!$B$7/('1. Inputs'!$B$6^'1. Inputs'!$B$7+MAX(0,$A20-'1. Inputs'!$C$24-'1. Inputs'!$B$30+1)^'1. Inputs'!$B$7)*('1. Inputs'!$B$9+'1. Inputs'!$B$10*MAX(0,$A20-'1. Inputs'!$C$24-'1. Inputs'!$B$30+1)/(MAX(0,$A20-'1. Inputs'!$C$24-'1. Inputs'!$B$30+1)+'1. Inputs'!$B$11))*'1. Inputs'!$B$13*(1+'1. Inputs'!$B$14*MIN(MAX(0,$A20-'1. Inputs'!$C$24-'1. Inputs'!$B$30+1),'1. Inputs'!$B$15))*'1. Inputs'!$B$31)</f>
        <v>2159861.76</v>
      </c>
      <c r="C20" s="22" t="n">
        <f aca="false">IF(MAX(0,$A20-'1. Inputs'!$C$25-'1. Inputs'!$B$30+1)&lt;=0,0,'1. Inputs'!$B$25*'1. Inputs'!$B$5*MAX(0,$A20-'1. Inputs'!$C$25-'1. Inputs'!$B$30+1)^'1. Inputs'!$B$7/('1. Inputs'!$B$6^'1. Inputs'!$B$7+MAX(0,$A20-'1. Inputs'!$C$25-'1. Inputs'!$B$30+1)^'1. Inputs'!$B$7)*('1. Inputs'!$B$9+'1. Inputs'!$B$10*MAX(0,$A20-'1. Inputs'!$C$25-'1. Inputs'!$B$30+1)/(MAX(0,$A20-'1. Inputs'!$C$25-'1. Inputs'!$B$30+1)+'1. Inputs'!$B$11))*'1. Inputs'!$B$13*(1+'1. Inputs'!$B$14*MIN(MAX(0,$A20-'1. Inputs'!$C$25-'1. Inputs'!$B$30+1),'1. Inputs'!$B$15))*'1. Inputs'!$B$31)</f>
        <v>1425996.72426036</v>
      </c>
      <c r="D20" s="22" t="n">
        <f aca="false">IF(MAX(0,$A20-'1. Inputs'!$C$26-'1. Inputs'!$B$30+1)&lt;=0,0,'1. Inputs'!$B$26*'1. Inputs'!$B$5*MAX(0,$A20-'1. Inputs'!$C$26-'1. Inputs'!$B$30+1)^'1. Inputs'!$B$7/('1. Inputs'!$B$6^'1. Inputs'!$B$7+MAX(0,$A20-'1. Inputs'!$C$26-'1. Inputs'!$B$30+1)^'1. Inputs'!$B$7)*('1. Inputs'!$B$9+'1. Inputs'!$B$10*MAX(0,$A20-'1. Inputs'!$C$26-'1. Inputs'!$B$30+1)/(MAX(0,$A20-'1. Inputs'!$C$26-'1. Inputs'!$B$30+1)+'1. Inputs'!$B$11))*'1. Inputs'!$B$13*(1+'1. Inputs'!$B$14*MIN(MAX(0,$A20-'1. Inputs'!$C$26-'1. Inputs'!$B$30+1),'1. Inputs'!$B$15))*'1. Inputs'!$B$31)</f>
        <v>56115.9529411765</v>
      </c>
      <c r="E20" s="22" t="n">
        <f aca="false">IF(MAX(0,$A20-'1. Inputs'!$C$27-'1. Inputs'!$B$30+1)&lt;=0,0,'1. Inputs'!$B$27*'1. Inputs'!$B$5*MAX(0,$A20-'1. Inputs'!$C$27-'1. Inputs'!$B$30+1)^'1. Inputs'!$B$7/('1. Inputs'!$B$6^'1. Inputs'!$B$7+MAX(0,$A20-'1. Inputs'!$C$27-'1. Inputs'!$B$30+1)^'1. Inputs'!$B$7)*('1. Inputs'!$B$9+'1. Inputs'!$B$10*MAX(0,$A20-'1. Inputs'!$C$27-'1. Inputs'!$B$30+1)/(MAX(0,$A20-'1. Inputs'!$C$27-'1. Inputs'!$B$30+1)+'1. Inputs'!$B$11))*'1. Inputs'!$B$13*(1+'1. Inputs'!$B$14*MIN(MAX(0,$A20-'1. Inputs'!$C$27-'1. Inputs'!$B$30+1),'1. Inputs'!$B$15))*'1. Inputs'!$B$31)</f>
        <v>9180</v>
      </c>
      <c r="F20" s="22" t="n">
        <f aca="false">SUM(B20:E20)</f>
        <v>3651154.43720153</v>
      </c>
      <c r="G20" s="22" t="n">
        <f aca="false">IF($A20=MAX('1. Inputs'!$B$17,1),'1. Inputs'!$B$3,0)+IF($A20-'1. Inputs'!$B$17&gt;=1,INDEX(F$3:F$86,$A20-'1. Inputs'!$B$17),0)</f>
        <v>0</v>
      </c>
      <c r="H20" s="22" t="n">
        <f aca="false">H19*(1-'1. Inputs'!$B$18)+G20</f>
        <v>141222022.41015</v>
      </c>
      <c r="I20" s="22" t="n">
        <f aca="false">H20*'1. Inputs'!$B$18</f>
        <v>1412220.2241015</v>
      </c>
      <c r="J20" s="22" t="n">
        <f aca="false">J19+F20-I20</f>
        <v>156189258.396577</v>
      </c>
      <c r="K20" s="22" t="n">
        <f aca="false">IF(MAX(0,$A20-'1. Inputs'!$C$24-'1. Inputs'!$B$30+1)&lt;=0,0,'1. Inputs'!$B$24*('1. Inputs'!$B$5-'5. Diagnosing a miss'!$B$21)*MAX(0,$A20-'1. Inputs'!$C$24-'1. Inputs'!$B$30+1)^'1. Inputs'!$B$7/('1. Inputs'!$B$6^'1. Inputs'!$B$7+MAX(0,$A20-'1. Inputs'!$C$24-'1. Inputs'!$B$30+1)^'1. Inputs'!$B$7)*('1. Inputs'!$B$9+'1. Inputs'!$B$10*MAX(0,$A20-'1. Inputs'!$C$24-'1. Inputs'!$B$30+1)/(MAX(0,$A20-'1. Inputs'!$C$24-'1. Inputs'!$B$30+1)+'1. Inputs'!$B$11))*'1. Inputs'!$B$13*(1+'1. Inputs'!$B$14*MIN(MAX(0,$A20-'1. Inputs'!$C$24-'1. Inputs'!$B$30+1),'1. Inputs'!$B$15))*'1. Inputs'!$B$31)</f>
        <v>1919877.12</v>
      </c>
      <c r="L20" s="22" t="n">
        <f aca="false">IF(MAX(0,$A20-'1. Inputs'!$C$25-'1. Inputs'!$B$30+1)&lt;=0,0,'1. Inputs'!$B$25*('1. Inputs'!$B$5-'5. Diagnosing a miss'!$B$21)*MAX(0,$A20-'1. Inputs'!$C$25-'1. Inputs'!$B$30+1)^'1. Inputs'!$B$7/('1. Inputs'!$B$6^'1. Inputs'!$B$7+MAX(0,$A20-'1. Inputs'!$C$25-'1. Inputs'!$B$30+1)^'1. Inputs'!$B$7)*('1. Inputs'!$B$9+'1. Inputs'!$B$10*MAX(0,$A20-'1. Inputs'!$C$25-'1. Inputs'!$B$30+1)/(MAX(0,$A20-'1. Inputs'!$C$25-'1. Inputs'!$B$30+1)+'1. Inputs'!$B$11))*'1. Inputs'!$B$13*(1+'1. Inputs'!$B$14*MIN(MAX(0,$A20-'1. Inputs'!$C$25-'1. Inputs'!$B$30+1),'1. Inputs'!$B$15))*'1. Inputs'!$B$31)</f>
        <v>1267552.64378698</v>
      </c>
      <c r="M20" s="22" t="n">
        <f aca="false">IF(MAX(0,$A20-'1. Inputs'!$C$26-'1. Inputs'!$B$30+1)&lt;=0,0,'1. Inputs'!$B$26*('1. Inputs'!$B$5-'5. Diagnosing a miss'!$B$21)*MAX(0,$A20-'1. Inputs'!$C$26-'1. Inputs'!$B$30+1)^'1. Inputs'!$B$7/('1. Inputs'!$B$6^'1. Inputs'!$B$7+MAX(0,$A20-'1. Inputs'!$C$26-'1. Inputs'!$B$30+1)^'1. Inputs'!$B$7)*('1. Inputs'!$B$9+'1. Inputs'!$B$10*MAX(0,$A20-'1. Inputs'!$C$26-'1. Inputs'!$B$30+1)/(MAX(0,$A20-'1. Inputs'!$C$26-'1. Inputs'!$B$30+1)+'1. Inputs'!$B$11))*'1. Inputs'!$B$13*(1+'1. Inputs'!$B$14*MIN(MAX(0,$A20-'1. Inputs'!$C$26-'1. Inputs'!$B$30+1),'1. Inputs'!$B$15))*'1. Inputs'!$B$31)</f>
        <v>49880.8470588235</v>
      </c>
      <c r="N20" s="22" t="n">
        <f aca="false">IF(MAX(0,$A20-'1. Inputs'!$C$27-'1. Inputs'!$B$30+1)&lt;=0,0,'1. Inputs'!$B$27*('1. Inputs'!$B$5-'5. Diagnosing a miss'!$B$21)*MAX(0,$A20-'1. Inputs'!$C$27-'1. Inputs'!$B$30+1)^'1. Inputs'!$B$7/('1. Inputs'!$B$6^'1. Inputs'!$B$7+MAX(0,$A20-'1. Inputs'!$C$27-'1. Inputs'!$B$30+1)^'1. Inputs'!$B$7)*('1. Inputs'!$B$9+'1. Inputs'!$B$10*MAX(0,$A20-'1. Inputs'!$C$27-'1. Inputs'!$B$30+1)/(MAX(0,$A20-'1. Inputs'!$C$27-'1. Inputs'!$B$30+1)+'1. Inputs'!$B$11))*'1. Inputs'!$B$13*(1+'1. Inputs'!$B$14*MIN(MAX(0,$A20-'1. Inputs'!$C$27-'1. Inputs'!$B$30+1),'1. Inputs'!$B$15))*'1. Inputs'!$B$31)</f>
        <v>8160</v>
      </c>
      <c r="O20" s="22" t="n">
        <f aca="false">SUM(K20:N20)</f>
        <v>3245470.61084581</v>
      </c>
      <c r="P20" s="22" t="n">
        <f aca="false">IF($A20=MAX('1. Inputs'!$B$17,1),'1. Inputs'!$B$3,0)+IF($A20-'1. Inputs'!$B$17&gt;=1,INDEX(O$3:O$86,$A20-'1. Inputs'!$B$17),0)</f>
        <v>0</v>
      </c>
      <c r="Q20" s="22" t="n">
        <f aca="false">Q19*(1-'1. Inputs'!$B$18)+P20</f>
        <v>141222022.41015</v>
      </c>
      <c r="R20" s="22" t="n">
        <f aca="false">Q20*'1. Inputs'!$B$18</f>
        <v>1412220.2241015</v>
      </c>
      <c r="S20" s="22" t="n">
        <f aca="false">S19+O20-R20</f>
        <v>154369318.81763</v>
      </c>
      <c r="T20" s="22" t="n">
        <f aca="false">IF(MAX(0,$A20-'1. Inputs'!$C$24-'1. Inputs'!$B$30+1)&lt;=0,0,'1. Inputs'!$B$24*'1. Inputs'!$B$5*MAX(0,$A20-'1. Inputs'!$C$24-'1. Inputs'!$B$30+1)^'1. Inputs'!$B$7/('1. Inputs'!$B$6^'1. Inputs'!$B$7+MAX(0,$A20-'1. Inputs'!$C$24-'1. Inputs'!$B$30+1)^'1. Inputs'!$B$7)*('1. Inputs'!$B$9+'1. Inputs'!$B$10*MAX(0,$A20-'1. Inputs'!$C$24-'1. Inputs'!$B$30+1)/(MAX(0,$A20-'1. Inputs'!$C$24-'1. Inputs'!$B$30+1)+'1. Inputs'!$B$11))*'1. Inputs'!$B$13*(1+'1. Inputs'!$B$14*MIN(MAX(0,$A20-'1. Inputs'!$C$24-'1. Inputs'!$B$30+1),'1. Inputs'!$B$15))*('1. Inputs'!$B$31*'5. Diagnosing a miss'!$B$22))</f>
        <v>1943875.584</v>
      </c>
      <c r="U20" s="22" t="n">
        <f aca="false">IF(MAX(0,$A20-'1. Inputs'!$C$25-'1. Inputs'!$B$30+1)&lt;=0,0,'1. Inputs'!$B$25*'1. Inputs'!$B$5*MAX(0,$A20-'1. Inputs'!$C$25-'1. Inputs'!$B$30+1)^'1. Inputs'!$B$7/('1. Inputs'!$B$6^'1. Inputs'!$B$7+MAX(0,$A20-'1. Inputs'!$C$25-'1. Inputs'!$B$30+1)^'1. Inputs'!$B$7)*('1. Inputs'!$B$9+'1. Inputs'!$B$10*MAX(0,$A20-'1. Inputs'!$C$25-'1. Inputs'!$B$30+1)/(MAX(0,$A20-'1. Inputs'!$C$25-'1. Inputs'!$B$30+1)+'1. Inputs'!$B$11))*'1. Inputs'!$B$13*(1+'1. Inputs'!$B$14*MIN(MAX(0,$A20-'1. Inputs'!$C$25-'1. Inputs'!$B$30+1),'1. Inputs'!$B$15))*('1. Inputs'!$B$31*'5. Diagnosing a miss'!$B$22))</f>
        <v>1283397.05183432</v>
      </c>
      <c r="V20" s="22" t="n">
        <f aca="false">IF(MAX(0,$A20-'1. Inputs'!$C$26-'1. Inputs'!$B$30+1)&lt;=0,0,'1. Inputs'!$B$26*'1. Inputs'!$B$5*MAX(0,$A20-'1. Inputs'!$C$26-'1. Inputs'!$B$30+1)^'1. Inputs'!$B$7/('1. Inputs'!$B$6^'1. Inputs'!$B$7+MAX(0,$A20-'1. Inputs'!$C$26-'1. Inputs'!$B$30+1)^'1. Inputs'!$B$7)*('1. Inputs'!$B$9+'1. Inputs'!$B$10*MAX(0,$A20-'1. Inputs'!$C$26-'1. Inputs'!$B$30+1)/(MAX(0,$A20-'1. Inputs'!$C$26-'1. Inputs'!$B$30+1)+'1. Inputs'!$B$11))*'1. Inputs'!$B$13*(1+'1. Inputs'!$B$14*MIN(MAX(0,$A20-'1. Inputs'!$C$26-'1. Inputs'!$B$30+1),'1. Inputs'!$B$15))*('1. Inputs'!$B$31*'5. Diagnosing a miss'!$B$22))</f>
        <v>50504.3576470588</v>
      </c>
      <c r="W20" s="22" t="n">
        <f aca="false">IF(MAX(0,$A20-'1. Inputs'!$C$27-'1. Inputs'!$B$30+1)&lt;=0,0,'1. Inputs'!$B$27*'1. Inputs'!$B$5*MAX(0,$A20-'1. Inputs'!$C$27-'1. Inputs'!$B$30+1)^'1. Inputs'!$B$7/('1. Inputs'!$B$6^'1. Inputs'!$B$7+MAX(0,$A20-'1. Inputs'!$C$27-'1. Inputs'!$B$30+1)^'1. Inputs'!$B$7)*('1. Inputs'!$B$9+'1. Inputs'!$B$10*MAX(0,$A20-'1. Inputs'!$C$27-'1. Inputs'!$B$30+1)/(MAX(0,$A20-'1. Inputs'!$C$27-'1. Inputs'!$B$30+1)+'1. Inputs'!$B$11))*'1. Inputs'!$B$13*(1+'1. Inputs'!$B$14*MIN(MAX(0,$A20-'1. Inputs'!$C$27-'1. Inputs'!$B$30+1),'1. Inputs'!$B$15))*('1. Inputs'!$B$31*'5. Diagnosing a miss'!$B$22))</f>
        <v>8262</v>
      </c>
      <c r="X20" s="22" t="n">
        <f aca="false">SUM(T20:W20)</f>
        <v>3286038.99348138</v>
      </c>
      <c r="Y20" s="22" t="n">
        <f aca="false">IF($A20=MAX('1. Inputs'!$B$17,1),'1. Inputs'!$B$3,0)+IF($A20-'1. Inputs'!$B$17&gt;=1,INDEX(X$3:X$86,$A20-'1. Inputs'!$B$17),0)</f>
        <v>0</v>
      </c>
      <c r="Z20" s="22" t="n">
        <f aca="false">Z19*(1-'1. Inputs'!$B$18)+Y20</f>
        <v>141222022.41015</v>
      </c>
      <c r="AA20" s="22" t="n">
        <f aca="false">Z20*'1. Inputs'!$B$18</f>
        <v>1412220.2241015</v>
      </c>
      <c r="AB20" s="22" t="n">
        <f aca="false">AB19+X20-AA20</f>
        <v>154551312.775524</v>
      </c>
      <c r="AC20" s="22" t="n">
        <f aca="false">IF(MAX(0,$A20-'1. Inputs'!$C$24-('1. Inputs'!$B$30+'5. Diagnosing a miss'!$B$23)+1)&lt;=0,0,'1. Inputs'!$B$24*'1. Inputs'!$B$5*MAX(0,$A20-'1. Inputs'!$C$24-('1. Inputs'!$B$30+'5. Diagnosing a miss'!$B$23)+1)^'1. Inputs'!$B$7/('1. Inputs'!$B$6^'1. Inputs'!$B$7+MAX(0,$A20-'1. Inputs'!$C$24-('1. Inputs'!$B$30+'5. Diagnosing a miss'!$B$23)+1)^'1. Inputs'!$B$7)*('1. Inputs'!$B$9+'1. Inputs'!$B$10*MAX(0,$A20-'1. Inputs'!$C$24-('1. Inputs'!$B$30+'5. Diagnosing a miss'!$B$23)+1)/(MAX(0,$A20-'1. Inputs'!$C$24-('1. Inputs'!$B$30+'5. Diagnosing a miss'!$B$23)+1)+'1. Inputs'!$B$11))*'1. Inputs'!$B$13*(1+'1. Inputs'!$B$14*MIN(MAX(0,$A20-'1. Inputs'!$C$24-('1. Inputs'!$B$30+'5. Diagnosing a miss'!$B$23)+1),'1. Inputs'!$B$15))*'1. Inputs'!$B$31)</f>
        <v>1534377.6</v>
      </c>
      <c r="AD20" s="22" t="n">
        <f aca="false">IF(MAX(0,$A20-'1. Inputs'!$C$25-('1. Inputs'!$B$30+'5. Diagnosing a miss'!$B$23)+1)&lt;=0,0,'1. Inputs'!$B$25*'1. Inputs'!$B$5*MAX(0,$A20-'1. Inputs'!$C$25-('1. Inputs'!$B$30+'5. Diagnosing a miss'!$B$23)+1)^'1. Inputs'!$B$7/('1. Inputs'!$B$6^'1. Inputs'!$B$7+MAX(0,$A20-'1. Inputs'!$C$25-('1. Inputs'!$B$30+'5. Diagnosing a miss'!$B$23)+1)^'1. Inputs'!$B$7)*('1. Inputs'!$B$9+'1. Inputs'!$B$10*MAX(0,$A20-'1. Inputs'!$C$25-('1. Inputs'!$B$30+'5. Diagnosing a miss'!$B$23)+1)/(MAX(0,$A20-'1. Inputs'!$C$25-('1. Inputs'!$B$30+'5. Diagnosing a miss'!$B$23)+1)+'1. Inputs'!$B$11))*'1. Inputs'!$B$13*(1+'1. Inputs'!$B$14*MIN(MAX(0,$A20-'1. Inputs'!$C$25-('1. Inputs'!$B$30+'5. Diagnosing a miss'!$B$23)+1),'1. Inputs'!$B$15))*'1. Inputs'!$B$31)</f>
        <v>531525.674226804</v>
      </c>
      <c r="AE20" s="22" t="n">
        <f aca="false">IF(MAX(0,$A20-'1. Inputs'!$C$26-('1. Inputs'!$B$30+'5. Diagnosing a miss'!$B$23)+1)&lt;=0,0,'1. Inputs'!$B$26*'1. Inputs'!$B$5*MAX(0,$A20-'1. Inputs'!$C$26-('1. Inputs'!$B$30+'5. Diagnosing a miss'!$B$23)+1)^'1. Inputs'!$B$7/('1. Inputs'!$B$6^'1. Inputs'!$B$7+MAX(0,$A20-'1. Inputs'!$C$26-('1. Inputs'!$B$30+'5. Diagnosing a miss'!$B$23)+1)^'1. Inputs'!$B$7)*('1. Inputs'!$B$9+'1. Inputs'!$B$10*MAX(0,$A20-'1. Inputs'!$C$26-('1. Inputs'!$B$30+'5. Diagnosing a miss'!$B$23)+1)/(MAX(0,$A20-'1. Inputs'!$C$26-('1. Inputs'!$B$30+'5. Diagnosing a miss'!$B$23)+1)+'1. Inputs'!$B$11))*'1. Inputs'!$B$13*(1+'1. Inputs'!$B$14*MIN(MAX(0,$A20-'1. Inputs'!$C$26-('1. Inputs'!$B$30+'5. Diagnosing a miss'!$B$23)+1),'1. Inputs'!$B$15))*'1. Inputs'!$B$31)</f>
        <v>0</v>
      </c>
      <c r="AF20" s="22" t="n">
        <f aca="false">IF(MAX(0,$A20-'1. Inputs'!$C$27-('1. Inputs'!$B$30+'5. Diagnosing a miss'!$B$23)+1)&lt;=0,0,'1. Inputs'!$B$27*'1. Inputs'!$B$5*MAX(0,$A20-'1. Inputs'!$C$27-('1. Inputs'!$B$30+'5. Diagnosing a miss'!$B$23)+1)^'1. Inputs'!$B$7/('1. Inputs'!$B$6^'1. Inputs'!$B$7+MAX(0,$A20-'1. Inputs'!$C$27-('1. Inputs'!$B$30+'5. Diagnosing a miss'!$B$23)+1)^'1. Inputs'!$B$7)*('1. Inputs'!$B$9+'1. Inputs'!$B$10*MAX(0,$A20-'1. Inputs'!$C$27-('1. Inputs'!$B$30+'5. Diagnosing a miss'!$B$23)+1)/(MAX(0,$A20-'1. Inputs'!$C$27-('1. Inputs'!$B$30+'5. Diagnosing a miss'!$B$23)+1)+'1. Inputs'!$B$11))*'1. Inputs'!$B$13*(1+'1. Inputs'!$B$14*MIN(MAX(0,$A20-'1. Inputs'!$C$27-('1. Inputs'!$B$30+'5. Diagnosing a miss'!$B$23)+1),'1. Inputs'!$B$15))*'1. Inputs'!$B$31)</f>
        <v>0</v>
      </c>
      <c r="AG20" s="22" t="n">
        <f aca="false">SUM(AC20:AF20)</f>
        <v>2065903.2742268</v>
      </c>
      <c r="AH20" s="22" t="n">
        <f aca="false">IF($A20=MAX('1. Inputs'!$B$17,1),'1. Inputs'!$B$3,0)+IF($A20-'1. Inputs'!$B$17&gt;=1,INDEX(AG$3:AG$86,$A20-'1. Inputs'!$B$17),0)</f>
        <v>0</v>
      </c>
      <c r="AI20" s="22" t="n">
        <f aca="false">AI19*(1-'1. Inputs'!$B$18)+AH20</f>
        <v>141222022.41015</v>
      </c>
      <c r="AJ20" s="22" t="n">
        <f aca="false">AI20*'1. Inputs'!$B$18</f>
        <v>1412220.2241015</v>
      </c>
      <c r="AK20" s="22" t="n">
        <f aca="false">AK19+AG20-AJ20</f>
        <v>146888179.824461</v>
      </c>
    </row>
    <row r="21" customFormat="false" ht="15" hidden="false" customHeight="false" outlineLevel="0" collapsed="false">
      <c r="A21" s="7" t="n">
        <v>19</v>
      </c>
      <c r="B21" s="22" t="n">
        <f aca="false">IF(MAX(0,$A21-'1. Inputs'!$C$24-'1. Inputs'!$B$30+1)&lt;=0,0,'1. Inputs'!$B$24*'1. Inputs'!$B$5*MAX(0,$A21-'1. Inputs'!$C$24-'1. Inputs'!$B$30+1)^'1. Inputs'!$B$7/('1. Inputs'!$B$6^'1. Inputs'!$B$7+MAX(0,$A21-'1. Inputs'!$C$24-'1. Inputs'!$B$30+1)^'1. Inputs'!$B$7)*('1. Inputs'!$B$9+'1. Inputs'!$B$10*MAX(0,$A21-'1. Inputs'!$C$24-'1. Inputs'!$B$30+1)/(MAX(0,$A21-'1. Inputs'!$C$24-'1. Inputs'!$B$30+1)+'1. Inputs'!$B$11))*'1. Inputs'!$B$13*(1+'1. Inputs'!$B$14*MIN(MAX(0,$A21-'1. Inputs'!$C$24-'1. Inputs'!$B$30+1),'1. Inputs'!$B$15))*'1. Inputs'!$B$31)</f>
        <v>2345262.88168421</v>
      </c>
      <c r="C21" s="22" t="n">
        <f aca="false">IF(MAX(0,$A21-'1. Inputs'!$C$25-'1. Inputs'!$B$30+1)&lt;=0,0,'1. Inputs'!$B$25*'1. Inputs'!$B$5*MAX(0,$A21-'1. Inputs'!$C$25-'1. Inputs'!$B$30+1)^'1. Inputs'!$B$7/('1. Inputs'!$B$6^'1. Inputs'!$B$7+MAX(0,$A21-'1. Inputs'!$C$25-'1. Inputs'!$B$30+1)^'1. Inputs'!$B$7)*('1. Inputs'!$B$9+'1. Inputs'!$B$10*MAX(0,$A21-'1. Inputs'!$C$25-'1. Inputs'!$B$30+1)/(MAX(0,$A21-'1. Inputs'!$C$25-'1. Inputs'!$B$30+1)+'1. Inputs'!$B$11))*'1. Inputs'!$B$13*(1+'1. Inputs'!$B$14*MIN(MAX(0,$A21-'1. Inputs'!$C$25-'1. Inputs'!$B$30+1),'1. Inputs'!$B$15))*'1. Inputs'!$B$31)</f>
        <v>1739980.8</v>
      </c>
      <c r="D21" s="22" t="n">
        <f aca="false">IF(MAX(0,$A21-'1. Inputs'!$C$26-'1. Inputs'!$B$30+1)&lt;=0,0,'1. Inputs'!$B$26*'1. Inputs'!$B$5*MAX(0,$A21-'1. Inputs'!$C$26-'1. Inputs'!$B$30+1)^'1. Inputs'!$B$7/('1. Inputs'!$B$6^'1. Inputs'!$B$7+MAX(0,$A21-'1. Inputs'!$C$26-'1. Inputs'!$B$30+1)^'1. Inputs'!$B$7)*('1. Inputs'!$B$9+'1. Inputs'!$B$10*MAX(0,$A21-'1. Inputs'!$C$26-'1. Inputs'!$B$30+1)/(MAX(0,$A21-'1. Inputs'!$C$26-'1. Inputs'!$B$30+1)+'1. Inputs'!$B$11))*'1. Inputs'!$B$13*(1+'1. Inputs'!$B$14*MIN(MAX(0,$A21-'1. Inputs'!$C$26-'1. Inputs'!$B$30+1),'1. Inputs'!$B$15))*'1. Inputs'!$B$31)</f>
        <v>130888.8</v>
      </c>
      <c r="E21" s="22" t="n">
        <f aca="false">IF(MAX(0,$A21-'1. Inputs'!$C$27-'1. Inputs'!$B$30+1)&lt;=0,0,'1. Inputs'!$B$27*'1. Inputs'!$B$5*MAX(0,$A21-'1. Inputs'!$C$27-'1. Inputs'!$B$30+1)^'1. Inputs'!$B$7/('1. Inputs'!$B$6^'1. Inputs'!$B$7+MAX(0,$A21-'1. Inputs'!$C$27-'1. Inputs'!$B$30+1)^'1. Inputs'!$B$7)*('1. Inputs'!$B$9+'1. Inputs'!$B$10*MAX(0,$A21-'1. Inputs'!$C$27-'1. Inputs'!$B$30+1)/(MAX(0,$A21-'1. Inputs'!$C$27-'1. Inputs'!$B$30+1)+'1. Inputs'!$B$11))*'1. Inputs'!$B$13*(1+'1. Inputs'!$B$14*MIN(MAX(0,$A21-'1. Inputs'!$C$27-'1. Inputs'!$B$30+1),'1. Inputs'!$B$15))*'1. Inputs'!$B$31)</f>
        <v>40082.8235294118</v>
      </c>
      <c r="F21" s="22" t="n">
        <f aca="false">SUM(B21:E21)</f>
        <v>4256215.30521362</v>
      </c>
      <c r="G21" s="22" t="n">
        <f aca="false">IF($A21=MAX('1. Inputs'!$B$17,1),'1. Inputs'!$B$3,0)+IF($A21-'1. Inputs'!$B$17&gt;=1,INDEX(F$3:F$86,$A21-'1. Inputs'!$B$17),0)</f>
        <v>22032</v>
      </c>
      <c r="H21" s="22" t="n">
        <f aca="false">H20*(1-'1. Inputs'!$B$18)+G21</f>
        <v>139831834.186048</v>
      </c>
      <c r="I21" s="22" t="n">
        <f aca="false">H21*'1. Inputs'!$B$18</f>
        <v>1398318.34186048</v>
      </c>
      <c r="J21" s="22" t="n">
        <f aca="false">J20+F21-I21</f>
        <v>159047155.359931</v>
      </c>
      <c r="K21" s="22" t="n">
        <f aca="false">IF(MAX(0,$A21-'1. Inputs'!$C$24-'1. Inputs'!$B$30+1)&lt;=0,0,'1. Inputs'!$B$24*('1. Inputs'!$B$5-'5. Diagnosing a miss'!$B$21)*MAX(0,$A21-'1. Inputs'!$C$24-'1. Inputs'!$B$30+1)^'1. Inputs'!$B$7/('1. Inputs'!$B$6^'1. Inputs'!$B$7+MAX(0,$A21-'1. Inputs'!$C$24-'1. Inputs'!$B$30+1)^'1. Inputs'!$B$7)*('1. Inputs'!$B$9+'1. Inputs'!$B$10*MAX(0,$A21-'1. Inputs'!$C$24-'1. Inputs'!$B$30+1)/(MAX(0,$A21-'1. Inputs'!$C$24-'1. Inputs'!$B$30+1)+'1. Inputs'!$B$11))*'1. Inputs'!$B$13*(1+'1. Inputs'!$B$14*MIN(MAX(0,$A21-'1. Inputs'!$C$24-'1. Inputs'!$B$30+1),'1. Inputs'!$B$15))*'1. Inputs'!$B$31)</f>
        <v>2084678.11705263</v>
      </c>
      <c r="L21" s="22" t="n">
        <f aca="false">IF(MAX(0,$A21-'1. Inputs'!$C$25-'1. Inputs'!$B$30+1)&lt;=0,0,'1. Inputs'!$B$25*('1. Inputs'!$B$5-'5. Diagnosing a miss'!$B$21)*MAX(0,$A21-'1. Inputs'!$C$25-'1. Inputs'!$B$30+1)^'1. Inputs'!$B$7/('1. Inputs'!$B$6^'1. Inputs'!$B$7+MAX(0,$A21-'1. Inputs'!$C$25-'1. Inputs'!$B$30+1)^'1. Inputs'!$B$7)*('1. Inputs'!$B$9+'1. Inputs'!$B$10*MAX(0,$A21-'1. Inputs'!$C$25-'1. Inputs'!$B$30+1)/(MAX(0,$A21-'1. Inputs'!$C$25-'1. Inputs'!$B$30+1)+'1. Inputs'!$B$11))*'1. Inputs'!$B$13*(1+'1. Inputs'!$B$14*MIN(MAX(0,$A21-'1. Inputs'!$C$25-'1. Inputs'!$B$30+1),'1. Inputs'!$B$15))*'1. Inputs'!$B$31)</f>
        <v>1546649.6</v>
      </c>
      <c r="M21" s="22" t="n">
        <f aca="false">IF(MAX(0,$A21-'1. Inputs'!$C$26-'1. Inputs'!$B$30+1)&lt;=0,0,'1. Inputs'!$B$26*('1. Inputs'!$B$5-'5. Diagnosing a miss'!$B$21)*MAX(0,$A21-'1. Inputs'!$C$26-'1. Inputs'!$B$30+1)^'1. Inputs'!$B$7/('1. Inputs'!$B$6^'1. Inputs'!$B$7+MAX(0,$A21-'1. Inputs'!$C$26-'1. Inputs'!$B$30+1)^'1. Inputs'!$B$7)*('1. Inputs'!$B$9+'1. Inputs'!$B$10*MAX(0,$A21-'1. Inputs'!$C$26-'1. Inputs'!$B$30+1)/(MAX(0,$A21-'1. Inputs'!$C$26-'1. Inputs'!$B$30+1)+'1. Inputs'!$B$11))*'1. Inputs'!$B$13*(1+'1. Inputs'!$B$14*MIN(MAX(0,$A21-'1. Inputs'!$C$26-'1. Inputs'!$B$30+1),'1. Inputs'!$B$15))*'1. Inputs'!$B$31)</f>
        <v>116345.6</v>
      </c>
      <c r="N21" s="22" t="n">
        <f aca="false">IF(MAX(0,$A21-'1. Inputs'!$C$27-'1. Inputs'!$B$30+1)&lt;=0,0,'1. Inputs'!$B$27*('1. Inputs'!$B$5-'5. Diagnosing a miss'!$B$21)*MAX(0,$A21-'1. Inputs'!$C$27-'1. Inputs'!$B$30+1)^'1. Inputs'!$B$7/('1. Inputs'!$B$6^'1. Inputs'!$B$7+MAX(0,$A21-'1. Inputs'!$C$27-'1. Inputs'!$B$30+1)^'1. Inputs'!$B$7)*('1. Inputs'!$B$9+'1. Inputs'!$B$10*MAX(0,$A21-'1. Inputs'!$C$27-'1. Inputs'!$B$30+1)/(MAX(0,$A21-'1. Inputs'!$C$27-'1. Inputs'!$B$30+1)+'1. Inputs'!$B$11))*'1. Inputs'!$B$13*(1+'1. Inputs'!$B$14*MIN(MAX(0,$A21-'1. Inputs'!$C$27-'1. Inputs'!$B$30+1),'1. Inputs'!$B$15))*'1. Inputs'!$B$31)</f>
        <v>35629.1764705882</v>
      </c>
      <c r="O21" s="22" t="n">
        <f aca="false">SUM(K21:N21)</f>
        <v>3783302.49352322</v>
      </c>
      <c r="P21" s="22" t="n">
        <f aca="false">IF($A21=MAX('1. Inputs'!$B$17,1),'1. Inputs'!$B$3,0)+IF($A21-'1. Inputs'!$B$17&gt;=1,INDEX(O$3:O$86,$A21-'1. Inputs'!$B$17),0)</f>
        <v>19584</v>
      </c>
      <c r="Q21" s="22" t="n">
        <f aca="false">Q20*(1-'1. Inputs'!$B$18)+P21</f>
        <v>139829386.186048</v>
      </c>
      <c r="R21" s="22" t="n">
        <f aca="false">Q21*'1. Inputs'!$B$18</f>
        <v>1398293.86186048</v>
      </c>
      <c r="S21" s="22" t="n">
        <f aca="false">S20+O21-R21</f>
        <v>156754327.449292</v>
      </c>
      <c r="T21" s="22" t="n">
        <f aca="false">IF(MAX(0,$A21-'1. Inputs'!$C$24-'1. Inputs'!$B$30+1)&lt;=0,0,'1. Inputs'!$B$24*'1. Inputs'!$B$5*MAX(0,$A21-'1. Inputs'!$C$24-'1. Inputs'!$B$30+1)^'1. Inputs'!$B$7/('1. Inputs'!$B$6^'1. Inputs'!$B$7+MAX(0,$A21-'1. Inputs'!$C$24-'1. Inputs'!$B$30+1)^'1. Inputs'!$B$7)*('1. Inputs'!$B$9+'1. Inputs'!$B$10*MAX(0,$A21-'1. Inputs'!$C$24-'1. Inputs'!$B$30+1)/(MAX(0,$A21-'1. Inputs'!$C$24-'1. Inputs'!$B$30+1)+'1. Inputs'!$B$11))*'1. Inputs'!$B$13*(1+'1. Inputs'!$B$14*MIN(MAX(0,$A21-'1. Inputs'!$C$24-'1. Inputs'!$B$30+1),'1. Inputs'!$B$15))*('1. Inputs'!$B$31*'5. Diagnosing a miss'!$B$22))</f>
        <v>2110736.59351579</v>
      </c>
      <c r="U21" s="22" t="n">
        <f aca="false">IF(MAX(0,$A21-'1. Inputs'!$C$25-'1. Inputs'!$B$30+1)&lt;=0,0,'1. Inputs'!$B$25*'1. Inputs'!$B$5*MAX(0,$A21-'1. Inputs'!$C$25-'1. Inputs'!$B$30+1)^'1. Inputs'!$B$7/('1. Inputs'!$B$6^'1. Inputs'!$B$7+MAX(0,$A21-'1. Inputs'!$C$25-'1. Inputs'!$B$30+1)^'1. Inputs'!$B$7)*('1. Inputs'!$B$9+'1. Inputs'!$B$10*MAX(0,$A21-'1. Inputs'!$C$25-'1. Inputs'!$B$30+1)/(MAX(0,$A21-'1. Inputs'!$C$25-'1. Inputs'!$B$30+1)+'1. Inputs'!$B$11))*'1. Inputs'!$B$13*(1+'1. Inputs'!$B$14*MIN(MAX(0,$A21-'1. Inputs'!$C$25-'1. Inputs'!$B$30+1),'1. Inputs'!$B$15))*('1. Inputs'!$B$31*'5. Diagnosing a miss'!$B$22))</f>
        <v>1565982.72</v>
      </c>
      <c r="V21" s="22" t="n">
        <f aca="false">IF(MAX(0,$A21-'1. Inputs'!$C$26-'1. Inputs'!$B$30+1)&lt;=0,0,'1. Inputs'!$B$26*'1. Inputs'!$B$5*MAX(0,$A21-'1. Inputs'!$C$26-'1. Inputs'!$B$30+1)^'1. Inputs'!$B$7/('1. Inputs'!$B$6^'1. Inputs'!$B$7+MAX(0,$A21-'1. Inputs'!$C$26-'1. Inputs'!$B$30+1)^'1. Inputs'!$B$7)*('1. Inputs'!$B$9+'1. Inputs'!$B$10*MAX(0,$A21-'1. Inputs'!$C$26-'1. Inputs'!$B$30+1)/(MAX(0,$A21-'1. Inputs'!$C$26-'1. Inputs'!$B$30+1)+'1. Inputs'!$B$11))*'1. Inputs'!$B$13*(1+'1. Inputs'!$B$14*MIN(MAX(0,$A21-'1. Inputs'!$C$26-'1. Inputs'!$B$30+1),'1. Inputs'!$B$15))*('1. Inputs'!$B$31*'5. Diagnosing a miss'!$B$22))</f>
        <v>117799.92</v>
      </c>
      <c r="W21" s="22" t="n">
        <f aca="false">IF(MAX(0,$A21-'1. Inputs'!$C$27-'1. Inputs'!$B$30+1)&lt;=0,0,'1. Inputs'!$B$27*'1. Inputs'!$B$5*MAX(0,$A21-'1. Inputs'!$C$27-'1. Inputs'!$B$30+1)^'1. Inputs'!$B$7/('1. Inputs'!$B$6^'1. Inputs'!$B$7+MAX(0,$A21-'1. Inputs'!$C$27-'1. Inputs'!$B$30+1)^'1. Inputs'!$B$7)*('1. Inputs'!$B$9+'1. Inputs'!$B$10*MAX(0,$A21-'1. Inputs'!$C$27-'1. Inputs'!$B$30+1)/(MAX(0,$A21-'1. Inputs'!$C$27-'1. Inputs'!$B$30+1)+'1. Inputs'!$B$11))*'1. Inputs'!$B$13*(1+'1. Inputs'!$B$14*MIN(MAX(0,$A21-'1. Inputs'!$C$27-'1. Inputs'!$B$30+1),'1. Inputs'!$B$15))*('1. Inputs'!$B$31*'5. Diagnosing a miss'!$B$22))</f>
        <v>36074.5411764706</v>
      </c>
      <c r="X21" s="22" t="n">
        <f aca="false">SUM(T21:W21)</f>
        <v>3830593.77469226</v>
      </c>
      <c r="Y21" s="22" t="n">
        <f aca="false">IF($A21=MAX('1. Inputs'!$B$17,1),'1. Inputs'!$B$3,0)+IF($A21-'1. Inputs'!$B$17&gt;=1,INDEX(X$3:X$86,$A21-'1. Inputs'!$B$17),0)</f>
        <v>19828.8</v>
      </c>
      <c r="Z21" s="22" t="n">
        <f aca="false">Z20*(1-'1. Inputs'!$B$18)+Y21</f>
        <v>139829630.986049</v>
      </c>
      <c r="AA21" s="22" t="n">
        <f aca="false">Z21*'1. Inputs'!$B$18</f>
        <v>1398296.30986049</v>
      </c>
      <c r="AB21" s="22" t="n">
        <f aca="false">AB20+X21-AA21</f>
        <v>156983610.240356</v>
      </c>
      <c r="AC21" s="22" t="n">
        <f aca="false">IF(MAX(0,$A21-'1. Inputs'!$C$24-('1. Inputs'!$B$30+'5. Diagnosing a miss'!$B$23)+1)&lt;=0,0,'1. Inputs'!$B$24*'1. Inputs'!$B$5*MAX(0,$A21-'1. Inputs'!$C$24-('1. Inputs'!$B$30+'5. Diagnosing a miss'!$B$23)+1)^'1. Inputs'!$B$7/('1. Inputs'!$B$6^'1. Inputs'!$B$7+MAX(0,$A21-'1. Inputs'!$C$24-('1. Inputs'!$B$30+'5. Diagnosing a miss'!$B$23)+1)^'1. Inputs'!$B$7)*('1. Inputs'!$B$9+'1. Inputs'!$B$10*MAX(0,$A21-'1. Inputs'!$C$24-('1. Inputs'!$B$30+'5. Diagnosing a miss'!$B$23)+1)/(MAX(0,$A21-'1. Inputs'!$C$24-('1. Inputs'!$B$30+'5. Diagnosing a miss'!$B$23)+1)+'1. Inputs'!$B$11))*'1. Inputs'!$B$13*(1+'1. Inputs'!$B$14*MIN(MAX(0,$A21-'1. Inputs'!$C$24-('1. Inputs'!$B$30+'5. Diagnosing a miss'!$B$23)+1),'1. Inputs'!$B$15))*'1. Inputs'!$B$31)</f>
        <v>1754254.14364641</v>
      </c>
      <c r="AD21" s="22" t="n">
        <f aca="false">IF(MAX(0,$A21-'1. Inputs'!$C$25-('1. Inputs'!$B$30+'5. Diagnosing a miss'!$B$23)+1)&lt;=0,0,'1. Inputs'!$B$25*'1. Inputs'!$B$5*MAX(0,$A21-'1. Inputs'!$C$25-('1. Inputs'!$B$30+'5. Diagnosing a miss'!$B$23)+1)^'1. Inputs'!$B$7/('1. Inputs'!$B$6^'1. Inputs'!$B$7+MAX(0,$A21-'1. Inputs'!$C$25-('1. Inputs'!$B$30+'5. Diagnosing a miss'!$B$23)+1)^'1. Inputs'!$B$7)*('1. Inputs'!$B$9+'1. Inputs'!$B$10*MAX(0,$A21-'1. Inputs'!$C$25-('1. Inputs'!$B$30+'5. Diagnosing a miss'!$B$23)+1)/(MAX(0,$A21-'1. Inputs'!$C$25-('1. Inputs'!$B$30+'5. Diagnosing a miss'!$B$23)+1)+'1. Inputs'!$B$11))*'1. Inputs'!$B$13*(1+'1. Inputs'!$B$14*MIN(MAX(0,$A21-'1. Inputs'!$C$25-('1. Inputs'!$B$30+'5. Diagnosing a miss'!$B$23)+1),'1. Inputs'!$B$15))*'1. Inputs'!$B$31)</f>
        <v>808301.886792453</v>
      </c>
      <c r="AE21" s="22" t="n">
        <f aca="false">IF(MAX(0,$A21-'1. Inputs'!$C$26-('1. Inputs'!$B$30+'5. Diagnosing a miss'!$B$23)+1)&lt;=0,0,'1. Inputs'!$B$26*'1. Inputs'!$B$5*MAX(0,$A21-'1. Inputs'!$C$26-('1. Inputs'!$B$30+'5. Diagnosing a miss'!$B$23)+1)^'1. Inputs'!$B$7/('1. Inputs'!$B$6^'1. Inputs'!$B$7+MAX(0,$A21-'1. Inputs'!$C$26-('1. Inputs'!$B$30+'5. Diagnosing a miss'!$B$23)+1)^'1. Inputs'!$B$7)*('1. Inputs'!$B$9+'1. Inputs'!$B$10*MAX(0,$A21-'1. Inputs'!$C$26-('1. Inputs'!$B$30+'5. Diagnosing a miss'!$B$23)+1)/(MAX(0,$A21-'1. Inputs'!$C$26-('1. Inputs'!$B$30+'5. Diagnosing a miss'!$B$23)+1)+'1. Inputs'!$B$11))*'1. Inputs'!$B$13*(1+'1. Inputs'!$B$14*MIN(MAX(0,$A21-'1. Inputs'!$C$26-('1. Inputs'!$B$30+'5. Diagnosing a miss'!$B$23)+1),'1. Inputs'!$B$15))*'1. Inputs'!$B$31)</f>
        <v>0</v>
      </c>
      <c r="AF21" s="22" t="n">
        <f aca="false">IF(MAX(0,$A21-'1. Inputs'!$C$27-('1. Inputs'!$B$30+'5. Diagnosing a miss'!$B$23)+1)&lt;=0,0,'1. Inputs'!$B$27*'1. Inputs'!$B$5*MAX(0,$A21-'1. Inputs'!$C$27-('1. Inputs'!$B$30+'5. Diagnosing a miss'!$B$23)+1)^'1. Inputs'!$B$7/('1. Inputs'!$B$6^'1. Inputs'!$B$7+MAX(0,$A21-'1. Inputs'!$C$27-('1. Inputs'!$B$30+'5. Diagnosing a miss'!$B$23)+1)^'1. Inputs'!$B$7)*('1. Inputs'!$B$9+'1. Inputs'!$B$10*MAX(0,$A21-'1. Inputs'!$C$27-('1. Inputs'!$B$30+'5. Diagnosing a miss'!$B$23)+1)/(MAX(0,$A21-'1. Inputs'!$C$27-('1. Inputs'!$B$30+'5. Diagnosing a miss'!$B$23)+1)+'1. Inputs'!$B$11))*'1. Inputs'!$B$13*(1+'1. Inputs'!$B$14*MIN(MAX(0,$A21-'1. Inputs'!$C$27-('1. Inputs'!$B$30+'5. Diagnosing a miss'!$B$23)+1),'1. Inputs'!$B$15))*'1. Inputs'!$B$31)</f>
        <v>0</v>
      </c>
      <c r="AG21" s="22" t="n">
        <f aca="false">SUM(AC21:AF21)</f>
        <v>2562556.03043886</v>
      </c>
      <c r="AH21" s="22" t="n">
        <f aca="false">IF($A21=MAX('1. Inputs'!$B$17,1),'1. Inputs'!$B$3,0)+IF($A21-'1. Inputs'!$B$17&gt;=1,INDEX(AG$3:AG$86,$A21-'1. Inputs'!$B$17),0)</f>
        <v>0</v>
      </c>
      <c r="AI21" s="22" t="n">
        <f aca="false">AI20*(1-'1. Inputs'!$B$18)+AH21</f>
        <v>139809802.186048</v>
      </c>
      <c r="AJ21" s="22" t="n">
        <f aca="false">AI21*'1. Inputs'!$B$18</f>
        <v>1398098.02186048</v>
      </c>
      <c r="AK21" s="22" t="n">
        <f aca="false">AK20+AG21-AJ21</f>
        <v>148052637.83304</v>
      </c>
    </row>
    <row r="22" customFormat="false" ht="15" hidden="false" customHeight="false" outlineLevel="0" collapsed="false">
      <c r="A22" s="7" t="n">
        <v>20</v>
      </c>
      <c r="B22" s="22" t="n">
        <f aca="false">IF(MAX(0,$A22-'1. Inputs'!$C$24-'1. Inputs'!$B$30+1)&lt;=0,0,'1. Inputs'!$B$24*'1. Inputs'!$B$5*MAX(0,$A22-'1. Inputs'!$C$24-'1. Inputs'!$B$30+1)^'1. Inputs'!$B$7/('1. Inputs'!$B$6^'1. Inputs'!$B$7+MAX(0,$A22-'1. Inputs'!$C$24-'1. Inputs'!$B$30+1)^'1. Inputs'!$B$7)*('1. Inputs'!$B$9+'1. Inputs'!$B$10*MAX(0,$A22-'1. Inputs'!$C$24-'1. Inputs'!$B$30+1)/(MAX(0,$A22-'1. Inputs'!$C$24-'1. Inputs'!$B$30+1)+'1. Inputs'!$B$11))*'1. Inputs'!$B$13*(1+'1. Inputs'!$B$14*MIN(MAX(0,$A22-'1. Inputs'!$C$24-'1. Inputs'!$B$30+1),'1. Inputs'!$B$15))*'1. Inputs'!$B$31)</f>
        <v>2519740.90397112</v>
      </c>
      <c r="C22" s="22" t="n">
        <f aca="false">IF(MAX(0,$A22-'1. Inputs'!$C$25-'1. Inputs'!$B$30+1)&lt;=0,0,'1. Inputs'!$B$25*'1. Inputs'!$B$5*MAX(0,$A22-'1. Inputs'!$C$25-'1. Inputs'!$B$30+1)^'1. Inputs'!$B$7/('1. Inputs'!$B$6^'1. Inputs'!$B$7+MAX(0,$A22-'1. Inputs'!$C$25-'1. Inputs'!$B$30+1)^'1. Inputs'!$B$7)*('1. Inputs'!$B$9+'1. Inputs'!$B$10*MAX(0,$A22-'1. Inputs'!$C$25-'1. Inputs'!$B$30+1)/(MAX(0,$A22-'1. Inputs'!$C$25-'1. Inputs'!$B$30+1)+'1. Inputs'!$B$11))*'1. Inputs'!$B$13*(1+'1. Inputs'!$B$14*MIN(MAX(0,$A22-'1. Inputs'!$C$25-'1. Inputs'!$B$30+1),'1. Inputs'!$B$15))*'1. Inputs'!$B$31)</f>
        <v>2045836.8</v>
      </c>
      <c r="D22" s="22" t="n">
        <f aca="false">IF(MAX(0,$A22-'1. Inputs'!$C$26-'1. Inputs'!$B$30+1)&lt;=0,0,'1. Inputs'!$B$26*'1. Inputs'!$B$5*MAX(0,$A22-'1. Inputs'!$C$26-'1. Inputs'!$B$30+1)^'1. Inputs'!$B$7/('1. Inputs'!$B$6^'1. Inputs'!$B$7+MAX(0,$A22-'1. Inputs'!$C$26-'1. Inputs'!$B$30+1)^'1. Inputs'!$B$7)*('1. Inputs'!$B$9+'1. Inputs'!$B$10*MAX(0,$A22-'1. Inputs'!$C$26-'1. Inputs'!$B$30+1)/(MAX(0,$A22-'1. Inputs'!$C$26-'1. Inputs'!$B$30+1)+'1. Inputs'!$B$11))*'1. Inputs'!$B$13*(1+'1. Inputs'!$B$14*MIN(MAX(0,$A22-'1. Inputs'!$C$26-'1. Inputs'!$B$30+1),'1. Inputs'!$B$15))*'1. Inputs'!$B$31)</f>
        <v>232542.482474227</v>
      </c>
      <c r="E22" s="22" t="n">
        <f aca="false">IF(MAX(0,$A22-'1. Inputs'!$C$27-'1. Inputs'!$B$30+1)&lt;=0,0,'1. Inputs'!$B$27*'1. Inputs'!$B$5*MAX(0,$A22-'1. Inputs'!$C$27-'1. Inputs'!$B$30+1)^'1. Inputs'!$B$7/('1. Inputs'!$B$6^'1. Inputs'!$B$7+MAX(0,$A22-'1. Inputs'!$C$27-'1. Inputs'!$B$30+1)^'1. Inputs'!$B$7)*('1. Inputs'!$B$9+'1. Inputs'!$B$10*MAX(0,$A22-'1. Inputs'!$C$27-'1. Inputs'!$B$30+1)/(MAX(0,$A22-'1. Inputs'!$C$27-'1. Inputs'!$B$30+1)+'1. Inputs'!$B$11))*'1. Inputs'!$B$13*(1+'1. Inputs'!$B$14*MIN(MAX(0,$A22-'1. Inputs'!$C$27-'1. Inputs'!$B$30+1),'1. Inputs'!$B$15))*'1. Inputs'!$B$31)</f>
        <v>93492</v>
      </c>
      <c r="F22" s="22" t="n">
        <f aca="false">SUM(B22:E22)</f>
        <v>4891612.18644535</v>
      </c>
      <c r="G22" s="22" t="n">
        <f aca="false">IF($A22=MAX('1. Inputs'!$B$17,1),'1. Inputs'!$B$3,0)+IF($A22-'1. Inputs'!$B$17&gt;=1,INDEX(F$3:F$86,$A22-'1. Inputs'!$B$17),0)</f>
        <v>96198.7764705882</v>
      </c>
      <c r="H22" s="22" t="n">
        <f aca="false">H21*(1-'1. Inputs'!$B$18)+G22</f>
        <v>138529714.620659</v>
      </c>
      <c r="I22" s="22" t="n">
        <f aca="false">H22*'1. Inputs'!$B$18</f>
        <v>1385297.14620659</v>
      </c>
      <c r="J22" s="22" t="n">
        <f aca="false">J21+F22-I22</f>
        <v>162553470.400169</v>
      </c>
      <c r="K22" s="22" t="n">
        <f aca="false">IF(MAX(0,$A22-'1. Inputs'!$C$24-'1. Inputs'!$B$30+1)&lt;=0,0,'1. Inputs'!$B$24*('1. Inputs'!$B$5-'5. Diagnosing a miss'!$B$21)*MAX(0,$A22-'1. Inputs'!$C$24-'1. Inputs'!$B$30+1)^'1. Inputs'!$B$7/('1. Inputs'!$B$6^'1. Inputs'!$B$7+MAX(0,$A22-'1. Inputs'!$C$24-'1. Inputs'!$B$30+1)^'1. Inputs'!$B$7)*('1. Inputs'!$B$9+'1. Inputs'!$B$10*MAX(0,$A22-'1. Inputs'!$C$24-'1. Inputs'!$B$30+1)/(MAX(0,$A22-'1. Inputs'!$C$24-'1. Inputs'!$B$30+1)+'1. Inputs'!$B$11))*'1. Inputs'!$B$13*(1+'1. Inputs'!$B$14*MIN(MAX(0,$A22-'1. Inputs'!$C$24-'1. Inputs'!$B$30+1),'1. Inputs'!$B$15))*'1. Inputs'!$B$31)</f>
        <v>2239769.69241877</v>
      </c>
      <c r="L22" s="22" t="n">
        <f aca="false">IF(MAX(0,$A22-'1. Inputs'!$C$25-'1. Inputs'!$B$30+1)&lt;=0,0,'1. Inputs'!$B$25*('1. Inputs'!$B$5-'5. Diagnosing a miss'!$B$21)*MAX(0,$A22-'1. Inputs'!$C$25-'1. Inputs'!$B$30+1)^'1. Inputs'!$B$7/('1. Inputs'!$B$6^'1. Inputs'!$B$7+MAX(0,$A22-'1. Inputs'!$C$25-'1. Inputs'!$B$30+1)^'1. Inputs'!$B$7)*('1. Inputs'!$B$9+'1. Inputs'!$B$10*MAX(0,$A22-'1. Inputs'!$C$25-'1. Inputs'!$B$30+1)/(MAX(0,$A22-'1. Inputs'!$C$25-'1. Inputs'!$B$30+1)+'1. Inputs'!$B$11))*'1. Inputs'!$B$13*(1+'1. Inputs'!$B$14*MIN(MAX(0,$A22-'1. Inputs'!$C$25-'1. Inputs'!$B$30+1),'1. Inputs'!$B$15))*'1. Inputs'!$B$31)</f>
        <v>1818521.6</v>
      </c>
      <c r="M22" s="22" t="n">
        <f aca="false">IF(MAX(0,$A22-'1. Inputs'!$C$26-'1. Inputs'!$B$30+1)&lt;=0,0,'1. Inputs'!$B$26*('1. Inputs'!$B$5-'5. Diagnosing a miss'!$B$21)*MAX(0,$A22-'1. Inputs'!$C$26-'1. Inputs'!$B$30+1)^'1. Inputs'!$B$7/('1. Inputs'!$B$6^'1. Inputs'!$B$7+MAX(0,$A22-'1. Inputs'!$C$26-'1. Inputs'!$B$30+1)^'1. Inputs'!$B$7)*('1. Inputs'!$B$9+'1. Inputs'!$B$10*MAX(0,$A22-'1. Inputs'!$C$26-'1. Inputs'!$B$30+1)/(MAX(0,$A22-'1. Inputs'!$C$26-'1. Inputs'!$B$30+1)+'1. Inputs'!$B$11))*'1. Inputs'!$B$13*(1+'1. Inputs'!$B$14*MIN(MAX(0,$A22-'1. Inputs'!$C$26-'1. Inputs'!$B$30+1),'1. Inputs'!$B$15))*'1. Inputs'!$B$31)</f>
        <v>206704.428865979</v>
      </c>
      <c r="N22" s="22" t="n">
        <f aca="false">IF(MAX(0,$A22-'1. Inputs'!$C$27-'1. Inputs'!$B$30+1)&lt;=0,0,'1. Inputs'!$B$27*('1. Inputs'!$B$5-'5. Diagnosing a miss'!$B$21)*MAX(0,$A22-'1. Inputs'!$C$27-'1. Inputs'!$B$30+1)^'1. Inputs'!$B$7/('1. Inputs'!$B$6^'1. Inputs'!$B$7+MAX(0,$A22-'1. Inputs'!$C$27-'1. Inputs'!$B$30+1)^'1. Inputs'!$B$7)*('1. Inputs'!$B$9+'1. Inputs'!$B$10*MAX(0,$A22-'1. Inputs'!$C$27-'1. Inputs'!$B$30+1)/(MAX(0,$A22-'1. Inputs'!$C$27-'1. Inputs'!$B$30+1)+'1. Inputs'!$B$11))*'1. Inputs'!$B$13*(1+'1. Inputs'!$B$14*MIN(MAX(0,$A22-'1. Inputs'!$C$27-'1. Inputs'!$B$30+1),'1. Inputs'!$B$15))*'1. Inputs'!$B$31)</f>
        <v>83104</v>
      </c>
      <c r="O22" s="22" t="n">
        <f aca="false">SUM(K22:N22)</f>
        <v>4348099.72128475</v>
      </c>
      <c r="P22" s="22" t="n">
        <f aca="false">IF($A22=MAX('1. Inputs'!$B$17,1),'1. Inputs'!$B$3,0)+IF($A22-'1. Inputs'!$B$17&gt;=1,INDEX(O$3:O$86,$A22-'1. Inputs'!$B$17),0)</f>
        <v>85510.0235294118</v>
      </c>
      <c r="Q22" s="22" t="n">
        <f aca="false">Q21*(1-'1. Inputs'!$B$18)+P22</f>
        <v>138516602.347717</v>
      </c>
      <c r="R22" s="22" t="n">
        <f aca="false">Q22*'1. Inputs'!$B$18</f>
        <v>1385166.02347717</v>
      </c>
      <c r="S22" s="22" t="n">
        <f aca="false">S21+O22-R22</f>
        <v>159717261.1471</v>
      </c>
      <c r="T22" s="22" t="n">
        <f aca="false">IF(MAX(0,$A22-'1. Inputs'!$C$24-'1. Inputs'!$B$30+1)&lt;=0,0,'1. Inputs'!$B$24*'1. Inputs'!$B$5*MAX(0,$A22-'1. Inputs'!$C$24-'1. Inputs'!$B$30+1)^'1. Inputs'!$B$7/('1. Inputs'!$B$6^'1. Inputs'!$B$7+MAX(0,$A22-'1. Inputs'!$C$24-'1. Inputs'!$B$30+1)^'1. Inputs'!$B$7)*('1. Inputs'!$B$9+'1. Inputs'!$B$10*MAX(0,$A22-'1. Inputs'!$C$24-'1. Inputs'!$B$30+1)/(MAX(0,$A22-'1. Inputs'!$C$24-'1. Inputs'!$B$30+1)+'1. Inputs'!$B$11))*'1. Inputs'!$B$13*(1+'1. Inputs'!$B$14*MIN(MAX(0,$A22-'1. Inputs'!$C$24-'1. Inputs'!$B$30+1),'1. Inputs'!$B$15))*('1. Inputs'!$B$31*'5. Diagnosing a miss'!$B$22))</f>
        <v>2267766.81357401</v>
      </c>
      <c r="U22" s="22" t="n">
        <f aca="false">IF(MAX(0,$A22-'1. Inputs'!$C$25-'1. Inputs'!$B$30+1)&lt;=0,0,'1. Inputs'!$B$25*'1. Inputs'!$B$5*MAX(0,$A22-'1. Inputs'!$C$25-'1. Inputs'!$B$30+1)^'1. Inputs'!$B$7/('1. Inputs'!$B$6^'1. Inputs'!$B$7+MAX(0,$A22-'1. Inputs'!$C$25-'1. Inputs'!$B$30+1)^'1. Inputs'!$B$7)*('1. Inputs'!$B$9+'1. Inputs'!$B$10*MAX(0,$A22-'1. Inputs'!$C$25-'1. Inputs'!$B$30+1)/(MAX(0,$A22-'1. Inputs'!$C$25-'1. Inputs'!$B$30+1)+'1. Inputs'!$B$11))*'1. Inputs'!$B$13*(1+'1. Inputs'!$B$14*MIN(MAX(0,$A22-'1. Inputs'!$C$25-'1. Inputs'!$B$30+1),'1. Inputs'!$B$15))*('1. Inputs'!$B$31*'5. Diagnosing a miss'!$B$22))</f>
        <v>1841253.12</v>
      </c>
      <c r="V22" s="22" t="n">
        <f aca="false">IF(MAX(0,$A22-'1. Inputs'!$C$26-'1. Inputs'!$B$30+1)&lt;=0,0,'1. Inputs'!$B$26*'1. Inputs'!$B$5*MAX(0,$A22-'1. Inputs'!$C$26-'1. Inputs'!$B$30+1)^'1. Inputs'!$B$7/('1. Inputs'!$B$6^'1. Inputs'!$B$7+MAX(0,$A22-'1. Inputs'!$C$26-'1. Inputs'!$B$30+1)^'1. Inputs'!$B$7)*('1. Inputs'!$B$9+'1. Inputs'!$B$10*MAX(0,$A22-'1. Inputs'!$C$26-'1. Inputs'!$B$30+1)/(MAX(0,$A22-'1. Inputs'!$C$26-'1. Inputs'!$B$30+1)+'1. Inputs'!$B$11))*'1. Inputs'!$B$13*(1+'1. Inputs'!$B$14*MIN(MAX(0,$A22-'1. Inputs'!$C$26-'1. Inputs'!$B$30+1),'1. Inputs'!$B$15))*('1. Inputs'!$B$31*'5. Diagnosing a miss'!$B$22))</f>
        <v>209288.234226804</v>
      </c>
      <c r="W22" s="22" t="n">
        <f aca="false">IF(MAX(0,$A22-'1. Inputs'!$C$27-'1. Inputs'!$B$30+1)&lt;=0,0,'1. Inputs'!$B$27*'1. Inputs'!$B$5*MAX(0,$A22-'1. Inputs'!$C$27-'1. Inputs'!$B$30+1)^'1. Inputs'!$B$7/('1. Inputs'!$B$6^'1. Inputs'!$B$7+MAX(0,$A22-'1. Inputs'!$C$27-'1. Inputs'!$B$30+1)^'1. Inputs'!$B$7)*('1. Inputs'!$B$9+'1. Inputs'!$B$10*MAX(0,$A22-'1. Inputs'!$C$27-'1. Inputs'!$B$30+1)/(MAX(0,$A22-'1. Inputs'!$C$27-'1. Inputs'!$B$30+1)+'1. Inputs'!$B$11))*'1. Inputs'!$B$13*(1+'1. Inputs'!$B$14*MIN(MAX(0,$A22-'1. Inputs'!$C$27-'1. Inputs'!$B$30+1),'1. Inputs'!$B$15))*('1. Inputs'!$B$31*'5. Diagnosing a miss'!$B$22))</f>
        <v>84142.8</v>
      </c>
      <c r="X22" s="22" t="n">
        <f aca="false">SUM(T22:W22)</f>
        <v>4402450.96780081</v>
      </c>
      <c r="Y22" s="22" t="n">
        <f aca="false">IF($A22=MAX('1. Inputs'!$B$17,1),'1. Inputs'!$B$3,0)+IF($A22-'1. Inputs'!$B$17&gt;=1,INDEX(X$3:X$86,$A22-'1. Inputs'!$B$17),0)</f>
        <v>86578.8988235294</v>
      </c>
      <c r="Z22" s="22" t="n">
        <f aca="false">Z21*(1-'1. Inputs'!$B$18)+Y22</f>
        <v>138517913.575012</v>
      </c>
      <c r="AA22" s="22" t="n">
        <f aca="false">Z22*'1. Inputs'!$B$18</f>
        <v>1385179.13575012</v>
      </c>
      <c r="AB22" s="22" t="n">
        <f aca="false">AB21+X22-AA22</f>
        <v>160000882.072407</v>
      </c>
      <c r="AC22" s="22" t="n">
        <f aca="false">IF(MAX(0,$A22-'1. Inputs'!$C$24-('1. Inputs'!$B$30+'5. Diagnosing a miss'!$B$23)+1)&lt;=0,0,'1. Inputs'!$B$24*'1. Inputs'!$B$5*MAX(0,$A22-'1. Inputs'!$C$24-('1. Inputs'!$B$30+'5. Diagnosing a miss'!$B$23)+1)^'1. Inputs'!$B$7/('1. Inputs'!$B$6^'1. Inputs'!$B$7+MAX(0,$A22-'1. Inputs'!$C$24-('1. Inputs'!$B$30+'5. Diagnosing a miss'!$B$23)+1)^'1. Inputs'!$B$7)*('1. Inputs'!$B$9+'1. Inputs'!$B$10*MAX(0,$A22-'1. Inputs'!$C$24-('1. Inputs'!$B$30+'5. Diagnosing a miss'!$B$23)+1)/(MAX(0,$A22-'1. Inputs'!$C$24-('1. Inputs'!$B$30+'5. Diagnosing a miss'!$B$23)+1)+'1. Inputs'!$B$11))*'1. Inputs'!$B$13*(1+'1. Inputs'!$B$14*MIN(MAX(0,$A22-'1. Inputs'!$C$24-('1. Inputs'!$B$30+'5. Diagnosing a miss'!$B$23)+1),'1. Inputs'!$B$15))*'1. Inputs'!$B$31)</f>
        <v>1962924.71986022</v>
      </c>
      <c r="AD22" s="22" t="n">
        <f aca="false">IF(MAX(0,$A22-'1. Inputs'!$C$25-('1. Inputs'!$B$30+'5. Diagnosing a miss'!$B$23)+1)&lt;=0,0,'1. Inputs'!$B$25*'1. Inputs'!$B$5*MAX(0,$A22-'1. Inputs'!$C$25-('1. Inputs'!$B$30+'5. Diagnosing a miss'!$B$23)+1)^'1. Inputs'!$B$7/('1. Inputs'!$B$6^'1. Inputs'!$B$7+MAX(0,$A22-'1. Inputs'!$C$25-('1. Inputs'!$B$30+'5. Diagnosing a miss'!$B$23)+1)^'1. Inputs'!$B$7)*('1. Inputs'!$B$9+'1. Inputs'!$B$10*MAX(0,$A22-'1. Inputs'!$C$25-('1. Inputs'!$B$30+'5. Diagnosing a miss'!$B$23)+1)/(MAX(0,$A22-'1. Inputs'!$C$25-('1. Inputs'!$B$30+'5. Diagnosing a miss'!$B$23)+1)+'1. Inputs'!$B$11))*'1. Inputs'!$B$13*(1+'1. Inputs'!$B$14*MIN(MAX(0,$A22-'1. Inputs'!$C$25-('1. Inputs'!$B$30+'5. Diagnosing a miss'!$B$23)+1),'1. Inputs'!$B$15))*'1. Inputs'!$B$31)</f>
        <v>1111591.38461538</v>
      </c>
      <c r="AE22" s="22" t="n">
        <f aca="false">IF(MAX(0,$A22-'1. Inputs'!$C$26-('1. Inputs'!$B$30+'5. Diagnosing a miss'!$B$23)+1)&lt;=0,0,'1. Inputs'!$B$26*'1. Inputs'!$B$5*MAX(0,$A22-'1. Inputs'!$C$26-('1. Inputs'!$B$30+'5. Diagnosing a miss'!$B$23)+1)^'1. Inputs'!$B$7/('1. Inputs'!$B$6^'1. Inputs'!$B$7+MAX(0,$A22-'1. Inputs'!$C$26-('1. Inputs'!$B$30+'5. Diagnosing a miss'!$B$23)+1)^'1. Inputs'!$B$7)*('1. Inputs'!$B$9+'1. Inputs'!$B$10*MAX(0,$A22-'1. Inputs'!$C$26-('1. Inputs'!$B$30+'5. Diagnosing a miss'!$B$23)+1)/(MAX(0,$A22-'1. Inputs'!$C$26-('1. Inputs'!$B$30+'5. Diagnosing a miss'!$B$23)+1)+'1. Inputs'!$B$11))*'1. Inputs'!$B$13*(1+'1. Inputs'!$B$14*MIN(MAX(0,$A22-'1. Inputs'!$C$26-('1. Inputs'!$B$30+'5. Diagnosing a miss'!$B$23)+1),'1. Inputs'!$B$15))*'1. Inputs'!$B$31)</f>
        <v>12852</v>
      </c>
      <c r="AF22" s="22" t="n">
        <f aca="false">IF(MAX(0,$A22-'1. Inputs'!$C$27-('1. Inputs'!$B$30+'5. Diagnosing a miss'!$B$23)+1)&lt;=0,0,'1. Inputs'!$B$27*'1. Inputs'!$B$5*MAX(0,$A22-'1. Inputs'!$C$27-('1. Inputs'!$B$30+'5. Diagnosing a miss'!$B$23)+1)^'1. Inputs'!$B$7/('1. Inputs'!$B$6^'1. Inputs'!$B$7+MAX(0,$A22-'1. Inputs'!$C$27-('1. Inputs'!$B$30+'5. Diagnosing a miss'!$B$23)+1)^'1. Inputs'!$B$7)*('1. Inputs'!$B$9+'1. Inputs'!$B$10*MAX(0,$A22-'1. Inputs'!$C$27-('1. Inputs'!$B$30+'5. Diagnosing a miss'!$B$23)+1)/(MAX(0,$A22-'1. Inputs'!$C$27-('1. Inputs'!$B$30+'5. Diagnosing a miss'!$B$23)+1)+'1. Inputs'!$B$11))*'1. Inputs'!$B$13*(1+'1. Inputs'!$B$14*MIN(MAX(0,$A22-'1. Inputs'!$C$27-('1. Inputs'!$B$30+'5. Diagnosing a miss'!$B$23)+1),'1. Inputs'!$B$15))*'1. Inputs'!$B$31)</f>
        <v>0</v>
      </c>
      <c r="AG22" s="22" t="n">
        <f aca="false">SUM(AC22:AF22)</f>
        <v>3087368.10447561</v>
      </c>
      <c r="AH22" s="22" t="n">
        <f aca="false">IF($A22=MAX('1. Inputs'!$B$17,1),'1. Inputs'!$B$3,0)+IF($A22-'1. Inputs'!$B$17&gt;=1,INDEX(AG$3:AG$86,$A22-'1. Inputs'!$B$17),0)</f>
        <v>0</v>
      </c>
      <c r="AI22" s="22" t="n">
        <f aca="false">AI21*(1-'1. Inputs'!$B$18)+AH22</f>
        <v>138411704.164188</v>
      </c>
      <c r="AJ22" s="22" t="n">
        <f aca="false">AI22*'1. Inputs'!$B$18</f>
        <v>1384117.04164188</v>
      </c>
      <c r="AK22" s="22" t="n">
        <f aca="false">AK21+AG22-AJ22</f>
        <v>149755888.895873</v>
      </c>
    </row>
    <row r="23" customFormat="false" ht="15" hidden="false" customHeight="false" outlineLevel="0" collapsed="false">
      <c r="A23" s="7" t="n">
        <v>21</v>
      </c>
      <c r="B23" s="22" t="n">
        <f aca="false">IF(MAX(0,$A23-'1. Inputs'!$C$24-'1. Inputs'!$B$30+1)&lt;=0,0,'1. Inputs'!$B$24*'1. Inputs'!$B$5*MAX(0,$A23-'1. Inputs'!$C$24-'1. Inputs'!$B$30+1)^'1. Inputs'!$B$7/('1. Inputs'!$B$6^'1. Inputs'!$B$7+MAX(0,$A23-'1. Inputs'!$C$24-'1. Inputs'!$B$30+1)^'1. Inputs'!$B$7)*('1. Inputs'!$B$9+'1. Inputs'!$B$10*MAX(0,$A23-'1. Inputs'!$C$24-'1. Inputs'!$B$30+1)/(MAX(0,$A23-'1. Inputs'!$C$24-'1. Inputs'!$B$30+1)+'1. Inputs'!$B$11))*'1. Inputs'!$B$13*(1+'1. Inputs'!$B$14*MIN(MAX(0,$A23-'1. Inputs'!$C$24-'1. Inputs'!$B$30+1),'1. Inputs'!$B$15))*'1. Inputs'!$B$31)</f>
        <v>2684117.64705882</v>
      </c>
      <c r="C23" s="22" t="n">
        <f aca="false">IF(MAX(0,$A23-'1. Inputs'!$C$25-'1. Inputs'!$B$30+1)&lt;=0,0,'1. Inputs'!$B$25*'1. Inputs'!$B$5*MAX(0,$A23-'1. Inputs'!$C$25-'1. Inputs'!$B$30+1)^'1. Inputs'!$B$7/('1. Inputs'!$B$6^'1. Inputs'!$B$7+MAX(0,$A23-'1. Inputs'!$C$25-'1. Inputs'!$B$30+1)^'1. Inputs'!$B$7)*('1. Inputs'!$B$9+'1. Inputs'!$B$10*MAX(0,$A23-'1. Inputs'!$C$25-'1. Inputs'!$B$30+1)/(MAX(0,$A23-'1. Inputs'!$C$25-'1. Inputs'!$B$30+1)+'1. Inputs'!$B$11))*'1. Inputs'!$B$13*(1+'1. Inputs'!$B$14*MIN(MAX(0,$A23-'1. Inputs'!$C$25-'1. Inputs'!$B$30+1),'1. Inputs'!$B$15))*'1. Inputs'!$B$31)</f>
        <v>2339005.52486188</v>
      </c>
      <c r="D23" s="22" t="n">
        <f aca="false">IF(MAX(0,$A23-'1. Inputs'!$C$26-'1. Inputs'!$B$30+1)&lt;=0,0,'1. Inputs'!$B$26*'1. Inputs'!$B$5*MAX(0,$A23-'1. Inputs'!$C$26-'1. Inputs'!$B$30+1)^'1. Inputs'!$B$7/('1. Inputs'!$B$6^'1. Inputs'!$B$7+MAX(0,$A23-'1. Inputs'!$C$26-'1. Inputs'!$B$30+1)^'1. Inputs'!$B$7)*('1. Inputs'!$B$9+'1. Inputs'!$B$10*MAX(0,$A23-'1. Inputs'!$C$26-'1. Inputs'!$B$30+1)/(MAX(0,$A23-'1. Inputs'!$C$26-'1. Inputs'!$B$30+1)+'1. Inputs'!$B$11))*'1. Inputs'!$B$13*(1+'1. Inputs'!$B$14*MIN(MAX(0,$A23-'1. Inputs'!$C$26-'1. Inputs'!$B$30+1),'1. Inputs'!$B$15))*'1. Inputs'!$B$31)</f>
        <v>353632.075471698</v>
      </c>
      <c r="E23" s="22" t="n">
        <f aca="false">IF(MAX(0,$A23-'1. Inputs'!$C$27-'1. Inputs'!$B$30+1)&lt;=0,0,'1. Inputs'!$B$27*'1. Inputs'!$B$5*MAX(0,$A23-'1. Inputs'!$C$27-'1. Inputs'!$B$30+1)^'1. Inputs'!$B$7/('1. Inputs'!$B$6^'1. Inputs'!$B$7+MAX(0,$A23-'1. Inputs'!$C$27-'1. Inputs'!$B$30+1)^'1. Inputs'!$B$7)*('1. Inputs'!$B$9+'1. Inputs'!$B$10*MAX(0,$A23-'1. Inputs'!$C$27-'1. Inputs'!$B$30+1)/(MAX(0,$A23-'1. Inputs'!$C$27-'1. Inputs'!$B$30+1)+'1. Inputs'!$B$11))*'1. Inputs'!$B$13*(1+'1. Inputs'!$B$14*MIN(MAX(0,$A23-'1. Inputs'!$C$27-'1. Inputs'!$B$30+1),'1. Inputs'!$B$15))*'1. Inputs'!$B$31)</f>
        <v>166101.773195876</v>
      </c>
      <c r="F23" s="22" t="n">
        <f aca="false">SUM(B23:E23)</f>
        <v>5542857.02058828</v>
      </c>
      <c r="G23" s="22" t="n">
        <f aca="false">IF($A23=MAX('1. Inputs'!$B$17,1),'1. Inputs'!$B$3,0)+IF($A23-'1. Inputs'!$B$17&gt;=1,INDEX(F$3:F$86,$A23-'1. Inputs'!$B$17),0)</f>
        <v>224380.8</v>
      </c>
      <c r="H23" s="22" t="n">
        <f aca="false">H22*(1-'1. Inputs'!$B$18)+G23</f>
        <v>137368798.274452</v>
      </c>
      <c r="I23" s="22" t="n">
        <f aca="false">H23*'1. Inputs'!$B$18</f>
        <v>1373687.98274452</v>
      </c>
      <c r="J23" s="22" t="n">
        <f aca="false">J22+F23-I23</f>
        <v>166722639.438013</v>
      </c>
      <c r="K23" s="22" t="n">
        <f aca="false">IF(MAX(0,$A23-'1. Inputs'!$C$24-'1. Inputs'!$B$30+1)&lt;=0,0,'1. Inputs'!$B$24*('1. Inputs'!$B$5-'5. Diagnosing a miss'!$B$21)*MAX(0,$A23-'1. Inputs'!$C$24-'1. Inputs'!$B$30+1)^'1. Inputs'!$B$7/('1. Inputs'!$B$6^'1. Inputs'!$B$7+MAX(0,$A23-'1. Inputs'!$C$24-'1. Inputs'!$B$30+1)^'1. Inputs'!$B$7)*('1. Inputs'!$B$9+'1. Inputs'!$B$10*MAX(0,$A23-'1. Inputs'!$C$24-'1. Inputs'!$B$30+1)/(MAX(0,$A23-'1. Inputs'!$C$24-'1. Inputs'!$B$30+1)+'1. Inputs'!$B$11))*'1. Inputs'!$B$13*(1+'1. Inputs'!$B$14*MIN(MAX(0,$A23-'1. Inputs'!$C$24-'1. Inputs'!$B$30+1),'1. Inputs'!$B$15))*'1. Inputs'!$B$31)</f>
        <v>2385882.35294118</v>
      </c>
      <c r="L23" s="22" t="n">
        <f aca="false">IF(MAX(0,$A23-'1. Inputs'!$C$25-'1. Inputs'!$B$30+1)&lt;=0,0,'1. Inputs'!$B$25*('1. Inputs'!$B$5-'5. Diagnosing a miss'!$B$21)*MAX(0,$A23-'1. Inputs'!$C$25-'1. Inputs'!$B$30+1)^'1. Inputs'!$B$7/('1. Inputs'!$B$6^'1. Inputs'!$B$7+MAX(0,$A23-'1. Inputs'!$C$25-'1. Inputs'!$B$30+1)^'1. Inputs'!$B$7)*('1. Inputs'!$B$9+'1. Inputs'!$B$10*MAX(0,$A23-'1. Inputs'!$C$25-'1. Inputs'!$B$30+1)/(MAX(0,$A23-'1. Inputs'!$C$25-'1. Inputs'!$B$30+1)+'1. Inputs'!$B$11))*'1. Inputs'!$B$13*(1+'1. Inputs'!$B$14*MIN(MAX(0,$A23-'1. Inputs'!$C$25-'1. Inputs'!$B$30+1),'1. Inputs'!$B$15))*'1. Inputs'!$B$31)</f>
        <v>2079116.02209945</v>
      </c>
      <c r="M23" s="22" t="n">
        <f aca="false">IF(MAX(0,$A23-'1. Inputs'!$C$26-'1. Inputs'!$B$30+1)&lt;=0,0,'1. Inputs'!$B$26*('1. Inputs'!$B$5-'5. Diagnosing a miss'!$B$21)*MAX(0,$A23-'1. Inputs'!$C$26-'1. Inputs'!$B$30+1)^'1. Inputs'!$B$7/('1. Inputs'!$B$6^'1. Inputs'!$B$7+MAX(0,$A23-'1. Inputs'!$C$26-'1. Inputs'!$B$30+1)^'1. Inputs'!$B$7)*('1. Inputs'!$B$9+'1. Inputs'!$B$10*MAX(0,$A23-'1. Inputs'!$C$26-'1. Inputs'!$B$30+1)/(MAX(0,$A23-'1. Inputs'!$C$26-'1. Inputs'!$B$30+1)+'1. Inputs'!$B$11))*'1. Inputs'!$B$13*(1+'1. Inputs'!$B$14*MIN(MAX(0,$A23-'1. Inputs'!$C$26-'1. Inputs'!$B$30+1),'1. Inputs'!$B$15))*'1. Inputs'!$B$31)</f>
        <v>314339.622641509</v>
      </c>
      <c r="N23" s="22" t="n">
        <f aca="false">IF(MAX(0,$A23-'1. Inputs'!$C$27-'1. Inputs'!$B$30+1)&lt;=0,0,'1. Inputs'!$B$27*('1. Inputs'!$B$5-'5. Diagnosing a miss'!$B$21)*MAX(0,$A23-'1. Inputs'!$C$27-'1. Inputs'!$B$30+1)^'1. Inputs'!$B$7/('1. Inputs'!$B$6^'1. Inputs'!$B$7+MAX(0,$A23-'1. Inputs'!$C$27-'1. Inputs'!$B$30+1)^'1. Inputs'!$B$7)*('1. Inputs'!$B$9+'1. Inputs'!$B$10*MAX(0,$A23-'1. Inputs'!$C$27-'1. Inputs'!$B$30+1)/(MAX(0,$A23-'1. Inputs'!$C$27-'1. Inputs'!$B$30+1)+'1. Inputs'!$B$11))*'1. Inputs'!$B$13*(1+'1. Inputs'!$B$14*MIN(MAX(0,$A23-'1. Inputs'!$C$27-'1. Inputs'!$B$30+1),'1. Inputs'!$B$15))*'1. Inputs'!$B$31)</f>
        <v>147646.020618557</v>
      </c>
      <c r="O23" s="22" t="n">
        <f aca="false">SUM(K23:N23)</f>
        <v>4926984.01830069</v>
      </c>
      <c r="P23" s="22" t="n">
        <f aca="false">IF($A23=MAX('1. Inputs'!$B$17,1),'1. Inputs'!$B$3,0)+IF($A23-'1. Inputs'!$B$17&gt;=1,INDEX(O$3:O$86,$A23-'1. Inputs'!$B$17),0)</f>
        <v>199449.6</v>
      </c>
      <c r="Q23" s="22" t="n">
        <f aca="false">Q22*(1-'1. Inputs'!$B$18)+P23</f>
        <v>137330885.92424</v>
      </c>
      <c r="R23" s="22" t="n">
        <f aca="false">Q23*'1. Inputs'!$B$18</f>
        <v>1373308.8592424</v>
      </c>
      <c r="S23" s="22" t="n">
        <f aca="false">S22+O23-R23</f>
        <v>163270936.306158</v>
      </c>
      <c r="T23" s="22" t="n">
        <f aca="false">IF(MAX(0,$A23-'1. Inputs'!$C$24-'1. Inputs'!$B$30+1)&lt;=0,0,'1. Inputs'!$B$24*'1. Inputs'!$B$5*MAX(0,$A23-'1. Inputs'!$C$24-'1. Inputs'!$B$30+1)^'1. Inputs'!$B$7/('1. Inputs'!$B$6^'1. Inputs'!$B$7+MAX(0,$A23-'1. Inputs'!$C$24-'1. Inputs'!$B$30+1)^'1. Inputs'!$B$7)*('1. Inputs'!$B$9+'1. Inputs'!$B$10*MAX(0,$A23-'1. Inputs'!$C$24-'1. Inputs'!$B$30+1)/(MAX(0,$A23-'1. Inputs'!$C$24-'1. Inputs'!$B$30+1)+'1. Inputs'!$B$11))*'1. Inputs'!$B$13*(1+'1. Inputs'!$B$14*MIN(MAX(0,$A23-'1. Inputs'!$C$24-'1. Inputs'!$B$30+1),'1. Inputs'!$B$15))*('1. Inputs'!$B$31*'5. Diagnosing a miss'!$B$22))</f>
        <v>2415705.88235294</v>
      </c>
      <c r="U23" s="22" t="n">
        <f aca="false">IF(MAX(0,$A23-'1. Inputs'!$C$25-'1. Inputs'!$B$30+1)&lt;=0,0,'1. Inputs'!$B$25*'1. Inputs'!$B$5*MAX(0,$A23-'1. Inputs'!$C$25-'1. Inputs'!$B$30+1)^'1. Inputs'!$B$7/('1. Inputs'!$B$6^'1. Inputs'!$B$7+MAX(0,$A23-'1. Inputs'!$C$25-'1. Inputs'!$B$30+1)^'1. Inputs'!$B$7)*('1. Inputs'!$B$9+'1. Inputs'!$B$10*MAX(0,$A23-'1. Inputs'!$C$25-'1. Inputs'!$B$30+1)/(MAX(0,$A23-'1. Inputs'!$C$25-'1. Inputs'!$B$30+1)+'1. Inputs'!$B$11))*'1. Inputs'!$B$13*(1+'1. Inputs'!$B$14*MIN(MAX(0,$A23-'1. Inputs'!$C$25-'1. Inputs'!$B$30+1),'1. Inputs'!$B$15))*('1. Inputs'!$B$31*'5. Diagnosing a miss'!$B$22))</f>
        <v>2105104.97237569</v>
      </c>
      <c r="V23" s="22" t="n">
        <f aca="false">IF(MAX(0,$A23-'1. Inputs'!$C$26-'1. Inputs'!$B$30+1)&lt;=0,0,'1. Inputs'!$B$26*'1. Inputs'!$B$5*MAX(0,$A23-'1. Inputs'!$C$26-'1. Inputs'!$B$30+1)^'1. Inputs'!$B$7/('1. Inputs'!$B$6^'1. Inputs'!$B$7+MAX(0,$A23-'1. Inputs'!$C$26-'1. Inputs'!$B$30+1)^'1. Inputs'!$B$7)*('1. Inputs'!$B$9+'1. Inputs'!$B$10*MAX(0,$A23-'1. Inputs'!$C$26-'1. Inputs'!$B$30+1)/(MAX(0,$A23-'1. Inputs'!$C$26-'1. Inputs'!$B$30+1)+'1. Inputs'!$B$11))*'1. Inputs'!$B$13*(1+'1. Inputs'!$B$14*MIN(MAX(0,$A23-'1. Inputs'!$C$26-'1. Inputs'!$B$30+1),'1. Inputs'!$B$15))*('1. Inputs'!$B$31*'5. Diagnosing a miss'!$B$22))</f>
        <v>318268.867924528</v>
      </c>
      <c r="W23" s="22" t="n">
        <f aca="false">IF(MAX(0,$A23-'1. Inputs'!$C$27-'1. Inputs'!$B$30+1)&lt;=0,0,'1. Inputs'!$B$27*'1. Inputs'!$B$5*MAX(0,$A23-'1. Inputs'!$C$27-'1. Inputs'!$B$30+1)^'1. Inputs'!$B$7/('1. Inputs'!$B$6^'1. Inputs'!$B$7+MAX(0,$A23-'1. Inputs'!$C$27-'1. Inputs'!$B$30+1)^'1. Inputs'!$B$7)*('1. Inputs'!$B$9+'1. Inputs'!$B$10*MAX(0,$A23-'1. Inputs'!$C$27-'1. Inputs'!$B$30+1)/(MAX(0,$A23-'1. Inputs'!$C$27-'1. Inputs'!$B$30+1)+'1. Inputs'!$B$11))*'1. Inputs'!$B$13*(1+'1. Inputs'!$B$14*MIN(MAX(0,$A23-'1. Inputs'!$C$27-'1. Inputs'!$B$30+1),'1. Inputs'!$B$15))*('1. Inputs'!$B$31*'5. Diagnosing a miss'!$B$22))</f>
        <v>149491.595876289</v>
      </c>
      <c r="X23" s="22" t="n">
        <f aca="false">SUM(T23:W23)</f>
        <v>4988571.31852945</v>
      </c>
      <c r="Y23" s="22" t="n">
        <f aca="false">IF($A23=MAX('1. Inputs'!$B$17,1),'1. Inputs'!$B$3,0)+IF($A23-'1. Inputs'!$B$17&gt;=1,INDEX(X$3:X$86,$A23-'1. Inputs'!$B$17),0)</f>
        <v>201942.72</v>
      </c>
      <c r="Z23" s="22" t="n">
        <f aca="false">Z22*(1-'1. Inputs'!$B$18)+Y23</f>
        <v>137334677.159261</v>
      </c>
      <c r="AA23" s="22" t="n">
        <f aca="false">Z23*'1. Inputs'!$B$18</f>
        <v>1373346.77159261</v>
      </c>
      <c r="AB23" s="22" t="n">
        <f aca="false">AB22+X23-AA23</f>
        <v>163616106.619344</v>
      </c>
      <c r="AC23" s="22" t="n">
        <f aca="false">IF(MAX(0,$A23-'1. Inputs'!$C$24-('1. Inputs'!$B$30+'5. Diagnosing a miss'!$B$23)+1)&lt;=0,0,'1. Inputs'!$B$24*'1. Inputs'!$B$5*MAX(0,$A23-'1. Inputs'!$C$24-('1. Inputs'!$B$30+'5. Diagnosing a miss'!$B$23)+1)^'1. Inputs'!$B$7/('1. Inputs'!$B$6^'1. Inputs'!$B$7+MAX(0,$A23-'1. Inputs'!$C$24-('1. Inputs'!$B$30+'5. Diagnosing a miss'!$B$23)+1)^'1. Inputs'!$B$7)*('1. Inputs'!$B$9+'1. Inputs'!$B$10*MAX(0,$A23-'1. Inputs'!$C$24-('1. Inputs'!$B$30+'5. Diagnosing a miss'!$B$23)+1)/(MAX(0,$A23-'1. Inputs'!$C$24-('1. Inputs'!$B$30+'5. Diagnosing a miss'!$B$23)+1)+'1. Inputs'!$B$11))*'1. Inputs'!$B$13*(1+'1. Inputs'!$B$14*MIN(MAX(0,$A23-'1. Inputs'!$C$24-('1. Inputs'!$B$30+'5. Diagnosing a miss'!$B$23)+1),'1. Inputs'!$B$15))*'1. Inputs'!$B$31)</f>
        <v>2159861.76</v>
      </c>
      <c r="AD23" s="22" t="n">
        <f aca="false">IF(MAX(0,$A23-'1. Inputs'!$C$25-('1. Inputs'!$B$30+'5. Diagnosing a miss'!$B$23)+1)&lt;=0,0,'1. Inputs'!$B$25*'1. Inputs'!$B$5*MAX(0,$A23-'1. Inputs'!$C$25-('1. Inputs'!$B$30+'5. Diagnosing a miss'!$B$23)+1)^'1. Inputs'!$B$7/('1. Inputs'!$B$6^'1. Inputs'!$B$7+MAX(0,$A23-'1. Inputs'!$C$25-('1. Inputs'!$B$30+'5. Diagnosing a miss'!$B$23)+1)^'1. Inputs'!$B$7)*('1. Inputs'!$B$9+'1. Inputs'!$B$10*MAX(0,$A23-'1. Inputs'!$C$25-('1. Inputs'!$B$30+'5. Diagnosing a miss'!$B$23)+1)/(MAX(0,$A23-'1. Inputs'!$C$25-('1. Inputs'!$B$30+'5. Diagnosing a miss'!$B$23)+1)+'1. Inputs'!$B$11))*'1. Inputs'!$B$13*(1+'1. Inputs'!$B$14*MIN(MAX(0,$A23-'1. Inputs'!$C$25-('1. Inputs'!$B$30+'5. Diagnosing a miss'!$B$23)+1),'1. Inputs'!$B$15))*'1. Inputs'!$B$31)</f>
        <v>1425996.72426036</v>
      </c>
      <c r="AE23" s="22" t="n">
        <f aca="false">IF(MAX(0,$A23-'1. Inputs'!$C$26-('1. Inputs'!$B$30+'5. Diagnosing a miss'!$B$23)+1)&lt;=0,0,'1. Inputs'!$B$26*'1. Inputs'!$B$5*MAX(0,$A23-'1. Inputs'!$C$26-('1. Inputs'!$B$30+'5. Diagnosing a miss'!$B$23)+1)^'1. Inputs'!$B$7/('1. Inputs'!$B$6^'1. Inputs'!$B$7+MAX(0,$A23-'1. Inputs'!$C$26-('1. Inputs'!$B$30+'5. Diagnosing a miss'!$B$23)+1)^'1. Inputs'!$B$7)*('1. Inputs'!$B$9+'1. Inputs'!$B$10*MAX(0,$A23-'1. Inputs'!$C$26-('1. Inputs'!$B$30+'5. Diagnosing a miss'!$B$23)+1)/(MAX(0,$A23-'1. Inputs'!$C$26-('1. Inputs'!$B$30+'5. Diagnosing a miss'!$B$23)+1)+'1. Inputs'!$B$11))*'1. Inputs'!$B$13*(1+'1. Inputs'!$B$14*MIN(MAX(0,$A23-'1. Inputs'!$C$26-('1. Inputs'!$B$30+'5. Diagnosing a miss'!$B$23)+1),'1. Inputs'!$B$15))*'1. Inputs'!$B$31)</f>
        <v>56115.9529411765</v>
      </c>
      <c r="AF23" s="22" t="n">
        <f aca="false">IF(MAX(0,$A23-'1. Inputs'!$C$27-('1. Inputs'!$B$30+'5. Diagnosing a miss'!$B$23)+1)&lt;=0,0,'1. Inputs'!$B$27*'1. Inputs'!$B$5*MAX(0,$A23-'1. Inputs'!$C$27-('1. Inputs'!$B$30+'5. Diagnosing a miss'!$B$23)+1)^'1. Inputs'!$B$7/('1. Inputs'!$B$6^'1. Inputs'!$B$7+MAX(0,$A23-'1. Inputs'!$C$27-('1. Inputs'!$B$30+'5. Diagnosing a miss'!$B$23)+1)^'1. Inputs'!$B$7)*('1. Inputs'!$B$9+'1. Inputs'!$B$10*MAX(0,$A23-'1. Inputs'!$C$27-('1. Inputs'!$B$30+'5. Diagnosing a miss'!$B$23)+1)/(MAX(0,$A23-'1. Inputs'!$C$27-('1. Inputs'!$B$30+'5. Diagnosing a miss'!$B$23)+1)+'1. Inputs'!$B$11))*'1. Inputs'!$B$13*(1+'1. Inputs'!$B$14*MIN(MAX(0,$A23-'1. Inputs'!$C$27-('1. Inputs'!$B$30+'5. Diagnosing a miss'!$B$23)+1),'1. Inputs'!$B$15))*'1. Inputs'!$B$31)</f>
        <v>9180</v>
      </c>
      <c r="AG23" s="22" t="n">
        <f aca="false">SUM(AC23:AF23)</f>
        <v>3651154.43720153</v>
      </c>
      <c r="AH23" s="22" t="n">
        <f aca="false">IF($A23=MAX('1. Inputs'!$B$17,1),'1. Inputs'!$B$3,0)+IF($A23-'1. Inputs'!$B$17&gt;=1,INDEX(AG$3:AG$86,$A23-'1. Inputs'!$B$17),0)</f>
        <v>0</v>
      </c>
      <c r="AI23" s="22" t="n">
        <f aca="false">AI22*(1-'1. Inputs'!$B$18)+AH23</f>
        <v>137027587.122546</v>
      </c>
      <c r="AJ23" s="22" t="n">
        <f aca="false">AI23*'1. Inputs'!$B$18</f>
        <v>1370275.87122546</v>
      </c>
      <c r="AK23" s="22" t="n">
        <f aca="false">AK22+AG23-AJ23</f>
        <v>152036767.46185</v>
      </c>
    </row>
    <row r="24" customFormat="false" ht="15" hidden="false" customHeight="false" outlineLevel="0" collapsed="false">
      <c r="A24" s="7" t="n">
        <v>22</v>
      </c>
      <c r="B24" s="22" t="n">
        <f aca="false">IF(MAX(0,$A24-'1. Inputs'!$C$24-'1. Inputs'!$B$30+1)&lt;=0,0,'1. Inputs'!$B$24*'1. Inputs'!$B$5*MAX(0,$A24-'1. Inputs'!$C$24-'1. Inputs'!$B$30+1)^'1. Inputs'!$B$7/('1. Inputs'!$B$6^'1. Inputs'!$B$7+MAX(0,$A24-'1. Inputs'!$C$24-'1. Inputs'!$B$30+1)^'1. Inputs'!$B$7)*('1. Inputs'!$B$9+'1. Inputs'!$B$10*MAX(0,$A24-'1. Inputs'!$C$24-'1. Inputs'!$B$30+1)/(MAX(0,$A24-'1. Inputs'!$C$24-'1. Inputs'!$B$30+1)+'1. Inputs'!$B$11))*'1. Inputs'!$B$13*(1+'1. Inputs'!$B$14*MIN(MAX(0,$A24-'1. Inputs'!$C$24-'1. Inputs'!$B$30+1),'1. Inputs'!$B$15))*'1. Inputs'!$B$31)</f>
        <v>2839293.72106825</v>
      </c>
      <c r="C24" s="22" t="n">
        <f aca="false">IF(MAX(0,$A24-'1. Inputs'!$C$25-'1. Inputs'!$B$30+1)&lt;=0,0,'1. Inputs'!$B$25*'1. Inputs'!$B$5*MAX(0,$A24-'1. Inputs'!$C$25-'1. Inputs'!$B$30+1)^'1. Inputs'!$B$7/('1. Inputs'!$B$6^'1. Inputs'!$B$7+MAX(0,$A24-'1. Inputs'!$C$25-'1. Inputs'!$B$30+1)^'1. Inputs'!$B$7)*('1. Inputs'!$B$9+'1. Inputs'!$B$10*MAX(0,$A24-'1. Inputs'!$C$25-'1. Inputs'!$B$30+1)/(MAX(0,$A24-'1. Inputs'!$C$25-'1. Inputs'!$B$30+1)+'1. Inputs'!$B$11))*'1. Inputs'!$B$13*(1+'1. Inputs'!$B$14*MIN(MAX(0,$A24-'1. Inputs'!$C$25-'1. Inputs'!$B$30+1),'1. Inputs'!$B$15))*'1. Inputs'!$B$31)</f>
        <v>2617232.95981363</v>
      </c>
      <c r="D24" s="22" t="n">
        <f aca="false">IF(MAX(0,$A24-'1. Inputs'!$C$26-'1. Inputs'!$B$30+1)&lt;=0,0,'1. Inputs'!$B$26*'1. Inputs'!$B$5*MAX(0,$A24-'1. Inputs'!$C$26-'1. Inputs'!$B$30+1)^'1. Inputs'!$B$7/('1. Inputs'!$B$6^'1. Inputs'!$B$7+MAX(0,$A24-'1. Inputs'!$C$26-'1. Inputs'!$B$30+1)^'1. Inputs'!$B$7)*('1. Inputs'!$B$9+'1. Inputs'!$B$10*MAX(0,$A24-'1. Inputs'!$C$26-'1. Inputs'!$B$30+1)/(MAX(0,$A24-'1. Inputs'!$C$26-'1. Inputs'!$B$30+1)+'1. Inputs'!$B$11))*'1. Inputs'!$B$13*(1+'1. Inputs'!$B$14*MIN(MAX(0,$A24-'1. Inputs'!$C$26-'1. Inputs'!$B$30+1),'1. Inputs'!$B$15))*'1. Inputs'!$B$31)</f>
        <v>486321.230769231</v>
      </c>
      <c r="E24" s="22" t="n">
        <f aca="false">IF(MAX(0,$A24-'1. Inputs'!$C$27-'1. Inputs'!$B$30+1)&lt;=0,0,'1. Inputs'!$B$27*'1. Inputs'!$B$5*MAX(0,$A24-'1. Inputs'!$C$27-'1. Inputs'!$B$30+1)^'1. Inputs'!$B$7/('1. Inputs'!$B$6^'1. Inputs'!$B$7+MAX(0,$A24-'1. Inputs'!$C$27-'1. Inputs'!$B$30+1)^'1. Inputs'!$B$7)*('1. Inputs'!$B$9+'1. Inputs'!$B$10*MAX(0,$A24-'1. Inputs'!$C$27-'1. Inputs'!$B$30+1)/(MAX(0,$A24-'1. Inputs'!$C$27-'1. Inputs'!$B$30+1)+'1. Inputs'!$B$11))*'1. Inputs'!$B$13*(1+'1. Inputs'!$B$14*MIN(MAX(0,$A24-'1. Inputs'!$C$27-'1. Inputs'!$B$30+1),'1. Inputs'!$B$15))*'1. Inputs'!$B$31)</f>
        <v>252594.339622642</v>
      </c>
      <c r="F24" s="22" t="n">
        <f aca="false">SUM(B24:E24)</f>
        <v>6195442.25127375</v>
      </c>
      <c r="G24" s="22" t="n">
        <f aca="false">IF($A24=MAX('1. Inputs'!$B$17,1),'1. Inputs'!$B$3,0)+IF($A24-'1. Inputs'!$B$17&gt;=1,INDEX(F$3:F$86,$A24-'1. Inputs'!$B$17),0)</f>
        <v>398644.255670103</v>
      </c>
      <c r="H24" s="22" t="n">
        <f aca="false">H23*(1-'1. Inputs'!$B$18)+G24</f>
        <v>136393754.547378</v>
      </c>
      <c r="I24" s="22" t="n">
        <f aca="false">H24*'1. Inputs'!$B$18</f>
        <v>1363937.54547378</v>
      </c>
      <c r="J24" s="22" t="n">
        <f aca="false">J23+F24-I24</f>
        <v>171554144.143813</v>
      </c>
      <c r="K24" s="22" t="n">
        <f aca="false">IF(MAX(0,$A24-'1. Inputs'!$C$24-'1. Inputs'!$B$30+1)&lt;=0,0,'1. Inputs'!$B$24*('1. Inputs'!$B$5-'5. Diagnosing a miss'!$B$21)*MAX(0,$A24-'1. Inputs'!$C$24-'1. Inputs'!$B$30+1)^'1. Inputs'!$B$7/('1. Inputs'!$B$6^'1. Inputs'!$B$7+MAX(0,$A24-'1. Inputs'!$C$24-'1. Inputs'!$B$30+1)^'1. Inputs'!$B$7)*('1. Inputs'!$B$9+'1. Inputs'!$B$10*MAX(0,$A24-'1. Inputs'!$C$24-'1. Inputs'!$B$30+1)/(MAX(0,$A24-'1. Inputs'!$C$24-'1. Inputs'!$B$30+1)+'1. Inputs'!$B$11))*'1. Inputs'!$B$13*(1+'1. Inputs'!$B$14*MIN(MAX(0,$A24-'1. Inputs'!$C$24-'1. Inputs'!$B$30+1),'1. Inputs'!$B$15))*'1. Inputs'!$B$31)</f>
        <v>2523816.64094956</v>
      </c>
      <c r="L24" s="22" t="n">
        <f aca="false">IF(MAX(0,$A24-'1. Inputs'!$C$25-'1. Inputs'!$B$30+1)&lt;=0,0,'1. Inputs'!$B$25*('1. Inputs'!$B$5-'5. Diagnosing a miss'!$B$21)*MAX(0,$A24-'1. Inputs'!$C$25-'1. Inputs'!$B$30+1)^'1. Inputs'!$B$7/('1. Inputs'!$B$6^'1. Inputs'!$B$7+MAX(0,$A24-'1. Inputs'!$C$25-'1. Inputs'!$B$30+1)^'1. Inputs'!$B$7)*('1. Inputs'!$B$9+'1. Inputs'!$B$10*MAX(0,$A24-'1. Inputs'!$C$25-'1. Inputs'!$B$30+1)/(MAX(0,$A24-'1. Inputs'!$C$25-'1. Inputs'!$B$30+1)+'1. Inputs'!$B$11))*'1. Inputs'!$B$13*(1+'1. Inputs'!$B$14*MIN(MAX(0,$A24-'1. Inputs'!$C$25-'1. Inputs'!$B$30+1),'1. Inputs'!$B$15))*'1. Inputs'!$B$31)</f>
        <v>2326429.29761211</v>
      </c>
      <c r="M24" s="22" t="n">
        <f aca="false">IF(MAX(0,$A24-'1. Inputs'!$C$26-'1. Inputs'!$B$30+1)&lt;=0,0,'1. Inputs'!$B$26*('1. Inputs'!$B$5-'5. Diagnosing a miss'!$B$21)*MAX(0,$A24-'1. Inputs'!$C$26-'1. Inputs'!$B$30+1)^'1. Inputs'!$B$7/('1. Inputs'!$B$6^'1. Inputs'!$B$7+MAX(0,$A24-'1. Inputs'!$C$26-'1. Inputs'!$B$30+1)^'1. Inputs'!$B$7)*('1. Inputs'!$B$9+'1. Inputs'!$B$10*MAX(0,$A24-'1. Inputs'!$C$26-'1. Inputs'!$B$30+1)/(MAX(0,$A24-'1. Inputs'!$C$26-'1. Inputs'!$B$30+1)+'1. Inputs'!$B$11))*'1. Inputs'!$B$13*(1+'1. Inputs'!$B$14*MIN(MAX(0,$A24-'1. Inputs'!$C$26-'1. Inputs'!$B$30+1),'1. Inputs'!$B$15))*'1. Inputs'!$B$31)</f>
        <v>432285.538461539</v>
      </c>
      <c r="N24" s="22" t="n">
        <f aca="false">IF(MAX(0,$A24-'1. Inputs'!$C$27-'1. Inputs'!$B$30+1)&lt;=0,0,'1. Inputs'!$B$27*('1. Inputs'!$B$5-'5. Diagnosing a miss'!$B$21)*MAX(0,$A24-'1. Inputs'!$C$27-'1. Inputs'!$B$30+1)^'1. Inputs'!$B$7/('1. Inputs'!$B$6^'1. Inputs'!$B$7+MAX(0,$A24-'1. Inputs'!$C$27-'1. Inputs'!$B$30+1)^'1. Inputs'!$B$7)*('1. Inputs'!$B$9+'1. Inputs'!$B$10*MAX(0,$A24-'1. Inputs'!$C$27-'1. Inputs'!$B$30+1)/(MAX(0,$A24-'1. Inputs'!$C$27-'1. Inputs'!$B$30+1)+'1. Inputs'!$B$11))*'1. Inputs'!$B$13*(1+'1. Inputs'!$B$14*MIN(MAX(0,$A24-'1. Inputs'!$C$27-'1. Inputs'!$B$30+1),'1. Inputs'!$B$15))*'1. Inputs'!$B$31)</f>
        <v>224528.301886792</v>
      </c>
      <c r="O24" s="22" t="n">
        <f aca="false">SUM(K24:N24)</f>
        <v>5507059.77891</v>
      </c>
      <c r="P24" s="22" t="n">
        <f aca="false">IF($A24=MAX('1. Inputs'!$B$17,1),'1. Inputs'!$B$3,0)+IF($A24-'1. Inputs'!$B$17&gt;=1,INDEX(O$3:O$86,$A24-'1. Inputs'!$B$17),0)</f>
        <v>354350.449484536</v>
      </c>
      <c r="Q24" s="22" t="n">
        <f aca="false">Q23*(1-'1. Inputs'!$B$18)+P24</f>
        <v>136311927.514482</v>
      </c>
      <c r="R24" s="22" t="n">
        <f aca="false">Q24*'1. Inputs'!$B$18</f>
        <v>1363119.27514482</v>
      </c>
      <c r="S24" s="22" t="n">
        <f aca="false">S23+O24-R24</f>
        <v>167414876.809923</v>
      </c>
      <c r="T24" s="22" t="n">
        <f aca="false">IF(MAX(0,$A24-'1. Inputs'!$C$24-'1. Inputs'!$B$30+1)&lt;=0,0,'1. Inputs'!$B$24*'1. Inputs'!$B$5*MAX(0,$A24-'1. Inputs'!$C$24-'1. Inputs'!$B$30+1)^'1. Inputs'!$B$7/('1. Inputs'!$B$6^'1. Inputs'!$B$7+MAX(0,$A24-'1. Inputs'!$C$24-'1. Inputs'!$B$30+1)^'1. Inputs'!$B$7)*('1. Inputs'!$B$9+'1. Inputs'!$B$10*MAX(0,$A24-'1. Inputs'!$C$24-'1. Inputs'!$B$30+1)/(MAX(0,$A24-'1. Inputs'!$C$24-'1. Inputs'!$B$30+1)+'1. Inputs'!$B$11))*'1. Inputs'!$B$13*(1+'1. Inputs'!$B$14*MIN(MAX(0,$A24-'1. Inputs'!$C$24-'1. Inputs'!$B$30+1),'1. Inputs'!$B$15))*('1. Inputs'!$B$31*'5. Diagnosing a miss'!$B$22))</f>
        <v>2555364.34896142</v>
      </c>
      <c r="U24" s="22" t="n">
        <f aca="false">IF(MAX(0,$A24-'1. Inputs'!$C$25-'1. Inputs'!$B$30+1)&lt;=0,0,'1. Inputs'!$B$25*'1. Inputs'!$B$5*MAX(0,$A24-'1. Inputs'!$C$25-'1. Inputs'!$B$30+1)^'1. Inputs'!$B$7/('1. Inputs'!$B$6^'1. Inputs'!$B$7+MAX(0,$A24-'1. Inputs'!$C$25-'1. Inputs'!$B$30+1)^'1. Inputs'!$B$7)*('1. Inputs'!$B$9+'1. Inputs'!$B$10*MAX(0,$A24-'1. Inputs'!$C$25-'1. Inputs'!$B$30+1)/(MAX(0,$A24-'1. Inputs'!$C$25-'1. Inputs'!$B$30+1)+'1. Inputs'!$B$11))*'1. Inputs'!$B$13*(1+'1. Inputs'!$B$14*MIN(MAX(0,$A24-'1. Inputs'!$C$25-'1. Inputs'!$B$30+1),'1. Inputs'!$B$15))*('1. Inputs'!$B$31*'5. Diagnosing a miss'!$B$22))</f>
        <v>2355509.66383227</v>
      </c>
      <c r="V24" s="22" t="n">
        <f aca="false">IF(MAX(0,$A24-'1. Inputs'!$C$26-'1. Inputs'!$B$30+1)&lt;=0,0,'1. Inputs'!$B$26*'1. Inputs'!$B$5*MAX(0,$A24-'1. Inputs'!$C$26-'1. Inputs'!$B$30+1)^'1. Inputs'!$B$7/('1. Inputs'!$B$6^'1. Inputs'!$B$7+MAX(0,$A24-'1. Inputs'!$C$26-'1. Inputs'!$B$30+1)^'1. Inputs'!$B$7)*('1. Inputs'!$B$9+'1. Inputs'!$B$10*MAX(0,$A24-'1. Inputs'!$C$26-'1. Inputs'!$B$30+1)/(MAX(0,$A24-'1. Inputs'!$C$26-'1. Inputs'!$B$30+1)+'1. Inputs'!$B$11))*'1. Inputs'!$B$13*(1+'1. Inputs'!$B$14*MIN(MAX(0,$A24-'1. Inputs'!$C$26-'1. Inputs'!$B$30+1),'1. Inputs'!$B$15))*('1. Inputs'!$B$31*'5. Diagnosing a miss'!$B$22))</f>
        <v>437689.107692308</v>
      </c>
      <c r="W24" s="22" t="n">
        <f aca="false">IF(MAX(0,$A24-'1. Inputs'!$C$27-'1. Inputs'!$B$30+1)&lt;=0,0,'1. Inputs'!$B$27*'1. Inputs'!$B$5*MAX(0,$A24-'1. Inputs'!$C$27-'1. Inputs'!$B$30+1)^'1. Inputs'!$B$7/('1. Inputs'!$B$6^'1. Inputs'!$B$7+MAX(0,$A24-'1. Inputs'!$C$27-'1. Inputs'!$B$30+1)^'1. Inputs'!$B$7)*('1. Inputs'!$B$9+'1. Inputs'!$B$10*MAX(0,$A24-'1. Inputs'!$C$27-'1. Inputs'!$B$30+1)/(MAX(0,$A24-'1. Inputs'!$C$27-'1. Inputs'!$B$30+1)+'1. Inputs'!$B$11))*'1. Inputs'!$B$13*(1+'1. Inputs'!$B$14*MIN(MAX(0,$A24-'1. Inputs'!$C$27-'1. Inputs'!$B$30+1),'1. Inputs'!$B$15))*('1. Inputs'!$B$31*'5. Diagnosing a miss'!$B$22))</f>
        <v>227334.905660377</v>
      </c>
      <c r="X24" s="22" t="n">
        <f aca="false">SUM(T24:W24)</f>
        <v>5575898.02614638</v>
      </c>
      <c r="Y24" s="22" t="n">
        <f aca="false">IF($A24=MAX('1. Inputs'!$B$17,1),'1. Inputs'!$B$3,0)+IF($A24-'1. Inputs'!$B$17&gt;=1,INDEX(X$3:X$86,$A24-'1. Inputs'!$B$17),0)</f>
        <v>358779.830103093</v>
      </c>
      <c r="Z24" s="22" t="n">
        <f aca="false">Z23*(1-'1. Inputs'!$B$18)+Y24</f>
        <v>136320110.217772</v>
      </c>
      <c r="AA24" s="22" t="n">
        <f aca="false">Z24*'1. Inputs'!$B$18</f>
        <v>1363201.10217772</v>
      </c>
      <c r="AB24" s="22" t="n">
        <f aca="false">AB23+X24-AA24</f>
        <v>167828803.543312</v>
      </c>
      <c r="AC24" s="22" t="n">
        <f aca="false">IF(MAX(0,$A24-'1. Inputs'!$C$24-('1. Inputs'!$B$30+'5. Diagnosing a miss'!$B$23)+1)&lt;=0,0,'1. Inputs'!$B$24*'1. Inputs'!$B$5*MAX(0,$A24-'1. Inputs'!$C$24-('1. Inputs'!$B$30+'5. Diagnosing a miss'!$B$23)+1)^'1. Inputs'!$B$7/('1. Inputs'!$B$6^'1. Inputs'!$B$7+MAX(0,$A24-'1. Inputs'!$C$24-('1. Inputs'!$B$30+'5. Diagnosing a miss'!$B$23)+1)^'1. Inputs'!$B$7)*('1. Inputs'!$B$9+'1. Inputs'!$B$10*MAX(0,$A24-'1. Inputs'!$C$24-('1. Inputs'!$B$30+'5. Diagnosing a miss'!$B$23)+1)/(MAX(0,$A24-'1. Inputs'!$C$24-('1. Inputs'!$B$30+'5. Diagnosing a miss'!$B$23)+1)+'1. Inputs'!$B$11))*'1. Inputs'!$B$13*(1+'1. Inputs'!$B$14*MIN(MAX(0,$A24-'1. Inputs'!$C$24-('1. Inputs'!$B$30+'5. Diagnosing a miss'!$B$23)+1),'1. Inputs'!$B$15))*'1. Inputs'!$B$31)</f>
        <v>2345262.88168421</v>
      </c>
      <c r="AD24" s="22" t="n">
        <f aca="false">IF(MAX(0,$A24-'1. Inputs'!$C$25-('1. Inputs'!$B$30+'5. Diagnosing a miss'!$B$23)+1)&lt;=0,0,'1. Inputs'!$B$25*'1. Inputs'!$B$5*MAX(0,$A24-'1. Inputs'!$C$25-('1. Inputs'!$B$30+'5. Diagnosing a miss'!$B$23)+1)^'1. Inputs'!$B$7/('1. Inputs'!$B$6^'1. Inputs'!$B$7+MAX(0,$A24-'1. Inputs'!$C$25-('1. Inputs'!$B$30+'5. Diagnosing a miss'!$B$23)+1)^'1. Inputs'!$B$7)*('1. Inputs'!$B$9+'1. Inputs'!$B$10*MAX(0,$A24-'1. Inputs'!$C$25-('1. Inputs'!$B$30+'5. Diagnosing a miss'!$B$23)+1)/(MAX(0,$A24-'1. Inputs'!$C$25-('1. Inputs'!$B$30+'5. Diagnosing a miss'!$B$23)+1)+'1. Inputs'!$B$11))*'1. Inputs'!$B$13*(1+'1. Inputs'!$B$14*MIN(MAX(0,$A24-'1. Inputs'!$C$25-('1. Inputs'!$B$30+'5. Diagnosing a miss'!$B$23)+1),'1. Inputs'!$B$15))*'1. Inputs'!$B$31)</f>
        <v>1739980.8</v>
      </c>
      <c r="AE24" s="22" t="n">
        <f aca="false">IF(MAX(0,$A24-'1. Inputs'!$C$26-('1. Inputs'!$B$30+'5. Diagnosing a miss'!$B$23)+1)&lt;=0,0,'1. Inputs'!$B$26*'1. Inputs'!$B$5*MAX(0,$A24-'1. Inputs'!$C$26-('1. Inputs'!$B$30+'5. Diagnosing a miss'!$B$23)+1)^'1. Inputs'!$B$7/('1. Inputs'!$B$6^'1. Inputs'!$B$7+MAX(0,$A24-'1. Inputs'!$C$26-('1. Inputs'!$B$30+'5. Diagnosing a miss'!$B$23)+1)^'1. Inputs'!$B$7)*('1. Inputs'!$B$9+'1. Inputs'!$B$10*MAX(0,$A24-'1. Inputs'!$C$26-('1. Inputs'!$B$30+'5. Diagnosing a miss'!$B$23)+1)/(MAX(0,$A24-'1. Inputs'!$C$26-('1. Inputs'!$B$30+'5. Diagnosing a miss'!$B$23)+1)+'1. Inputs'!$B$11))*'1. Inputs'!$B$13*(1+'1. Inputs'!$B$14*MIN(MAX(0,$A24-'1. Inputs'!$C$26-('1. Inputs'!$B$30+'5. Diagnosing a miss'!$B$23)+1),'1. Inputs'!$B$15))*'1. Inputs'!$B$31)</f>
        <v>130888.8</v>
      </c>
      <c r="AF24" s="22" t="n">
        <f aca="false">IF(MAX(0,$A24-'1. Inputs'!$C$27-('1. Inputs'!$B$30+'5. Diagnosing a miss'!$B$23)+1)&lt;=0,0,'1. Inputs'!$B$27*'1. Inputs'!$B$5*MAX(0,$A24-'1. Inputs'!$C$27-('1. Inputs'!$B$30+'5. Diagnosing a miss'!$B$23)+1)^'1. Inputs'!$B$7/('1. Inputs'!$B$6^'1. Inputs'!$B$7+MAX(0,$A24-'1. Inputs'!$C$27-('1. Inputs'!$B$30+'5. Diagnosing a miss'!$B$23)+1)^'1. Inputs'!$B$7)*('1. Inputs'!$B$9+'1. Inputs'!$B$10*MAX(0,$A24-'1. Inputs'!$C$27-('1. Inputs'!$B$30+'5. Diagnosing a miss'!$B$23)+1)/(MAX(0,$A24-'1. Inputs'!$C$27-('1. Inputs'!$B$30+'5. Diagnosing a miss'!$B$23)+1)+'1. Inputs'!$B$11))*'1. Inputs'!$B$13*(1+'1. Inputs'!$B$14*MIN(MAX(0,$A24-'1. Inputs'!$C$27-('1. Inputs'!$B$30+'5. Diagnosing a miss'!$B$23)+1),'1. Inputs'!$B$15))*'1. Inputs'!$B$31)</f>
        <v>40082.8235294118</v>
      </c>
      <c r="AG24" s="22" t="n">
        <f aca="false">SUM(AC24:AF24)</f>
        <v>4256215.30521362</v>
      </c>
      <c r="AH24" s="22" t="n">
        <f aca="false">IF($A24=MAX('1. Inputs'!$B$17,1),'1. Inputs'!$B$3,0)+IF($A24-'1. Inputs'!$B$17&gt;=1,INDEX(AG$3:AG$86,$A24-'1. Inputs'!$B$17),0)</f>
        <v>22032</v>
      </c>
      <c r="AI24" s="22" t="n">
        <f aca="false">AI23*(1-'1. Inputs'!$B$18)+AH24</f>
        <v>135679343.251321</v>
      </c>
      <c r="AJ24" s="22" t="n">
        <f aca="false">AI24*'1. Inputs'!$B$18</f>
        <v>1356793.43251321</v>
      </c>
      <c r="AK24" s="22" t="n">
        <f aca="false">AK23+AG24-AJ24</f>
        <v>154936189.33455</v>
      </c>
    </row>
    <row r="25" customFormat="false" ht="15" hidden="false" customHeight="false" outlineLevel="0" collapsed="false">
      <c r="A25" s="7" t="n">
        <v>23</v>
      </c>
      <c r="B25" s="22" t="n">
        <f aca="false">IF(MAX(0,$A25-'1. Inputs'!$C$24-'1. Inputs'!$B$30+1)&lt;=0,0,'1. Inputs'!$B$24*'1. Inputs'!$B$5*MAX(0,$A25-'1. Inputs'!$C$24-'1. Inputs'!$B$30+1)^'1. Inputs'!$B$7/('1. Inputs'!$B$6^'1. Inputs'!$B$7+MAX(0,$A25-'1. Inputs'!$C$24-'1. Inputs'!$B$30+1)^'1. Inputs'!$B$7)*('1. Inputs'!$B$9+'1. Inputs'!$B$10*MAX(0,$A25-'1. Inputs'!$C$24-'1. Inputs'!$B$30+1)/(MAX(0,$A25-'1. Inputs'!$C$24-'1. Inputs'!$B$30+1)+'1. Inputs'!$B$11))*'1. Inputs'!$B$13*(1+'1. Inputs'!$B$14*MIN(MAX(0,$A25-'1. Inputs'!$C$24-'1. Inputs'!$B$30+1),'1. Inputs'!$B$15))*'1. Inputs'!$B$31)</f>
        <v>2986170.50622797</v>
      </c>
      <c r="C25" s="22" t="n">
        <f aca="false">IF(MAX(0,$A25-'1. Inputs'!$C$25-'1. Inputs'!$B$30+1)&lt;=0,0,'1. Inputs'!$B$25*'1. Inputs'!$B$5*MAX(0,$A25-'1. Inputs'!$C$25-'1. Inputs'!$B$30+1)^'1. Inputs'!$B$7/('1. Inputs'!$B$6^'1. Inputs'!$B$7+MAX(0,$A25-'1. Inputs'!$C$25-'1. Inputs'!$B$30+1)^'1. Inputs'!$B$7)*('1. Inputs'!$B$9+'1. Inputs'!$B$10*MAX(0,$A25-'1. Inputs'!$C$25-'1. Inputs'!$B$30+1)/(MAX(0,$A25-'1. Inputs'!$C$25-'1. Inputs'!$B$30+1)+'1. Inputs'!$B$11))*'1. Inputs'!$B$13*(1+'1. Inputs'!$B$14*MIN(MAX(0,$A25-'1. Inputs'!$C$25-'1. Inputs'!$B$30+1),'1. Inputs'!$B$15))*'1. Inputs'!$B$31)</f>
        <v>2879815.68</v>
      </c>
      <c r="D25" s="22" t="n">
        <f aca="false">IF(MAX(0,$A25-'1. Inputs'!$C$26-'1. Inputs'!$B$30+1)&lt;=0,0,'1. Inputs'!$B$26*'1. Inputs'!$B$5*MAX(0,$A25-'1. Inputs'!$C$26-'1. Inputs'!$B$30+1)^'1. Inputs'!$B$7/('1. Inputs'!$B$6^'1. Inputs'!$B$7+MAX(0,$A25-'1. Inputs'!$C$26-'1. Inputs'!$B$30+1)^'1. Inputs'!$B$7)*('1. Inputs'!$B$9+'1. Inputs'!$B$10*MAX(0,$A25-'1. Inputs'!$C$26-'1. Inputs'!$B$30+1)/(MAX(0,$A25-'1. Inputs'!$C$26-'1. Inputs'!$B$30+1)+'1. Inputs'!$B$11))*'1. Inputs'!$B$13*(1+'1. Inputs'!$B$14*MIN(MAX(0,$A25-'1. Inputs'!$C$26-'1. Inputs'!$B$30+1),'1. Inputs'!$B$15))*'1. Inputs'!$B$31)</f>
        <v>623873.566863905</v>
      </c>
      <c r="E25" s="22" t="n">
        <f aca="false">IF(MAX(0,$A25-'1. Inputs'!$C$27-'1. Inputs'!$B$30+1)&lt;=0,0,'1. Inputs'!$B$27*'1. Inputs'!$B$5*MAX(0,$A25-'1. Inputs'!$C$27-'1. Inputs'!$B$30+1)^'1. Inputs'!$B$7/('1. Inputs'!$B$6^'1. Inputs'!$B$7+MAX(0,$A25-'1. Inputs'!$C$27-'1. Inputs'!$B$30+1)^'1. Inputs'!$B$7)*('1. Inputs'!$B$9+'1. Inputs'!$B$10*MAX(0,$A25-'1. Inputs'!$C$27-'1. Inputs'!$B$30+1)/(MAX(0,$A25-'1. Inputs'!$C$27-'1. Inputs'!$B$30+1)+'1. Inputs'!$B$11))*'1. Inputs'!$B$13*(1+'1. Inputs'!$B$14*MIN(MAX(0,$A25-'1. Inputs'!$C$27-'1. Inputs'!$B$30+1),'1. Inputs'!$B$15))*'1. Inputs'!$B$31)</f>
        <v>347372.307692308</v>
      </c>
      <c r="F25" s="22" t="n">
        <f aca="false">SUM(B25:E25)</f>
        <v>6837232.06078418</v>
      </c>
      <c r="G25" s="22" t="n">
        <f aca="false">IF($A25=MAX('1. Inputs'!$B$17,1),'1. Inputs'!$B$3,0)+IF($A25-'1. Inputs'!$B$17&gt;=1,INDEX(F$3:F$86,$A25-'1. Inputs'!$B$17),0)</f>
        <v>606226.41509434</v>
      </c>
      <c r="H25" s="22" t="n">
        <f aca="false">H24*(1-'1. Inputs'!$B$18)+G25</f>
        <v>135636043.416998</v>
      </c>
      <c r="I25" s="22" t="n">
        <f aca="false">H25*'1. Inputs'!$B$18</f>
        <v>1356360.43416998</v>
      </c>
      <c r="J25" s="22" t="n">
        <f aca="false">J24+F25-I25</f>
        <v>177035015.770427</v>
      </c>
      <c r="K25" s="22" t="n">
        <f aca="false">IF(MAX(0,$A25-'1. Inputs'!$C$24-'1. Inputs'!$B$30+1)&lt;=0,0,'1. Inputs'!$B$24*('1. Inputs'!$B$5-'5. Diagnosing a miss'!$B$21)*MAX(0,$A25-'1. Inputs'!$C$24-'1. Inputs'!$B$30+1)^'1. Inputs'!$B$7/('1. Inputs'!$B$6^'1. Inputs'!$B$7+MAX(0,$A25-'1. Inputs'!$C$24-'1. Inputs'!$B$30+1)^'1. Inputs'!$B$7)*('1. Inputs'!$B$9+'1. Inputs'!$B$10*MAX(0,$A25-'1. Inputs'!$C$24-'1. Inputs'!$B$30+1)/(MAX(0,$A25-'1. Inputs'!$C$24-'1. Inputs'!$B$30+1)+'1. Inputs'!$B$11))*'1. Inputs'!$B$13*(1+'1. Inputs'!$B$14*MIN(MAX(0,$A25-'1. Inputs'!$C$24-'1. Inputs'!$B$30+1),'1. Inputs'!$B$15))*'1. Inputs'!$B$31)</f>
        <v>2654373.78331375</v>
      </c>
      <c r="L25" s="22" t="n">
        <f aca="false">IF(MAX(0,$A25-'1. Inputs'!$C$25-'1. Inputs'!$B$30+1)&lt;=0,0,'1. Inputs'!$B$25*('1. Inputs'!$B$5-'5. Diagnosing a miss'!$B$21)*MAX(0,$A25-'1. Inputs'!$C$25-'1. Inputs'!$B$30+1)^'1. Inputs'!$B$7/('1. Inputs'!$B$6^'1. Inputs'!$B$7+MAX(0,$A25-'1. Inputs'!$C$25-'1. Inputs'!$B$30+1)^'1. Inputs'!$B$7)*('1. Inputs'!$B$9+'1. Inputs'!$B$10*MAX(0,$A25-'1. Inputs'!$C$25-'1. Inputs'!$B$30+1)/(MAX(0,$A25-'1. Inputs'!$C$25-'1. Inputs'!$B$30+1)+'1. Inputs'!$B$11))*'1. Inputs'!$B$13*(1+'1. Inputs'!$B$14*MIN(MAX(0,$A25-'1. Inputs'!$C$25-'1. Inputs'!$B$30+1),'1. Inputs'!$B$15))*'1. Inputs'!$B$31)</f>
        <v>2559836.16</v>
      </c>
      <c r="M25" s="22" t="n">
        <f aca="false">IF(MAX(0,$A25-'1. Inputs'!$C$26-'1. Inputs'!$B$30+1)&lt;=0,0,'1. Inputs'!$B$26*('1. Inputs'!$B$5-'5. Diagnosing a miss'!$B$21)*MAX(0,$A25-'1. Inputs'!$C$26-'1. Inputs'!$B$30+1)^'1. Inputs'!$B$7/('1. Inputs'!$B$6^'1. Inputs'!$B$7+MAX(0,$A25-'1. Inputs'!$C$26-'1. Inputs'!$B$30+1)^'1. Inputs'!$B$7)*('1. Inputs'!$B$9+'1. Inputs'!$B$10*MAX(0,$A25-'1. Inputs'!$C$26-'1. Inputs'!$B$30+1)/(MAX(0,$A25-'1. Inputs'!$C$26-'1. Inputs'!$B$30+1)+'1. Inputs'!$B$11))*'1. Inputs'!$B$13*(1+'1. Inputs'!$B$14*MIN(MAX(0,$A25-'1. Inputs'!$C$26-'1. Inputs'!$B$30+1),'1. Inputs'!$B$15))*'1. Inputs'!$B$31)</f>
        <v>554554.281656805</v>
      </c>
      <c r="N25" s="22" t="n">
        <f aca="false">IF(MAX(0,$A25-'1. Inputs'!$C$27-'1. Inputs'!$B$30+1)&lt;=0,0,'1. Inputs'!$B$27*('1. Inputs'!$B$5-'5. Diagnosing a miss'!$B$21)*MAX(0,$A25-'1. Inputs'!$C$27-'1. Inputs'!$B$30+1)^'1. Inputs'!$B$7/('1. Inputs'!$B$6^'1. Inputs'!$B$7+MAX(0,$A25-'1. Inputs'!$C$27-'1. Inputs'!$B$30+1)^'1. Inputs'!$B$7)*('1. Inputs'!$B$9+'1. Inputs'!$B$10*MAX(0,$A25-'1. Inputs'!$C$27-'1. Inputs'!$B$30+1)/(MAX(0,$A25-'1. Inputs'!$C$27-'1. Inputs'!$B$30+1)+'1. Inputs'!$B$11))*'1. Inputs'!$B$13*(1+'1. Inputs'!$B$14*MIN(MAX(0,$A25-'1. Inputs'!$C$27-'1. Inputs'!$B$30+1),'1. Inputs'!$B$15))*'1. Inputs'!$B$31)</f>
        <v>308775.384615385</v>
      </c>
      <c r="O25" s="22" t="n">
        <f aca="false">SUM(K25:N25)</f>
        <v>6077539.60958594</v>
      </c>
      <c r="P25" s="22" t="n">
        <f aca="false">IF($A25=MAX('1. Inputs'!$B$17,1),'1. Inputs'!$B$3,0)+IF($A25-'1. Inputs'!$B$17&gt;=1,INDEX(O$3:O$86,$A25-'1. Inputs'!$B$17),0)</f>
        <v>538867.924528302</v>
      </c>
      <c r="Q25" s="22" t="n">
        <f aca="false">Q24*(1-'1. Inputs'!$B$18)+P25</f>
        <v>135487676.163866</v>
      </c>
      <c r="R25" s="22" t="n">
        <f aca="false">Q25*'1. Inputs'!$B$18</f>
        <v>1354876.76163866</v>
      </c>
      <c r="S25" s="22" t="n">
        <f aca="false">S24+O25-R25</f>
        <v>172137539.657871</v>
      </c>
      <c r="T25" s="22" t="n">
        <f aca="false">IF(MAX(0,$A25-'1. Inputs'!$C$24-'1. Inputs'!$B$30+1)&lt;=0,0,'1. Inputs'!$B$24*'1. Inputs'!$B$5*MAX(0,$A25-'1. Inputs'!$C$24-'1. Inputs'!$B$30+1)^'1. Inputs'!$B$7/('1. Inputs'!$B$6^'1. Inputs'!$B$7+MAX(0,$A25-'1. Inputs'!$C$24-'1. Inputs'!$B$30+1)^'1. Inputs'!$B$7)*('1. Inputs'!$B$9+'1. Inputs'!$B$10*MAX(0,$A25-'1. Inputs'!$C$24-'1. Inputs'!$B$30+1)/(MAX(0,$A25-'1. Inputs'!$C$24-'1. Inputs'!$B$30+1)+'1. Inputs'!$B$11))*'1. Inputs'!$B$13*(1+'1. Inputs'!$B$14*MIN(MAX(0,$A25-'1. Inputs'!$C$24-'1. Inputs'!$B$30+1),'1. Inputs'!$B$15))*('1. Inputs'!$B$31*'5. Diagnosing a miss'!$B$22))</f>
        <v>2687553.45560517</v>
      </c>
      <c r="U25" s="22" t="n">
        <f aca="false">IF(MAX(0,$A25-'1. Inputs'!$C$25-'1. Inputs'!$B$30+1)&lt;=0,0,'1. Inputs'!$B$25*'1. Inputs'!$B$5*MAX(0,$A25-'1. Inputs'!$C$25-'1. Inputs'!$B$30+1)^'1. Inputs'!$B$7/('1. Inputs'!$B$6^'1. Inputs'!$B$7+MAX(0,$A25-'1. Inputs'!$C$25-'1. Inputs'!$B$30+1)^'1. Inputs'!$B$7)*('1. Inputs'!$B$9+'1. Inputs'!$B$10*MAX(0,$A25-'1. Inputs'!$C$25-'1. Inputs'!$B$30+1)/(MAX(0,$A25-'1. Inputs'!$C$25-'1. Inputs'!$B$30+1)+'1. Inputs'!$B$11))*'1. Inputs'!$B$13*(1+'1. Inputs'!$B$14*MIN(MAX(0,$A25-'1. Inputs'!$C$25-'1. Inputs'!$B$30+1),'1. Inputs'!$B$15))*('1. Inputs'!$B$31*'5. Diagnosing a miss'!$B$22))</f>
        <v>2591834.112</v>
      </c>
      <c r="V25" s="22" t="n">
        <f aca="false">IF(MAX(0,$A25-'1. Inputs'!$C$26-'1. Inputs'!$B$30+1)&lt;=0,0,'1. Inputs'!$B$26*'1. Inputs'!$B$5*MAX(0,$A25-'1. Inputs'!$C$26-'1. Inputs'!$B$30+1)^'1. Inputs'!$B$7/('1. Inputs'!$B$6^'1. Inputs'!$B$7+MAX(0,$A25-'1. Inputs'!$C$26-'1. Inputs'!$B$30+1)^'1. Inputs'!$B$7)*('1. Inputs'!$B$9+'1. Inputs'!$B$10*MAX(0,$A25-'1. Inputs'!$C$26-'1. Inputs'!$B$30+1)/(MAX(0,$A25-'1. Inputs'!$C$26-'1. Inputs'!$B$30+1)+'1. Inputs'!$B$11))*'1. Inputs'!$B$13*(1+'1. Inputs'!$B$14*MIN(MAX(0,$A25-'1. Inputs'!$C$26-'1. Inputs'!$B$30+1),'1. Inputs'!$B$15))*('1. Inputs'!$B$31*'5. Diagnosing a miss'!$B$22))</f>
        <v>561486.210177515</v>
      </c>
      <c r="W25" s="22" t="n">
        <f aca="false">IF(MAX(0,$A25-'1. Inputs'!$C$27-'1. Inputs'!$B$30+1)&lt;=0,0,'1. Inputs'!$B$27*'1. Inputs'!$B$5*MAX(0,$A25-'1. Inputs'!$C$27-'1. Inputs'!$B$30+1)^'1. Inputs'!$B$7/('1. Inputs'!$B$6^'1. Inputs'!$B$7+MAX(0,$A25-'1. Inputs'!$C$27-'1. Inputs'!$B$30+1)^'1. Inputs'!$B$7)*('1. Inputs'!$B$9+'1. Inputs'!$B$10*MAX(0,$A25-'1. Inputs'!$C$27-'1. Inputs'!$B$30+1)/(MAX(0,$A25-'1. Inputs'!$C$27-'1. Inputs'!$B$30+1)+'1. Inputs'!$B$11))*'1. Inputs'!$B$13*(1+'1. Inputs'!$B$14*MIN(MAX(0,$A25-'1. Inputs'!$C$27-'1. Inputs'!$B$30+1),'1. Inputs'!$B$15))*('1. Inputs'!$B$31*'5. Diagnosing a miss'!$B$22))</f>
        <v>312635.076923077</v>
      </c>
      <c r="X25" s="22" t="n">
        <f aca="false">SUM(T25:W25)</f>
        <v>6153508.85470576</v>
      </c>
      <c r="Y25" s="22" t="n">
        <f aca="false">IF($A25=MAX('1. Inputs'!$B$17,1),'1. Inputs'!$B$3,0)+IF($A25-'1. Inputs'!$B$17&gt;=1,INDEX(X$3:X$86,$A25-'1. Inputs'!$B$17),0)</f>
        <v>545603.773584906</v>
      </c>
      <c r="Z25" s="22" t="n">
        <f aca="false">Z24*(1-'1. Inputs'!$B$18)+Y25</f>
        <v>135502512.889179</v>
      </c>
      <c r="AA25" s="22" t="n">
        <f aca="false">Z25*'1. Inputs'!$B$18</f>
        <v>1355025.12889179</v>
      </c>
      <c r="AB25" s="22" t="n">
        <f aca="false">AB24+X25-AA25</f>
        <v>172627287.269126</v>
      </c>
      <c r="AC25" s="22" t="n">
        <f aca="false">IF(MAX(0,$A25-'1. Inputs'!$C$24-('1. Inputs'!$B$30+'5. Diagnosing a miss'!$B$23)+1)&lt;=0,0,'1. Inputs'!$B$24*'1. Inputs'!$B$5*MAX(0,$A25-'1. Inputs'!$C$24-('1. Inputs'!$B$30+'5. Diagnosing a miss'!$B$23)+1)^'1. Inputs'!$B$7/('1. Inputs'!$B$6^'1. Inputs'!$B$7+MAX(0,$A25-'1. Inputs'!$C$24-('1. Inputs'!$B$30+'5. Diagnosing a miss'!$B$23)+1)^'1. Inputs'!$B$7)*('1. Inputs'!$B$9+'1. Inputs'!$B$10*MAX(0,$A25-'1. Inputs'!$C$24-('1. Inputs'!$B$30+'5. Diagnosing a miss'!$B$23)+1)/(MAX(0,$A25-'1. Inputs'!$C$24-('1. Inputs'!$B$30+'5. Diagnosing a miss'!$B$23)+1)+'1. Inputs'!$B$11))*'1. Inputs'!$B$13*(1+'1. Inputs'!$B$14*MIN(MAX(0,$A25-'1. Inputs'!$C$24-('1. Inputs'!$B$30+'5. Diagnosing a miss'!$B$23)+1),'1. Inputs'!$B$15))*'1. Inputs'!$B$31)</f>
        <v>2519740.90397112</v>
      </c>
      <c r="AD25" s="22" t="n">
        <f aca="false">IF(MAX(0,$A25-'1. Inputs'!$C$25-('1. Inputs'!$B$30+'5. Diagnosing a miss'!$B$23)+1)&lt;=0,0,'1. Inputs'!$B$25*'1. Inputs'!$B$5*MAX(0,$A25-'1. Inputs'!$C$25-('1. Inputs'!$B$30+'5. Diagnosing a miss'!$B$23)+1)^'1. Inputs'!$B$7/('1. Inputs'!$B$6^'1. Inputs'!$B$7+MAX(0,$A25-'1. Inputs'!$C$25-('1. Inputs'!$B$30+'5. Diagnosing a miss'!$B$23)+1)^'1. Inputs'!$B$7)*('1. Inputs'!$B$9+'1. Inputs'!$B$10*MAX(0,$A25-'1. Inputs'!$C$25-('1. Inputs'!$B$30+'5. Diagnosing a miss'!$B$23)+1)/(MAX(0,$A25-'1. Inputs'!$C$25-('1. Inputs'!$B$30+'5. Diagnosing a miss'!$B$23)+1)+'1. Inputs'!$B$11))*'1. Inputs'!$B$13*(1+'1. Inputs'!$B$14*MIN(MAX(0,$A25-'1. Inputs'!$C$25-('1. Inputs'!$B$30+'5. Diagnosing a miss'!$B$23)+1),'1. Inputs'!$B$15))*'1. Inputs'!$B$31)</f>
        <v>2045836.8</v>
      </c>
      <c r="AE25" s="22" t="n">
        <f aca="false">IF(MAX(0,$A25-'1. Inputs'!$C$26-('1. Inputs'!$B$30+'5. Diagnosing a miss'!$B$23)+1)&lt;=0,0,'1. Inputs'!$B$26*'1. Inputs'!$B$5*MAX(0,$A25-'1. Inputs'!$C$26-('1. Inputs'!$B$30+'5. Diagnosing a miss'!$B$23)+1)^'1. Inputs'!$B$7/('1. Inputs'!$B$6^'1. Inputs'!$B$7+MAX(0,$A25-'1. Inputs'!$C$26-('1. Inputs'!$B$30+'5. Diagnosing a miss'!$B$23)+1)^'1. Inputs'!$B$7)*('1. Inputs'!$B$9+'1. Inputs'!$B$10*MAX(0,$A25-'1. Inputs'!$C$26-('1. Inputs'!$B$30+'5. Diagnosing a miss'!$B$23)+1)/(MAX(0,$A25-'1. Inputs'!$C$26-('1. Inputs'!$B$30+'5. Diagnosing a miss'!$B$23)+1)+'1. Inputs'!$B$11))*'1. Inputs'!$B$13*(1+'1. Inputs'!$B$14*MIN(MAX(0,$A25-'1. Inputs'!$C$26-('1. Inputs'!$B$30+'5. Diagnosing a miss'!$B$23)+1),'1. Inputs'!$B$15))*'1. Inputs'!$B$31)</f>
        <v>232542.482474227</v>
      </c>
      <c r="AF25" s="22" t="n">
        <f aca="false">IF(MAX(0,$A25-'1. Inputs'!$C$27-('1. Inputs'!$B$30+'5. Diagnosing a miss'!$B$23)+1)&lt;=0,0,'1. Inputs'!$B$27*'1. Inputs'!$B$5*MAX(0,$A25-'1. Inputs'!$C$27-('1. Inputs'!$B$30+'5. Diagnosing a miss'!$B$23)+1)^'1. Inputs'!$B$7/('1. Inputs'!$B$6^'1. Inputs'!$B$7+MAX(0,$A25-'1. Inputs'!$C$27-('1. Inputs'!$B$30+'5. Diagnosing a miss'!$B$23)+1)^'1. Inputs'!$B$7)*('1. Inputs'!$B$9+'1. Inputs'!$B$10*MAX(0,$A25-'1. Inputs'!$C$27-('1. Inputs'!$B$30+'5. Diagnosing a miss'!$B$23)+1)/(MAX(0,$A25-'1. Inputs'!$C$27-('1. Inputs'!$B$30+'5. Diagnosing a miss'!$B$23)+1)+'1. Inputs'!$B$11))*'1. Inputs'!$B$13*(1+'1. Inputs'!$B$14*MIN(MAX(0,$A25-'1. Inputs'!$C$27-('1. Inputs'!$B$30+'5. Diagnosing a miss'!$B$23)+1),'1. Inputs'!$B$15))*'1. Inputs'!$B$31)</f>
        <v>93492</v>
      </c>
      <c r="AG25" s="22" t="n">
        <f aca="false">SUM(AC25:AF25)</f>
        <v>4891612.18644535</v>
      </c>
      <c r="AH25" s="22" t="n">
        <f aca="false">IF($A25=MAX('1. Inputs'!$B$17,1),'1. Inputs'!$B$3,0)+IF($A25-'1. Inputs'!$B$17&gt;=1,INDEX(AG$3:AG$86,$A25-'1. Inputs'!$B$17),0)</f>
        <v>96198.7764705882</v>
      </c>
      <c r="AI25" s="22" t="n">
        <f aca="false">AI24*(1-'1. Inputs'!$B$18)+AH25</f>
        <v>134418748.595278</v>
      </c>
      <c r="AJ25" s="22" t="n">
        <f aca="false">AI25*'1. Inputs'!$B$18</f>
        <v>1344187.48595278</v>
      </c>
      <c r="AK25" s="22" t="n">
        <f aca="false">AK24+AG25-AJ25</f>
        <v>158483614.035043</v>
      </c>
    </row>
    <row r="26" customFormat="false" ht="15" hidden="false" customHeight="false" outlineLevel="0" collapsed="false">
      <c r="A26" s="7" t="n">
        <v>24</v>
      </c>
      <c r="B26" s="22" t="n">
        <f aca="false">IF(MAX(0,$A26-'1. Inputs'!$C$24-'1. Inputs'!$B$30+1)&lt;=0,0,'1. Inputs'!$B$24*'1. Inputs'!$B$5*MAX(0,$A26-'1. Inputs'!$C$24-'1. Inputs'!$B$30+1)^'1. Inputs'!$B$7/('1. Inputs'!$B$6^'1. Inputs'!$B$7+MAX(0,$A26-'1. Inputs'!$C$24-'1. Inputs'!$B$30+1)^'1. Inputs'!$B$7)*('1. Inputs'!$B$9+'1. Inputs'!$B$10*MAX(0,$A26-'1. Inputs'!$C$24-'1. Inputs'!$B$30+1)/(MAX(0,$A26-'1. Inputs'!$C$24-'1. Inputs'!$B$30+1)+'1. Inputs'!$B$11))*'1. Inputs'!$B$13*(1+'1. Inputs'!$B$14*MIN(MAX(0,$A26-'1. Inputs'!$C$24-'1. Inputs'!$B$30+1),'1. Inputs'!$B$15))*'1. Inputs'!$B$31)</f>
        <v>3125606.4</v>
      </c>
      <c r="C26" s="22" t="n">
        <f aca="false">IF(MAX(0,$A26-'1. Inputs'!$C$25-'1. Inputs'!$B$30+1)&lt;=0,0,'1. Inputs'!$B$25*'1. Inputs'!$B$5*MAX(0,$A26-'1. Inputs'!$C$25-'1. Inputs'!$B$30+1)^'1. Inputs'!$B$7/('1. Inputs'!$B$6^'1. Inputs'!$B$7+MAX(0,$A26-'1. Inputs'!$C$25-'1. Inputs'!$B$30+1)^'1. Inputs'!$B$7)*('1. Inputs'!$B$9+'1. Inputs'!$B$10*MAX(0,$A26-'1. Inputs'!$C$25-'1. Inputs'!$B$30+1)/(MAX(0,$A26-'1. Inputs'!$C$25-'1. Inputs'!$B$30+1)+'1. Inputs'!$B$11))*'1. Inputs'!$B$13*(1+'1. Inputs'!$B$14*MIN(MAX(0,$A26-'1. Inputs'!$C$25-'1. Inputs'!$B$30+1),'1. Inputs'!$B$15))*'1. Inputs'!$B$31)</f>
        <v>3127017.17557895</v>
      </c>
      <c r="D26" s="22" t="n">
        <f aca="false">IF(MAX(0,$A26-'1. Inputs'!$C$26-'1. Inputs'!$B$30+1)&lt;=0,0,'1. Inputs'!$B$26*'1. Inputs'!$B$5*MAX(0,$A26-'1. Inputs'!$C$26-'1. Inputs'!$B$30+1)^'1. Inputs'!$B$7/('1. Inputs'!$B$6^'1. Inputs'!$B$7+MAX(0,$A26-'1. Inputs'!$C$26-'1. Inputs'!$B$30+1)^'1. Inputs'!$B$7)*('1. Inputs'!$B$9+'1. Inputs'!$B$10*MAX(0,$A26-'1. Inputs'!$C$26-'1. Inputs'!$B$30+1)/(MAX(0,$A26-'1. Inputs'!$C$26-'1. Inputs'!$B$30+1)+'1. Inputs'!$B$11))*'1. Inputs'!$B$13*(1+'1. Inputs'!$B$14*MIN(MAX(0,$A26-'1. Inputs'!$C$26-'1. Inputs'!$B$30+1),'1. Inputs'!$B$15))*'1. Inputs'!$B$31)</f>
        <v>761241.6</v>
      </c>
      <c r="E26" s="22" t="n">
        <f aca="false">IF(MAX(0,$A26-'1. Inputs'!$C$27-'1. Inputs'!$B$30+1)&lt;=0,0,'1. Inputs'!$B$27*'1. Inputs'!$B$5*MAX(0,$A26-'1. Inputs'!$C$27-'1. Inputs'!$B$30+1)^'1. Inputs'!$B$7/('1. Inputs'!$B$6^'1. Inputs'!$B$7+MAX(0,$A26-'1. Inputs'!$C$27-'1. Inputs'!$B$30+1)^'1. Inputs'!$B$7)*('1. Inputs'!$B$9+'1. Inputs'!$B$10*MAX(0,$A26-'1. Inputs'!$C$27-'1. Inputs'!$B$30+1)/(MAX(0,$A26-'1. Inputs'!$C$27-'1. Inputs'!$B$30+1)+'1. Inputs'!$B$11))*'1. Inputs'!$B$13*(1+'1. Inputs'!$B$14*MIN(MAX(0,$A26-'1. Inputs'!$C$27-'1. Inputs'!$B$30+1),'1. Inputs'!$B$15))*'1. Inputs'!$B$31)</f>
        <v>445623.976331361</v>
      </c>
      <c r="F26" s="22" t="n">
        <f aca="false">SUM(B26:E26)</f>
        <v>7459489.15191031</v>
      </c>
      <c r="G26" s="22" t="n">
        <f aca="false">IF($A26=MAX('1. Inputs'!$B$17,1),'1. Inputs'!$B$3,0)+IF($A26-'1. Inputs'!$B$17&gt;=1,INDEX(F$3:F$86,$A26-'1. Inputs'!$B$17),0)</f>
        <v>863069.538461539</v>
      </c>
      <c r="H26" s="22" t="n">
        <f aca="false">H25*(1-'1. Inputs'!$B$18)+G26</f>
        <v>135142752.52129</v>
      </c>
      <c r="I26" s="22" t="n">
        <f aca="false">H26*'1. Inputs'!$B$18</f>
        <v>1351427.5252129</v>
      </c>
      <c r="J26" s="22" t="n">
        <f aca="false">J25+F26-I26</f>
        <v>183143077.397125</v>
      </c>
      <c r="K26" s="22" t="n">
        <f aca="false">IF(MAX(0,$A26-'1. Inputs'!$C$24-'1. Inputs'!$B$30+1)&lt;=0,0,'1. Inputs'!$B$24*('1. Inputs'!$B$5-'5. Diagnosing a miss'!$B$21)*MAX(0,$A26-'1. Inputs'!$C$24-'1. Inputs'!$B$30+1)^'1. Inputs'!$B$7/('1. Inputs'!$B$6^'1. Inputs'!$B$7+MAX(0,$A26-'1. Inputs'!$C$24-'1. Inputs'!$B$30+1)^'1. Inputs'!$B$7)*('1. Inputs'!$B$9+'1. Inputs'!$B$10*MAX(0,$A26-'1. Inputs'!$C$24-'1. Inputs'!$B$30+1)/(MAX(0,$A26-'1. Inputs'!$C$24-'1. Inputs'!$B$30+1)+'1. Inputs'!$B$11))*'1. Inputs'!$B$13*(1+'1. Inputs'!$B$14*MIN(MAX(0,$A26-'1. Inputs'!$C$24-'1. Inputs'!$B$30+1),'1. Inputs'!$B$15))*'1. Inputs'!$B$31)</f>
        <v>2778316.8</v>
      </c>
      <c r="L26" s="22" t="n">
        <f aca="false">IF(MAX(0,$A26-'1. Inputs'!$C$25-'1. Inputs'!$B$30+1)&lt;=0,0,'1. Inputs'!$B$25*('1. Inputs'!$B$5-'5. Diagnosing a miss'!$B$21)*MAX(0,$A26-'1. Inputs'!$C$25-'1. Inputs'!$B$30+1)^'1. Inputs'!$B$7/('1. Inputs'!$B$6^'1. Inputs'!$B$7+MAX(0,$A26-'1. Inputs'!$C$25-'1. Inputs'!$B$30+1)^'1. Inputs'!$B$7)*('1. Inputs'!$B$9+'1. Inputs'!$B$10*MAX(0,$A26-'1. Inputs'!$C$25-'1. Inputs'!$B$30+1)/(MAX(0,$A26-'1. Inputs'!$C$25-'1. Inputs'!$B$30+1)+'1. Inputs'!$B$11))*'1. Inputs'!$B$13*(1+'1. Inputs'!$B$14*MIN(MAX(0,$A26-'1. Inputs'!$C$25-'1. Inputs'!$B$30+1),'1. Inputs'!$B$15))*'1. Inputs'!$B$31)</f>
        <v>2779570.82273684</v>
      </c>
      <c r="M26" s="22" t="n">
        <f aca="false">IF(MAX(0,$A26-'1. Inputs'!$C$26-'1. Inputs'!$B$30+1)&lt;=0,0,'1. Inputs'!$B$26*('1. Inputs'!$B$5-'5. Diagnosing a miss'!$B$21)*MAX(0,$A26-'1. Inputs'!$C$26-'1. Inputs'!$B$30+1)^'1. Inputs'!$B$7/('1. Inputs'!$B$6^'1. Inputs'!$B$7+MAX(0,$A26-'1. Inputs'!$C$26-'1. Inputs'!$B$30+1)^'1. Inputs'!$B$7)*('1. Inputs'!$B$9+'1. Inputs'!$B$10*MAX(0,$A26-'1. Inputs'!$C$26-'1. Inputs'!$B$30+1)/(MAX(0,$A26-'1. Inputs'!$C$26-'1. Inputs'!$B$30+1)+'1. Inputs'!$B$11))*'1. Inputs'!$B$13*(1+'1. Inputs'!$B$14*MIN(MAX(0,$A26-'1. Inputs'!$C$26-'1. Inputs'!$B$30+1),'1. Inputs'!$B$15))*'1. Inputs'!$B$31)</f>
        <v>676659.2</v>
      </c>
      <c r="N26" s="22" t="n">
        <f aca="false">IF(MAX(0,$A26-'1. Inputs'!$C$27-'1. Inputs'!$B$30+1)&lt;=0,0,'1. Inputs'!$B$27*('1. Inputs'!$B$5-'5. Diagnosing a miss'!$B$21)*MAX(0,$A26-'1. Inputs'!$C$27-'1. Inputs'!$B$30+1)^'1. Inputs'!$B$7/('1. Inputs'!$B$6^'1. Inputs'!$B$7+MAX(0,$A26-'1. Inputs'!$C$27-'1. Inputs'!$B$30+1)^'1. Inputs'!$B$7)*('1. Inputs'!$B$9+'1. Inputs'!$B$10*MAX(0,$A26-'1. Inputs'!$C$27-'1. Inputs'!$B$30+1)/(MAX(0,$A26-'1. Inputs'!$C$27-'1. Inputs'!$B$30+1)+'1. Inputs'!$B$11))*'1. Inputs'!$B$13*(1+'1. Inputs'!$B$14*MIN(MAX(0,$A26-'1. Inputs'!$C$27-'1. Inputs'!$B$30+1),'1. Inputs'!$B$15))*'1. Inputs'!$B$31)</f>
        <v>396110.201183432</v>
      </c>
      <c r="O26" s="22" t="n">
        <f aca="false">SUM(K26:N26)</f>
        <v>6630657.02392027</v>
      </c>
      <c r="P26" s="22" t="n">
        <f aca="false">IF($A26=MAX('1. Inputs'!$B$17,1),'1. Inputs'!$B$3,0)+IF($A26-'1. Inputs'!$B$17&gt;=1,INDEX(O$3:O$86,$A26-'1. Inputs'!$B$17),0)</f>
        <v>767172.923076923</v>
      </c>
      <c r="Q26" s="22" t="n">
        <f aca="false">Q25*(1-'1. Inputs'!$B$18)+P26</f>
        <v>134899972.325304</v>
      </c>
      <c r="R26" s="22" t="n">
        <f aca="false">Q26*'1. Inputs'!$B$18</f>
        <v>1348999.72325304</v>
      </c>
      <c r="S26" s="22" t="n">
        <f aca="false">S25+O26-R26</f>
        <v>177419196.958538</v>
      </c>
      <c r="T26" s="22" t="n">
        <f aca="false">IF(MAX(0,$A26-'1. Inputs'!$C$24-'1. Inputs'!$B$30+1)&lt;=0,0,'1. Inputs'!$B$24*'1. Inputs'!$B$5*MAX(0,$A26-'1. Inputs'!$C$24-'1. Inputs'!$B$30+1)^'1. Inputs'!$B$7/('1. Inputs'!$B$6^'1. Inputs'!$B$7+MAX(0,$A26-'1. Inputs'!$C$24-'1. Inputs'!$B$30+1)^'1. Inputs'!$B$7)*('1. Inputs'!$B$9+'1. Inputs'!$B$10*MAX(0,$A26-'1. Inputs'!$C$24-'1. Inputs'!$B$30+1)/(MAX(0,$A26-'1. Inputs'!$C$24-'1. Inputs'!$B$30+1)+'1. Inputs'!$B$11))*'1. Inputs'!$B$13*(1+'1. Inputs'!$B$14*MIN(MAX(0,$A26-'1. Inputs'!$C$24-'1. Inputs'!$B$30+1),'1. Inputs'!$B$15))*('1. Inputs'!$B$31*'5. Diagnosing a miss'!$B$22))</f>
        <v>2813045.76</v>
      </c>
      <c r="U26" s="22" t="n">
        <f aca="false">IF(MAX(0,$A26-'1. Inputs'!$C$25-'1. Inputs'!$B$30+1)&lt;=0,0,'1. Inputs'!$B$25*'1. Inputs'!$B$5*MAX(0,$A26-'1. Inputs'!$C$25-'1. Inputs'!$B$30+1)^'1. Inputs'!$B$7/('1. Inputs'!$B$6^'1. Inputs'!$B$7+MAX(0,$A26-'1. Inputs'!$C$25-'1. Inputs'!$B$30+1)^'1. Inputs'!$B$7)*('1. Inputs'!$B$9+'1. Inputs'!$B$10*MAX(0,$A26-'1. Inputs'!$C$25-'1. Inputs'!$B$30+1)/(MAX(0,$A26-'1. Inputs'!$C$25-'1. Inputs'!$B$30+1)+'1. Inputs'!$B$11))*'1. Inputs'!$B$13*(1+'1. Inputs'!$B$14*MIN(MAX(0,$A26-'1. Inputs'!$C$25-'1. Inputs'!$B$30+1),'1. Inputs'!$B$15))*('1. Inputs'!$B$31*'5. Diagnosing a miss'!$B$22))</f>
        <v>2814315.45802105</v>
      </c>
      <c r="V26" s="22" t="n">
        <f aca="false">IF(MAX(0,$A26-'1. Inputs'!$C$26-'1. Inputs'!$B$30+1)&lt;=0,0,'1. Inputs'!$B$26*'1. Inputs'!$B$5*MAX(0,$A26-'1. Inputs'!$C$26-'1. Inputs'!$B$30+1)^'1. Inputs'!$B$7/('1. Inputs'!$B$6^'1. Inputs'!$B$7+MAX(0,$A26-'1. Inputs'!$C$26-'1. Inputs'!$B$30+1)^'1. Inputs'!$B$7)*('1. Inputs'!$B$9+'1. Inputs'!$B$10*MAX(0,$A26-'1. Inputs'!$C$26-'1. Inputs'!$B$30+1)/(MAX(0,$A26-'1. Inputs'!$C$26-'1. Inputs'!$B$30+1)+'1. Inputs'!$B$11))*'1. Inputs'!$B$13*(1+'1. Inputs'!$B$14*MIN(MAX(0,$A26-'1. Inputs'!$C$26-'1. Inputs'!$B$30+1),'1. Inputs'!$B$15))*('1. Inputs'!$B$31*'5. Diagnosing a miss'!$B$22))</f>
        <v>685117.44</v>
      </c>
      <c r="W26" s="22" t="n">
        <f aca="false">IF(MAX(0,$A26-'1. Inputs'!$C$27-'1. Inputs'!$B$30+1)&lt;=0,0,'1. Inputs'!$B$27*'1. Inputs'!$B$5*MAX(0,$A26-'1. Inputs'!$C$27-'1. Inputs'!$B$30+1)^'1. Inputs'!$B$7/('1. Inputs'!$B$6^'1. Inputs'!$B$7+MAX(0,$A26-'1. Inputs'!$C$27-'1. Inputs'!$B$30+1)^'1. Inputs'!$B$7)*('1. Inputs'!$B$9+'1. Inputs'!$B$10*MAX(0,$A26-'1. Inputs'!$C$27-'1. Inputs'!$B$30+1)/(MAX(0,$A26-'1. Inputs'!$C$27-'1. Inputs'!$B$30+1)+'1. Inputs'!$B$11))*'1. Inputs'!$B$13*(1+'1. Inputs'!$B$14*MIN(MAX(0,$A26-'1. Inputs'!$C$27-'1. Inputs'!$B$30+1),'1. Inputs'!$B$15))*('1. Inputs'!$B$31*'5. Diagnosing a miss'!$B$22))</f>
        <v>401061.578698225</v>
      </c>
      <c r="X26" s="22" t="n">
        <f aca="false">SUM(T26:W26)</f>
        <v>6713540.23671928</v>
      </c>
      <c r="Y26" s="22" t="n">
        <f aca="false">IF($A26=MAX('1. Inputs'!$B$17,1),'1. Inputs'!$B$3,0)+IF($A26-'1. Inputs'!$B$17&gt;=1,INDEX(X$3:X$86,$A26-'1. Inputs'!$B$17),0)</f>
        <v>776762.584615385</v>
      </c>
      <c r="Z26" s="22" t="n">
        <f aca="false">Z25*(1-'1. Inputs'!$B$18)+Y26</f>
        <v>134924250.344903</v>
      </c>
      <c r="AA26" s="22" t="n">
        <f aca="false">Z26*'1. Inputs'!$B$18</f>
        <v>1349242.50344903</v>
      </c>
      <c r="AB26" s="22" t="n">
        <f aca="false">AB25+X26-AA26</f>
        <v>177991585.002397</v>
      </c>
      <c r="AC26" s="22" t="n">
        <f aca="false">IF(MAX(0,$A26-'1. Inputs'!$C$24-('1. Inputs'!$B$30+'5. Diagnosing a miss'!$B$23)+1)&lt;=0,0,'1. Inputs'!$B$24*'1. Inputs'!$B$5*MAX(0,$A26-'1. Inputs'!$C$24-('1. Inputs'!$B$30+'5. Diagnosing a miss'!$B$23)+1)^'1. Inputs'!$B$7/('1. Inputs'!$B$6^'1. Inputs'!$B$7+MAX(0,$A26-'1. Inputs'!$C$24-('1. Inputs'!$B$30+'5. Diagnosing a miss'!$B$23)+1)^'1. Inputs'!$B$7)*('1. Inputs'!$B$9+'1. Inputs'!$B$10*MAX(0,$A26-'1. Inputs'!$C$24-('1. Inputs'!$B$30+'5. Diagnosing a miss'!$B$23)+1)/(MAX(0,$A26-'1. Inputs'!$C$24-('1. Inputs'!$B$30+'5. Diagnosing a miss'!$B$23)+1)+'1. Inputs'!$B$11))*'1. Inputs'!$B$13*(1+'1. Inputs'!$B$14*MIN(MAX(0,$A26-'1. Inputs'!$C$24-('1. Inputs'!$B$30+'5. Diagnosing a miss'!$B$23)+1),'1. Inputs'!$B$15))*'1. Inputs'!$B$31)</f>
        <v>2684117.64705882</v>
      </c>
      <c r="AD26" s="22" t="n">
        <f aca="false">IF(MAX(0,$A26-'1. Inputs'!$C$25-('1. Inputs'!$B$30+'5. Diagnosing a miss'!$B$23)+1)&lt;=0,0,'1. Inputs'!$B$25*'1. Inputs'!$B$5*MAX(0,$A26-'1. Inputs'!$C$25-('1. Inputs'!$B$30+'5. Diagnosing a miss'!$B$23)+1)^'1. Inputs'!$B$7/('1. Inputs'!$B$6^'1. Inputs'!$B$7+MAX(0,$A26-'1. Inputs'!$C$25-('1. Inputs'!$B$30+'5. Diagnosing a miss'!$B$23)+1)^'1. Inputs'!$B$7)*('1. Inputs'!$B$9+'1. Inputs'!$B$10*MAX(0,$A26-'1. Inputs'!$C$25-('1. Inputs'!$B$30+'5. Diagnosing a miss'!$B$23)+1)/(MAX(0,$A26-'1. Inputs'!$C$25-('1. Inputs'!$B$30+'5. Diagnosing a miss'!$B$23)+1)+'1. Inputs'!$B$11))*'1. Inputs'!$B$13*(1+'1. Inputs'!$B$14*MIN(MAX(0,$A26-'1. Inputs'!$C$25-('1. Inputs'!$B$30+'5. Diagnosing a miss'!$B$23)+1),'1. Inputs'!$B$15))*'1. Inputs'!$B$31)</f>
        <v>2339005.52486188</v>
      </c>
      <c r="AE26" s="22" t="n">
        <f aca="false">IF(MAX(0,$A26-'1. Inputs'!$C$26-('1. Inputs'!$B$30+'5. Diagnosing a miss'!$B$23)+1)&lt;=0,0,'1. Inputs'!$B$26*'1. Inputs'!$B$5*MAX(0,$A26-'1. Inputs'!$C$26-('1. Inputs'!$B$30+'5. Diagnosing a miss'!$B$23)+1)^'1. Inputs'!$B$7/('1. Inputs'!$B$6^'1. Inputs'!$B$7+MAX(0,$A26-'1. Inputs'!$C$26-('1. Inputs'!$B$30+'5. Diagnosing a miss'!$B$23)+1)^'1. Inputs'!$B$7)*('1. Inputs'!$B$9+'1. Inputs'!$B$10*MAX(0,$A26-'1. Inputs'!$C$26-('1. Inputs'!$B$30+'5. Diagnosing a miss'!$B$23)+1)/(MAX(0,$A26-'1. Inputs'!$C$26-('1. Inputs'!$B$30+'5. Diagnosing a miss'!$B$23)+1)+'1. Inputs'!$B$11))*'1. Inputs'!$B$13*(1+'1. Inputs'!$B$14*MIN(MAX(0,$A26-'1. Inputs'!$C$26-('1. Inputs'!$B$30+'5. Diagnosing a miss'!$B$23)+1),'1. Inputs'!$B$15))*'1. Inputs'!$B$31)</f>
        <v>353632.075471698</v>
      </c>
      <c r="AF26" s="22" t="n">
        <f aca="false">IF(MAX(0,$A26-'1. Inputs'!$C$27-('1. Inputs'!$B$30+'5. Diagnosing a miss'!$B$23)+1)&lt;=0,0,'1. Inputs'!$B$27*'1. Inputs'!$B$5*MAX(0,$A26-'1. Inputs'!$C$27-('1. Inputs'!$B$30+'5. Diagnosing a miss'!$B$23)+1)^'1. Inputs'!$B$7/('1. Inputs'!$B$6^'1. Inputs'!$B$7+MAX(0,$A26-'1. Inputs'!$C$27-('1. Inputs'!$B$30+'5. Diagnosing a miss'!$B$23)+1)^'1. Inputs'!$B$7)*('1. Inputs'!$B$9+'1. Inputs'!$B$10*MAX(0,$A26-'1. Inputs'!$C$27-('1. Inputs'!$B$30+'5. Diagnosing a miss'!$B$23)+1)/(MAX(0,$A26-'1. Inputs'!$C$27-('1. Inputs'!$B$30+'5. Diagnosing a miss'!$B$23)+1)+'1. Inputs'!$B$11))*'1. Inputs'!$B$13*(1+'1. Inputs'!$B$14*MIN(MAX(0,$A26-'1. Inputs'!$C$27-('1. Inputs'!$B$30+'5. Diagnosing a miss'!$B$23)+1),'1. Inputs'!$B$15))*'1. Inputs'!$B$31)</f>
        <v>166101.773195876</v>
      </c>
      <c r="AG26" s="22" t="n">
        <f aca="false">SUM(AC26:AF26)</f>
        <v>5542857.02058828</v>
      </c>
      <c r="AH26" s="22" t="n">
        <f aca="false">IF($A26=MAX('1. Inputs'!$B$17,1),'1. Inputs'!$B$3,0)+IF($A26-'1. Inputs'!$B$17&gt;=1,INDEX(AG$3:AG$86,$A26-'1. Inputs'!$B$17),0)</f>
        <v>224380.8</v>
      </c>
      <c r="AI26" s="22" t="n">
        <f aca="false">AI25*(1-'1. Inputs'!$B$18)+AH26</f>
        <v>133298941.909325</v>
      </c>
      <c r="AJ26" s="22" t="n">
        <f aca="false">AI26*'1. Inputs'!$B$18</f>
        <v>1332989.41909325</v>
      </c>
      <c r="AK26" s="22" t="n">
        <f aca="false">AK25+AG26-AJ26</f>
        <v>162693481.636538</v>
      </c>
    </row>
    <row r="27" customFormat="false" ht="15" hidden="false" customHeight="false" outlineLevel="0" collapsed="false">
      <c r="A27" s="7" t="n">
        <v>25</v>
      </c>
      <c r="B27" s="22" t="n">
        <f aca="false">IF(MAX(0,$A27-'1. Inputs'!$C$24-'1. Inputs'!$B$30+1)&lt;=0,0,'1. Inputs'!$B$24*'1. Inputs'!$B$5*MAX(0,$A27-'1. Inputs'!$C$24-'1. Inputs'!$B$30+1)^'1. Inputs'!$B$7/('1. Inputs'!$B$6^'1. Inputs'!$B$7+MAX(0,$A27-'1. Inputs'!$C$24-'1. Inputs'!$B$30+1)^'1. Inputs'!$B$7)*('1. Inputs'!$B$9+'1. Inputs'!$B$10*MAX(0,$A27-'1. Inputs'!$C$24-'1. Inputs'!$B$30+1)/(MAX(0,$A27-'1. Inputs'!$C$24-'1. Inputs'!$B$30+1)+'1. Inputs'!$B$11))*'1. Inputs'!$B$13*(1+'1. Inputs'!$B$14*MIN(MAX(0,$A27-'1. Inputs'!$C$24-'1. Inputs'!$B$30+1),'1. Inputs'!$B$15))*'1. Inputs'!$B$31)</f>
        <v>3211171.64307692</v>
      </c>
      <c r="C27" s="22" t="n">
        <f aca="false">IF(MAX(0,$A27-'1. Inputs'!$C$25-'1. Inputs'!$B$30+1)&lt;=0,0,'1. Inputs'!$B$25*'1. Inputs'!$B$5*MAX(0,$A27-'1. Inputs'!$C$25-'1. Inputs'!$B$30+1)^'1. Inputs'!$B$7/('1. Inputs'!$B$6^'1. Inputs'!$B$7+MAX(0,$A27-'1. Inputs'!$C$25-'1. Inputs'!$B$30+1)^'1. Inputs'!$B$7)*('1. Inputs'!$B$9+'1. Inputs'!$B$10*MAX(0,$A27-'1. Inputs'!$C$25-'1. Inputs'!$B$30+1)/(MAX(0,$A27-'1. Inputs'!$C$25-'1. Inputs'!$B$30+1)+'1. Inputs'!$B$11))*'1. Inputs'!$B$13*(1+'1. Inputs'!$B$14*MIN(MAX(0,$A27-'1. Inputs'!$C$25-'1. Inputs'!$B$30+1),'1. Inputs'!$B$15))*'1. Inputs'!$B$31)</f>
        <v>3359654.53862816</v>
      </c>
      <c r="D27" s="22" t="n">
        <f aca="false">IF(MAX(0,$A27-'1. Inputs'!$C$26-'1. Inputs'!$B$30+1)&lt;=0,0,'1. Inputs'!$B$26*'1. Inputs'!$B$5*MAX(0,$A27-'1. Inputs'!$C$26-'1. Inputs'!$B$30+1)^'1. Inputs'!$B$7/('1. Inputs'!$B$6^'1. Inputs'!$B$7+MAX(0,$A27-'1. Inputs'!$C$26-'1. Inputs'!$B$30+1)^'1. Inputs'!$B$7)*('1. Inputs'!$B$9+'1. Inputs'!$B$10*MAX(0,$A27-'1. Inputs'!$C$26-'1. Inputs'!$B$30+1)/(MAX(0,$A27-'1. Inputs'!$C$26-'1. Inputs'!$B$30+1)+'1. Inputs'!$B$11))*'1. Inputs'!$B$13*(1+'1. Inputs'!$B$14*MIN(MAX(0,$A27-'1. Inputs'!$C$26-'1. Inputs'!$B$30+1),'1. Inputs'!$B$15))*'1. Inputs'!$B$31)</f>
        <v>895053.6</v>
      </c>
      <c r="E27" s="22" t="n">
        <f aca="false">IF(MAX(0,$A27-'1. Inputs'!$C$27-'1. Inputs'!$B$30+1)&lt;=0,0,'1. Inputs'!$B$27*'1. Inputs'!$B$5*MAX(0,$A27-'1. Inputs'!$C$27-'1. Inputs'!$B$30+1)^'1. Inputs'!$B$7/('1. Inputs'!$B$6^'1. Inputs'!$B$7+MAX(0,$A27-'1. Inputs'!$C$27-'1. Inputs'!$B$30+1)^'1. Inputs'!$B$7)*('1. Inputs'!$B$9+'1. Inputs'!$B$10*MAX(0,$A27-'1. Inputs'!$C$27-'1. Inputs'!$B$30+1)/(MAX(0,$A27-'1. Inputs'!$C$27-'1. Inputs'!$B$30+1)+'1. Inputs'!$B$11))*'1. Inputs'!$B$13*(1+'1. Inputs'!$B$14*MIN(MAX(0,$A27-'1. Inputs'!$C$27-'1. Inputs'!$B$30+1),'1. Inputs'!$B$15))*'1. Inputs'!$B$31)</f>
        <v>543744</v>
      </c>
      <c r="F27" s="22" t="n">
        <f aca="false">SUM(B27:E27)</f>
        <v>8009623.78170508</v>
      </c>
      <c r="G27" s="22" t="n">
        <f aca="false">IF($A27=MAX('1. Inputs'!$B$17,1),'1. Inputs'!$B$3,0)+IF($A27-'1. Inputs'!$B$17&gt;=1,INDEX(F$3:F$86,$A27-'1. Inputs'!$B$17),0)</f>
        <v>1197762.57848938</v>
      </c>
      <c r="H27" s="22" t="n">
        <f aca="false">H26*(1-'1. Inputs'!$B$18)+G27</f>
        <v>134989087.574566</v>
      </c>
      <c r="I27" s="22" t="n">
        <f aca="false">H27*'1. Inputs'!$B$18</f>
        <v>1349890.87574566</v>
      </c>
      <c r="J27" s="22" t="n">
        <f aca="false">J26+F27-I27</f>
        <v>189802810.303084</v>
      </c>
      <c r="K27" s="22" t="n">
        <f aca="false">IF(MAX(0,$A27-'1. Inputs'!$C$24-'1. Inputs'!$B$30+1)&lt;=0,0,'1. Inputs'!$B$24*('1. Inputs'!$B$5-'5. Diagnosing a miss'!$B$21)*MAX(0,$A27-'1. Inputs'!$C$24-'1. Inputs'!$B$30+1)^'1. Inputs'!$B$7/('1. Inputs'!$B$6^'1. Inputs'!$B$7+MAX(0,$A27-'1. Inputs'!$C$24-'1. Inputs'!$B$30+1)^'1. Inputs'!$B$7)*('1. Inputs'!$B$9+'1. Inputs'!$B$10*MAX(0,$A27-'1. Inputs'!$C$24-'1. Inputs'!$B$30+1)/(MAX(0,$A27-'1. Inputs'!$C$24-'1. Inputs'!$B$30+1)+'1. Inputs'!$B$11))*'1. Inputs'!$B$13*(1+'1. Inputs'!$B$14*MIN(MAX(0,$A27-'1. Inputs'!$C$24-'1. Inputs'!$B$30+1),'1. Inputs'!$B$15))*'1. Inputs'!$B$31)</f>
        <v>2854374.79384615</v>
      </c>
      <c r="L27" s="22" t="n">
        <f aca="false">IF(MAX(0,$A27-'1. Inputs'!$C$25-'1. Inputs'!$B$30+1)&lt;=0,0,'1. Inputs'!$B$25*('1. Inputs'!$B$5-'5. Diagnosing a miss'!$B$21)*MAX(0,$A27-'1. Inputs'!$C$25-'1. Inputs'!$B$30+1)^'1. Inputs'!$B$7/('1. Inputs'!$B$6^'1. Inputs'!$B$7+MAX(0,$A27-'1. Inputs'!$C$25-'1. Inputs'!$B$30+1)^'1. Inputs'!$B$7)*('1. Inputs'!$B$9+'1. Inputs'!$B$10*MAX(0,$A27-'1. Inputs'!$C$25-'1. Inputs'!$B$30+1)/(MAX(0,$A27-'1. Inputs'!$C$25-'1. Inputs'!$B$30+1)+'1. Inputs'!$B$11))*'1. Inputs'!$B$13*(1+'1. Inputs'!$B$14*MIN(MAX(0,$A27-'1. Inputs'!$C$25-'1. Inputs'!$B$30+1),'1. Inputs'!$B$15))*'1. Inputs'!$B$31)</f>
        <v>2986359.5898917</v>
      </c>
      <c r="M27" s="22" t="n">
        <f aca="false">IF(MAX(0,$A27-'1. Inputs'!$C$26-'1. Inputs'!$B$30+1)&lt;=0,0,'1. Inputs'!$B$26*('1. Inputs'!$B$5-'5. Diagnosing a miss'!$B$21)*MAX(0,$A27-'1. Inputs'!$C$26-'1. Inputs'!$B$30+1)^'1. Inputs'!$B$7/('1. Inputs'!$B$6^'1. Inputs'!$B$7+MAX(0,$A27-'1. Inputs'!$C$26-'1. Inputs'!$B$30+1)^'1. Inputs'!$B$7)*('1. Inputs'!$B$9+'1. Inputs'!$B$10*MAX(0,$A27-'1. Inputs'!$C$26-'1. Inputs'!$B$30+1)/(MAX(0,$A27-'1. Inputs'!$C$26-'1. Inputs'!$B$30+1)+'1. Inputs'!$B$11))*'1. Inputs'!$B$13*(1+'1. Inputs'!$B$14*MIN(MAX(0,$A27-'1. Inputs'!$C$26-'1. Inputs'!$B$30+1),'1. Inputs'!$B$15))*'1. Inputs'!$B$31)</f>
        <v>795603.2</v>
      </c>
      <c r="N27" s="22" t="n">
        <f aca="false">IF(MAX(0,$A27-'1. Inputs'!$C$27-'1. Inputs'!$B$30+1)&lt;=0,0,'1. Inputs'!$B$27*('1. Inputs'!$B$5-'5. Diagnosing a miss'!$B$21)*MAX(0,$A27-'1. Inputs'!$C$27-'1. Inputs'!$B$30+1)^'1. Inputs'!$B$7/('1. Inputs'!$B$6^'1. Inputs'!$B$7+MAX(0,$A27-'1. Inputs'!$C$27-'1. Inputs'!$B$30+1)^'1. Inputs'!$B$7)*('1. Inputs'!$B$9+'1. Inputs'!$B$10*MAX(0,$A27-'1. Inputs'!$C$27-'1. Inputs'!$B$30+1)/(MAX(0,$A27-'1. Inputs'!$C$27-'1. Inputs'!$B$30+1)+'1. Inputs'!$B$11))*'1. Inputs'!$B$13*(1+'1. Inputs'!$B$14*MIN(MAX(0,$A27-'1. Inputs'!$C$27-'1. Inputs'!$B$30+1),'1. Inputs'!$B$15))*'1. Inputs'!$B$31)</f>
        <v>483328</v>
      </c>
      <c r="O27" s="22" t="n">
        <f aca="false">SUM(K27:N27)</f>
        <v>7119665.58373785</v>
      </c>
      <c r="P27" s="22" t="n">
        <f aca="false">IF($A27=MAX('1. Inputs'!$B$17,1),'1. Inputs'!$B$3,0)+IF($A27-'1. Inputs'!$B$17&gt;=1,INDEX(O$3:O$86,$A27-'1. Inputs'!$B$17),0)</f>
        <v>1064677.84754612</v>
      </c>
      <c r="Q27" s="22" t="n">
        <f aca="false">Q26*(1-'1. Inputs'!$B$18)+P27</f>
        <v>134615650.449597</v>
      </c>
      <c r="R27" s="22" t="n">
        <f aca="false">Q27*'1. Inputs'!$B$18</f>
        <v>1346156.50449597</v>
      </c>
      <c r="S27" s="22" t="n">
        <f aca="false">S26+O27-R27</f>
        <v>183192706.03778</v>
      </c>
      <c r="T27" s="22" t="n">
        <f aca="false">IF(MAX(0,$A27-'1. Inputs'!$C$24-'1. Inputs'!$B$30+1)&lt;=0,0,'1. Inputs'!$B$24*'1. Inputs'!$B$5*MAX(0,$A27-'1. Inputs'!$C$24-'1. Inputs'!$B$30+1)^'1. Inputs'!$B$7/('1. Inputs'!$B$6^'1. Inputs'!$B$7+MAX(0,$A27-'1. Inputs'!$C$24-'1. Inputs'!$B$30+1)^'1. Inputs'!$B$7)*('1. Inputs'!$B$9+'1. Inputs'!$B$10*MAX(0,$A27-'1. Inputs'!$C$24-'1. Inputs'!$B$30+1)/(MAX(0,$A27-'1. Inputs'!$C$24-'1. Inputs'!$B$30+1)+'1. Inputs'!$B$11))*'1. Inputs'!$B$13*(1+'1. Inputs'!$B$14*MIN(MAX(0,$A27-'1. Inputs'!$C$24-'1. Inputs'!$B$30+1),'1. Inputs'!$B$15))*('1. Inputs'!$B$31*'5. Diagnosing a miss'!$B$22))</f>
        <v>2890054.47876923</v>
      </c>
      <c r="U27" s="22" t="n">
        <f aca="false">IF(MAX(0,$A27-'1. Inputs'!$C$25-'1. Inputs'!$B$30+1)&lt;=0,0,'1. Inputs'!$B$25*'1. Inputs'!$B$5*MAX(0,$A27-'1. Inputs'!$C$25-'1. Inputs'!$B$30+1)^'1. Inputs'!$B$7/('1. Inputs'!$B$6^'1. Inputs'!$B$7+MAX(0,$A27-'1. Inputs'!$C$25-'1. Inputs'!$B$30+1)^'1. Inputs'!$B$7)*('1. Inputs'!$B$9+'1. Inputs'!$B$10*MAX(0,$A27-'1. Inputs'!$C$25-'1. Inputs'!$B$30+1)/(MAX(0,$A27-'1. Inputs'!$C$25-'1. Inputs'!$B$30+1)+'1. Inputs'!$B$11))*'1. Inputs'!$B$13*(1+'1. Inputs'!$B$14*MIN(MAX(0,$A27-'1. Inputs'!$C$25-'1. Inputs'!$B$30+1),'1. Inputs'!$B$15))*('1. Inputs'!$B$31*'5. Diagnosing a miss'!$B$22))</f>
        <v>3023689.08476534</v>
      </c>
      <c r="V27" s="22" t="n">
        <f aca="false">IF(MAX(0,$A27-'1. Inputs'!$C$26-'1. Inputs'!$B$30+1)&lt;=0,0,'1. Inputs'!$B$26*'1. Inputs'!$B$5*MAX(0,$A27-'1. Inputs'!$C$26-'1. Inputs'!$B$30+1)^'1. Inputs'!$B$7/('1. Inputs'!$B$6^'1. Inputs'!$B$7+MAX(0,$A27-'1. Inputs'!$C$26-'1. Inputs'!$B$30+1)^'1. Inputs'!$B$7)*('1. Inputs'!$B$9+'1. Inputs'!$B$10*MAX(0,$A27-'1. Inputs'!$C$26-'1. Inputs'!$B$30+1)/(MAX(0,$A27-'1. Inputs'!$C$26-'1. Inputs'!$B$30+1)+'1. Inputs'!$B$11))*'1. Inputs'!$B$13*(1+'1. Inputs'!$B$14*MIN(MAX(0,$A27-'1. Inputs'!$C$26-'1. Inputs'!$B$30+1),'1. Inputs'!$B$15))*('1. Inputs'!$B$31*'5. Diagnosing a miss'!$B$22))</f>
        <v>805548.24</v>
      </c>
      <c r="W27" s="22" t="n">
        <f aca="false">IF(MAX(0,$A27-'1. Inputs'!$C$27-'1. Inputs'!$B$30+1)&lt;=0,0,'1. Inputs'!$B$27*'1. Inputs'!$B$5*MAX(0,$A27-'1. Inputs'!$C$27-'1. Inputs'!$B$30+1)^'1. Inputs'!$B$7/('1. Inputs'!$B$6^'1. Inputs'!$B$7+MAX(0,$A27-'1. Inputs'!$C$27-'1. Inputs'!$B$30+1)^'1. Inputs'!$B$7)*('1. Inputs'!$B$9+'1. Inputs'!$B$10*MAX(0,$A27-'1. Inputs'!$C$27-'1. Inputs'!$B$30+1)/(MAX(0,$A27-'1. Inputs'!$C$27-'1. Inputs'!$B$30+1)+'1. Inputs'!$B$11))*'1. Inputs'!$B$13*(1+'1. Inputs'!$B$14*MIN(MAX(0,$A27-'1. Inputs'!$C$27-'1. Inputs'!$B$30+1),'1. Inputs'!$B$15))*('1. Inputs'!$B$31*'5. Diagnosing a miss'!$B$22))</f>
        <v>489369.6</v>
      </c>
      <c r="X27" s="22" t="n">
        <f aca="false">SUM(T27:W27)</f>
        <v>7208661.40353457</v>
      </c>
      <c r="Y27" s="22" t="n">
        <f aca="false">IF($A27=MAX('1. Inputs'!$B$17,1),'1. Inputs'!$B$3,0)+IF($A27-'1. Inputs'!$B$17&gt;=1,INDEX(X$3:X$86,$A27-'1. Inputs'!$B$17),0)</f>
        <v>1077986.32064045</v>
      </c>
      <c r="Z27" s="22" t="n">
        <f aca="false">Z26*(1-'1. Inputs'!$B$18)+Y27</f>
        <v>134652994.162094</v>
      </c>
      <c r="AA27" s="22" t="n">
        <f aca="false">Z27*'1. Inputs'!$B$18</f>
        <v>1346529.94162094</v>
      </c>
      <c r="AB27" s="22" t="n">
        <f aca="false">AB26+X27-AA27</f>
        <v>183853716.46431</v>
      </c>
      <c r="AC27" s="22" t="n">
        <f aca="false">IF(MAX(0,$A27-'1. Inputs'!$C$24-('1. Inputs'!$B$30+'5. Diagnosing a miss'!$B$23)+1)&lt;=0,0,'1. Inputs'!$B$24*'1. Inputs'!$B$5*MAX(0,$A27-'1. Inputs'!$C$24-('1. Inputs'!$B$30+'5. Diagnosing a miss'!$B$23)+1)^'1. Inputs'!$B$7/('1. Inputs'!$B$6^'1. Inputs'!$B$7+MAX(0,$A27-'1. Inputs'!$C$24-('1. Inputs'!$B$30+'5. Diagnosing a miss'!$B$23)+1)^'1. Inputs'!$B$7)*('1. Inputs'!$B$9+'1. Inputs'!$B$10*MAX(0,$A27-'1. Inputs'!$C$24-('1. Inputs'!$B$30+'5. Diagnosing a miss'!$B$23)+1)/(MAX(0,$A27-'1. Inputs'!$C$24-('1. Inputs'!$B$30+'5. Diagnosing a miss'!$B$23)+1)+'1. Inputs'!$B$11))*'1. Inputs'!$B$13*(1+'1. Inputs'!$B$14*MIN(MAX(0,$A27-'1. Inputs'!$C$24-('1. Inputs'!$B$30+'5. Diagnosing a miss'!$B$23)+1),'1. Inputs'!$B$15))*'1. Inputs'!$B$31)</f>
        <v>2839293.72106825</v>
      </c>
      <c r="AD27" s="22" t="n">
        <f aca="false">IF(MAX(0,$A27-'1. Inputs'!$C$25-('1. Inputs'!$B$30+'5. Diagnosing a miss'!$B$23)+1)&lt;=0,0,'1. Inputs'!$B$25*'1. Inputs'!$B$5*MAX(0,$A27-'1. Inputs'!$C$25-('1. Inputs'!$B$30+'5. Diagnosing a miss'!$B$23)+1)^'1. Inputs'!$B$7/('1. Inputs'!$B$6^'1. Inputs'!$B$7+MAX(0,$A27-'1. Inputs'!$C$25-('1. Inputs'!$B$30+'5. Diagnosing a miss'!$B$23)+1)^'1. Inputs'!$B$7)*('1. Inputs'!$B$9+'1. Inputs'!$B$10*MAX(0,$A27-'1. Inputs'!$C$25-('1. Inputs'!$B$30+'5. Diagnosing a miss'!$B$23)+1)/(MAX(0,$A27-'1. Inputs'!$C$25-('1. Inputs'!$B$30+'5. Diagnosing a miss'!$B$23)+1)+'1. Inputs'!$B$11))*'1. Inputs'!$B$13*(1+'1. Inputs'!$B$14*MIN(MAX(0,$A27-'1. Inputs'!$C$25-('1. Inputs'!$B$30+'5. Diagnosing a miss'!$B$23)+1),'1. Inputs'!$B$15))*'1. Inputs'!$B$31)</f>
        <v>2617232.95981363</v>
      </c>
      <c r="AE27" s="22" t="n">
        <f aca="false">IF(MAX(0,$A27-'1. Inputs'!$C$26-('1. Inputs'!$B$30+'5. Diagnosing a miss'!$B$23)+1)&lt;=0,0,'1. Inputs'!$B$26*'1. Inputs'!$B$5*MAX(0,$A27-'1. Inputs'!$C$26-('1. Inputs'!$B$30+'5. Diagnosing a miss'!$B$23)+1)^'1. Inputs'!$B$7/('1. Inputs'!$B$6^'1. Inputs'!$B$7+MAX(0,$A27-'1. Inputs'!$C$26-('1. Inputs'!$B$30+'5. Diagnosing a miss'!$B$23)+1)^'1. Inputs'!$B$7)*('1. Inputs'!$B$9+'1. Inputs'!$B$10*MAX(0,$A27-'1. Inputs'!$C$26-('1. Inputs'!$B$30+'5. Diagnosing a miss'!$B$23)+1)/(MAX(0,$A27-'1. Inputs'!$C$26-('1. Inputs'!$B$30+'5. Diagnosing a miss'!$B$23)+1)+'1. Inputs'!$B$11))*'1. Inputs'!$B$13*(1+'1. Inputs'!$B$14*MIN(MAX(0,$A27-'1. Inputs'!$C$26-('1. Inputs'!$B$30+'5. Diagnosing a miss'!$B$23)+1),'1. Inputs'!$B$15))*'1. Inputs'!$B$31)</f>
        <v>486321.230769231</v>
      </c>
      <c r="AF27" s="22" t="n">
        <f aca="false">IF(MAX(0,$A27-'1. Inputs'!$C$27-('1. Inputs'!$B$30+'5. Diagnosing a miss'!$B$23)+1)&lt;=0,0,'1. Inputs'!$B$27*'1. Inputs'!$B$5*MAX(0,$A27-'1. Inputs'!$C$27-('1. Inputs'!$B$30+'5. Diagnosing a miss'!$B$23)+1)^'1. Inputs'!$B$7/('1. Inputs'!$B$6^'1. Inputs'!$B$7+MAX(0,$A27-'1. Inputs'!$C$27-('1. Inputs'!$B$30+'5. Diagnosing a miss'!$B$23)+1)^'1. Inputs'!$B$7)*('1. Inputs'!$B$9+'1. Inputs'!$B$10*MAX(0,$A27-'1. Inputs'!$C$27-('1. Inputs'!$B$30+'5. Diagnosing a miss'!$B$23)+1)/(MAX(0,$A27-'1. Inputs'!$C$27-('1. Inputs'!$B$30+'5. Diagnosing a miss'!$B$23)+1)+'1. Inputs'!$B$11))*'1. Inputs'!$B$13*(1+'1. Inputs'!$B$14*MIN(MAX(0,$A27-'1. Inputs'!$C$27-('1. Inputs'!$B$30+'5. Diagnosing a miss'!$B$23)+1),'1. Inputs'!$B$15))*'1. Inputs'!$B$31)</f>
        <v>252594.339622642</v>
      </c>
      <c r="AG27" s="22" t="n">
        <f aca="false">SUM(AC27:AF27)</f>
        <v>6195442.25127375</v>
      </c>
      <c r="AH27" s="22" t="n">
        <f aca="false">IF($A27=MAX('1. Inputs'!$B$17,1),'1. Inputs'!$B$3,0)+IF($A27-'1. Inputs'!$B$17&gt;=1,INDEX(AG$3:AG$86,$A27-'1. Inputs'!$B$17),0)</f>
        <v>398644.255670103</v>
      </c>
      <c r="AI27" s="22" t="n">
        <f aca="false">AI26*(1-'1. Inputs'!$B$18)+AH27</f>
        <v>132364596.745902</v>
      </c>
      <c r="AJ27" s="22" t="n">
        <f aca="false">AI27*'1. Inputs'!$B$18</f>
        <v>1323645.96745902</v>
      </c>
      <c r="AK27" s="22" t="n">
        <f aca="false">AK26+AG27-AJ27</f>
        <v>167565277.920352</v>
      </c>
    </row>
    <row r="28" customFormat="false" ht="15" hidden="false" customHeight="false" outlineLevel="0" collapsed="false">
      <c r="A28" s="7" t="n">
        <v>26</v>
      </c>
      <c r="B28" s="22" t="n">
        <f aca="false">IF(MAX(0,$A28-'1. Inputs'!$C$24-'1. Inputs'!$B$30+1)&lt;=0,0,'1. Inputs'!$B$24*'1. Inputs'!$B$5*MAX(0,$A28-'1. Inputs'!$C$24-'1. Inputs'!$B$30+1)^'1. Inputs'!$B$7/('1. Inputs'!$B$6^'1. Inputs'!$B$7+MAX(0,$A28-'1. Inputs'!$C$24-'1. Inputs'!$B$30+1)^'1. Inputs'!$B$7)*('1. Inputs'!$B$9+'1. Inputs'!$B$10*MAX(0,$A28-'1. Inputs'!$C$24-'1. Inputs'!$B$30+1)/(MAX(0,$A28-'1. Inputs'!$C$24-'1. Inputs'!$B$30+1)+'1. Inputs'!$B$11))*'1. Inputs'!$B$13*(1+'1. Inputs'!$B$14*MIN(MAX(0,$A28-'1. Inputs'!$C$24-'1. Inputs'!$B$30+1),'1. Inputs'!$B$15))*'1. Inputs'!$B$31)</f>
        <v>3288533.50391812</v>
      </c>
      <c r="C28" s="22" t="n">
        <f aca="false">IF(MAX(0,$A28-'1. Inputs'!$C$25-'1. Inputs'!$B$30+1)&lt;=0,0,'1. Inputs'!$B$25*'1. Inputs'!$B$5*MAX(0,$A28-'1. Inputs'!$C$25-'1. Inputs'!$B$30+1)^'1. Inputs'!$B$7/('1. Inputs'!$B$6^'1. Inputs'!$B$7+MAX(0,$A28-'1. Inputs'!$C$25-'1. Inputs'!$B$30+1)^'1. Inputs'!$B$7)*('1. Inputs'!$B$9+'1. Inputs'!$B$10*MAX(0,$A28-'1. Inputs'!$C$25-'1. Inputs'!$B$30+1)/(MAX(0,$A28-'1. Inputs'!$C$25-'1. Inputs'!$B$30+1)+'1. Inputs'!$B$11))*'1. Inputs'!$B$13*(1+'1. Inputs'!$B$14*MIN(MAX(0,$A28-'1. Inputs'!$C$25-'1. Inputs'!$B$30+1),'1. Inputs'!$B$15))*'1. Inputs'!$B$31)</f>
        <v>3578823.52941177</v>
      </c>
      <c r="D28" s="22" t="n">
        <f aca="false">IF(MAX(0,$A28-'1. Inputs'!$C$26-'1. Inputs'!$B$30+1)&lt;=0,0,'1. Inputs'!$B$26*'1. Inputs'!$B$5*MAX(0,$A28-'1. Inputs'!$C$26-'1. Inputs'!$B$30+1)^'1. Inputs'!$B$7/('1. Inputs'!$B$6^'1. Inputs'!$B$7+MAX(0,$A28-'1. Inputs'!$C$26-'1. Inputs'!$B$30+1)^'1. Inputs'!$B$7)*('1. Inputs'!$B$9+'1. Inputs'!$B$10*MAX(0,$A28-'1. Inputs'!$C$26-'1. Inputs'!$B$30+1)/(MAX(0,$A28-'1. Inputs'!$C$26-'1. Inputs'!$B$30+1)+'1. Inputs'!$B$11))*'1. Inputs'!$B$13*(1+'1. Inputs'!$B$14*MIN(MAX(0,$A28-'1. Inputs'!$C$26-'1. Inputs'!$B$30+1),'1. Inputs'!$B$15))*'1. Inputs'!$B$31)</f>
        <v>1023314.91712707</v>
      </c>
      <c r="E28" s="22" t="n">
        <f aca="false">IF(MAX(0,$A28-'1. Inputs'!$C$27-'1. Inputs'!$B$30+1)&lt;=0,0,'1. Inputs'!$B$27*'1. Inputs'!$B$5*MAX(0,$A28-'1. Inputs'!$C$27-'1. Inputs'!$B$30+1)^'1. Inputs'!$B$7/('1. Inputs'!$B$6^'1. Inputs'!$B$7+MAX(0,$A28-'1. Inputs'!$C$27-'1. Inputs'!$B$30+1)^'1. Inputs'!$B$7)*('1. Inputs'!$B$9+'1. Inputs'!$B$10*MAX(0,$A28-'1. Inputs'!$C$27-'1. Inputs'!$B$30+1)/(MAX(0,$A28-'1. Inputs'!$C$27-'1. Inputs'!$B$30+1)+'1. Inputs'!$B$11))*'1. Inputs'!$B$13*(1+'1. Inputs'!$B$14*MIN(MAX(0,$A28-'1. Inputs'!$C$27-'1. Inputs'!$B$30+1),'1. Inputs'!$B$15))*'1. Inputs'!$B$31)</f>
        <v>639324</v>
      </c>
      <c r="F28" s="22" t="n">
        <f aca="false">SUM(B28:E28)</f>
        <v>8529995.95045696</v>
      </c>
      <c r="G28" s="22" t="n">
        <f aca="false">IF($A28=MAX('1. Inputs'!$B$17,1),'1. Inputs'!$B$3,0)+IF($A28-'1. Inputs'!$B$17&gt;=1,INDEX(F$3:F$86,$A28-'1. Inputs'!$B$17),0)</f>
        <v>1604160</v>
      </c>
      <c r="H28" s="22" t="n">
        <f aca="false">H27*(1-'1. Inputs'!$B$18)+G28</f>
        <v>135243356.698821</v>
      </c>
      <c r="I28" s="22" t="n">
        <f aca="false">H28*'1. Inputs'!$B$18</f>
        <v>1352433.56698821</v>
      </c>
      <c r="J28" s="22" t="n">
        <f aca="false">J27+F28-I28</f>
        <v>196980372.686553</v>
      </c>
      <c r="K28" s="22" t="n">
        <f aca="false">IF(MAX(0,$A28-'1. Inputs'!$C$24-'1. Inputs'!$B$30+1)&lt;=0,0,'1. Inputs'!$B$24*('1. Inputs'!$B$5-'5. Diagnosing a miss'!$B$21)*MAX(0,$A28-'1. Inputs'!$C$24-'1. Inputs'!$B$30+1)^'1. Inputs'!$B$7/('1. Inputs'!$B$6^'1. Inputs'!$B$7+MAX(0,$A28-'1. Inputs'!$C$24-'1. Inputs'!$B$30+1)^'1. Inputs'!$B$7)*('1. Inputs'!$B$9+'1. Inputs'!$B$10*MAX(0,$A28-'1. Inputs'!$C$24-'1. Inputs'!$B$30+1)/(MAX(0,$A28-'1. Inputs'!$C$24-'1. Inputs'!$B$30+1)+'1. Inputs'!$B$11))*'1. Inputs'!$B$13*(1+'1. Inputs'!$B$14*MIN(MAX(0,$A28-'1. Inputs'!$C$24-'1. Inputs'!$B$30+1),'1. Inputs'!$B$15))*'1. Inputs'!$B$31)</f>
        <v>2923140.89237166</v>
      </c>
      <c r="L28" s="22" t="n">
        <f aca="false">IF(MAX(0,$A28-'1. Inputs'!$C$25-'1. Inputs'!$B$30+1)&lt;=0,0,'1. Inputs'!$B$25*('1. Inputs'!$B$5-'5. Diagnosing a miss'!$B$21)*MAX(0,$A28-'1. Inputs'!$C$25-'1. Inputs'!$B$30+1)^'1. Inputs'!$B$7/('1. Inputs'!$B$6^'1. Inputs'!$B$7+MAX(0,$A28-'1. Inputs'!$C$25-'1. Inputs'!$B$30+1)^'1. Inputs'!$B$7)*('1. Inputs'!$B$9+'1. Inputs'!$B$10*MAX(0,$A28-'1. Inputs'!$C$25-'1. Inputs'!$B$30+1)/(MAX(0,$A28-'1. Inputs'!$C$25-'1. Inputs'!$B$30+1)+'1. Inputs'!$B$11))*'1. Inputs'!$B$13*(1+'1. Inputs'!$B$14*MIN(MAX(0,$A28-'1. Inputs'!$C$25-'1. Inputs'!$B$30+1),'1. Inputs'!$B$15))*'1. Inputs'!$B$31)</f>
        <v>3181176.47058824</v>
      </c>
      <c r="M28" s="22" t="n">
        <f aca="false">IF(MAX(0,$A28-'1. Inputs'!$C$26-'1. Inputs'!$B$30+1)&lt;=0,0,'1. Inputs'!$B$26*('1. Inputs'!$B$5-'5. Diagnosing a miss'!$B$21)*MAX(0,$A28-'1. Inputs'!$C$26-'1. Inputs'!$B$30+1)^'1. Inputs'!$B$7/('1. Inputs'!$B$6^'1. Inputs'!$B$7+MAX(0,$A28-'1. Inputs'!$C$26-'1. Inputs'!$B$30+1)^'1. Inputs'!$B$7)*('1. Inputs'!$B$9+'1. Inputs'!$B$10*MAX(0,$A28-'1. Inputs'!$C$26-'1. Inputs'!$B$30+1)/(MAX(0,$A28-'1. Inputs'!$C$26-'1. Inputs'!$B$30+1)+'1. Inputs'!$B$11))*'1. Inputs'!$B$13*(1+'1. Inputs'!$B$14*MIN(MAX(0,$A28-'1. Inputs'!$C$26-'1. Inputs'!$B$30+1),'1. Inputs'!$B$15))*'1. Inputs'!$B$31)</f>
        <v>909613.259668508</v>
      </c>
      <c r="N28" s="22" t="n">
        <f aca="false">IF(MAX(0,$A28-'1. Inputs'!$C$27-'1. Inputs'!$B$30+1)&lt;=0,0,'1. Inputs'!$B$27*('1. Inputs'!$B$5-'5. Diagnosing a miss'!$B$21)*MAX(0,$A28-'1. Inputs'!$C$27-'1. Inputs'!$B$30+1)^'1. Inputs'!$B$7/('1. Inputs'!$B$6^'1. Inputs'!$B$7+MAX(0,$A28-'1. Inputs'!$C$27-'1. Inputs'!$B$30+1)^'1. Inputs'!$B$7)*('1. Inputs'!$B$9+'1. Inputs'!$B$10*MAX(0,$A28-'1. Inputs'!$C$27-'1. Inputs'!$B$30+1)/(MAX(0,$A28-'1. Inputs'!$C$27-'1. Inputs'!$B$30+1)+'1. Inputs'!$B$11))*'1. Inputs'!$B$13*(1+'1. Inputs'!$B$14*MIN(MAX(0,$A28-'1. Inputs'!$C$27-'1. Inputs'!$B$30+1),'1. Inputs'!$B$15))*'1. Inputs'!$B$31)</f>
        <v>568288</v>
      </c>
      <c r="O28" s="22" t="n">
        <f aca="false">SUM(K28:N28)</f>
        <v>7582218.62262841</v>
      </c>
      <c r="P28" s="22" t="n">
        <f aca="false">IF($A28=MAX('1. Inputs'!$B$17,1),'1. Inputs'!$B$3,0)+IF($A28-'1. Inputs'!$B$17&gt;=1,INDEX(O$3:O$86,$A28-'1. Inputs'!$B$17),0)</f>
        <v>1425920</v>
      </c>
      <c r="Q28" s="22" t="n">
        <f aca="false">Q27*(1-'1. Inputs'!$B$18)+P28</f>
        <v>134695413.945101</v>
      </c>
      <c r="R28" s="22" t="n">
        <f aca="false">Q28*'1. Inputs'!$B$18</f>
        <v>1346954.13945101</v>
      </c>
      <c r="S28" s="22" t="n">
        <f aca="false">S27+O28-R28</f>
        <v>189427970.520957</v>
      </c>
      <c r="T28" s="22" t="n">
        <f aca="false">IF(MAX(0,$A28-'1. Inputs'!$C$24-'1. Inputs'!$B$30+1)&lt;=0,0,'1. Inputs'!$B$24*'1. Inputs'!$B$5*MAX(0,$A28-'1. Inputs'!$C$24-'1. Inputs'!$B$30+1)^'1. Inputs'!$B$7/('1. Inputs'!$B$6^'1. Inputs'!$B$7+MAX(0,$A28-'1. Inputs'!$C$24-'1. Inputs'!$B$30+1)^'1. Inputs'!$B$7)*('1. Inputs'!$B$9+'1. Inputs'!$B$10*MAX(0,$A28-'1. Inputs'!$C$24-'1. Inputs'!$B$30+1)/(MAX(0,$A28-'1. Inputs'!$C$24-'1. Inputs'!$B$30+1)+'1. Inputs'!$B$11))*'1. Inputs'!$B$13*(1+'1. Inputs'!$B$14*MIN(MAX(0,$A28-'1. Inputs'!$C$24-'1. Inputs'!$B$30+1),'1. Inputs'!$B$15))*('1. Inputs'!$B$31*'5. Diagnosing a miss'!$B$22))</f>
        <v>2959680.15352631</v>
      </c>
      <c r="U28" s="22" t="n">
        <f aca="false">IF(MAX(0,$A28-'1. Inputs'!$C$25-'1. Inputs'!$B$30+1)&lt;=0,0,'1. Inputs'!$B$25*'1. Inputs'!$B$5*MAX(0,$A28-'1. Inputs'!$C$25-'1. Inputs'!$B$30+1)^'1. Inputs'!$B$7/('1. Inputs'!$B$6^'1. Inputs'!$B$7+MAX(0,$A28-'1. Inputs'!$C$25-'1. Inputs'!$B$30+1)^'1. Inputs'!$B$7)*('1. Inputs'!$B$9+'1. Inputs'!$B$10*MAX(0,$A28-'1. Inputs'!$C$25-'1. Inputs'!$B$30+1)/(MAX(0,$A28-'1. Inputs'!$C$25-'1. Inputs'!$B$30+1)+'1. Inputs'!$B$11))*'1. Inputs'!$B$13*(1+'1. Inputs'!$B$14*MIN(MAX(0,$A28-'1. Inputs'!$C$25-'1. Inputs'!$B$30+1),'1. Inputs'!$B$15))*('1. Inputs'!$B$31*'5. Diagnosing a miss'!$B$22))</f>
        <v>3220941.17647059</v>
      </c>
      <c r="V28" s="22" t="n">
        <f aca="false">IF(MAX(0,$A28-'1. Inputs'!$C$26-'1. Inputs'!$B$30+1)&lt;=0,0,'1. Inputs'!$B$26*'1. Inputs'!$B$5*MAX(0,$A28-'1. Inputs'!$C$26-'1. Inputs'!$B$30+1)^'1. Inputs'!$B$7/('1. Inputs'!$B$6^'1. Inputs'!$B$7+MAX(0,$A28-'1. Inputs'!$C$26-'1. Inputs'!$B$30+1)^'1. Inputs'!$B$7)*('1. Inputs'!$B$9+'1. Inputs'!$B$10*MAX(0,$A28-'1. Inputs'!$C$26-'1. Inputs'!$B$30+1)/(MAX(0,$A28-'1. Inputs'!$C$26-'1. Inputs'!$B$30+1)+'1. Inputs'!$B$11))*'1. Inputs'!$B$13*(1+'1. Inputs'!$B$14*MIN(MAX(0,$A28-'1. Inputs'!$C$26-'1. Inputs'!$B$30+1),'1. Inputs'!$B$15))*('1. Inputs'!$B$31*'5. Diagnosing a miss'!$B$22))</f>
        <v>920983.425414365</v>
      </c>
      <c r="W28" s="22" t="n">
        <f aca="false">IF(MAX(0,$A28-'1. Inputs'!$C$27-'1. Inputs'!$B$30+1)&lt;=0,0,'1. Inputs'!$B$27*'1. Inputs'!$B$5*MAX(0,$A28-'1. Inputs'!$C$27-'1. Inputs'!$B$30+1)^'1. Inputs'!$B$7/('1. Inputs'!$B$6^'1. Inputs'!$B$7+MAX(0,$A28-'1. Inputs'!$C$27-'1. Inputs'!$B$30+1)^'1. Inputs'!$B$7)*('1. Inputs'!$B$9+'1. Inputs'!$B$10*MAX(0,$A28-'1. Inputs'!$C$27-'1. Inputs'!$B$30+1)/(MAX(0,$A28-'1. Inputs'!$C$27-'1. Inputs'!$B$30+1)+'1. Inputs'!$B$11))*'1. Inputs'!$B$13*(1+'1. Inputs'!$B$14*MIN(MAX(0,$A28-'1. Inputs'!$C$27-'1. Inputs'!$B$30+1),'1. Inputs'!$B$15))*('1. Inputs'!$B$31*'5. Diagnosing a miss'!$B$22))</f>
        <v>575391.6</v>
      </c>
      <c r="X28" s="22" t="n">
        <f aca="false">SUM(T28:W28)</f>
        <v>7676996.35541126</v>
      </c>
      <c r="Y28" s="22" t="n">
        <f aca="false">IF($A28=MAX('1. Inputs'!$B$17,1),'1. Inputs'!$B$3,0)+IF($A28-'1. Inputs'!$B$17&gt;=1,INDEX(X$3:X$86,$A28-'1. Inputs'!$B$17),0)</f>
        <v>1443744</v>
      </c>
      <c r="Z28" s="22" t="n">
        <f aca="false">Z27*(1-'1. Inputs'!$B$18)+Y28</f>
        <v>134750208.220473</v>
      </c>
      <c r="AA28" s="22" t="n">
        <f aca="false">Z28*'1. Inputs'!$B$18</f>
        <v>1347502.08220473</v>
      </c>
      <c r="AB28" s="22" t="n">
        <f aca="false">AB27+X28-AA28</f>
        <v>190183210.737517</v>
      </c>
      <c r="AC28" s="22" t="n">
        <f aca="false">IF(MAX(0,$A28-'1. Inputs'!$C$24-('1. Inputs'!$B$30+'5. Diagnosing a miss'!$B$23)+1)&lt;=0,0,'1. Inputs'!$B$24*'1. Inputs'!$B$5*MAX(0,$A28-'1. Inputs'!$C$24-('1. Inputs'!$B$30+'5. Diagnosing a miss'!$B$23)+1)^'1. Inputs'!$B$7/('1. Inputs'!$B$6^'1. Inputs'!$B$7+MAX(0,$A28-'1. Inputs'!$C$24-('1. Inputs'!$B$30+'5. Diagnosing a miss'!$B$23)+1)^'1. Inputs'!$B$7)*('1. Inputs'!$B$9+'1. Inputs'!$B$10*MAX(0,$A28-'1. Inputs'!$C$24-('1. Inputs'!$B$30+'5. Diagnosing a miss'!$B$23)+1)/(MAX(0,$A28-'1. Inputs'!$C$24-('1. Inputs'!$B$30+'5. Diagnosing a miss'!$B$23)+1)+'1. Inputs'!$B$11))*'1. Inputs'!$B$13*(1+'1. Inputs'!$B$14*MIN(MAX(0,$A28-'1. Inputs'!$C$24-('1. Inputs'!$B$30+'5. Diagnosing a miss'!$B$23)+1),'1. Inputs'!$B$15))*'1. Inputs'!$B$31)</f>
        <v>2986170.50622797</v>
      </c>
      <c r="AD28" s="22" t="n">
        <f aca="false">IF(MAX(0,$A28-'1. Inputs'!$C$25-('1. Inputs'!$B$30+'5. Diagnosing a miss'!$B$23)+1)&lt;=0,0,'1. Inputs'!$B$25*'1. Inputs'!$B$5*MAX(0,$A28-'1. Inputs'!$C$25-('1. Inputs'!$B$30+'5. Diagnosing a miss'!$B$23)+1)^'1. Inputs'!$B$7/('1. Inputs'!$B$6^'1. Inputs'!$B$7+MAX(0,$A28-'1. Inputs'!$C$25-('1. Inputs'!$B$30+'5. Diagnosing a miss'!$B$23)+1)^'1. Inputs'!$B$7)*('1. Inputs'!$B$9+'1. Inputs'!$B$10*MAX(0,$A28-'1. Inputs'!$C$25-('1. Inputs'!$B$30+'5. Diagnosing a miss'!$B$23)+1)/(MAX(0,$A28-'1. Inputs'!$C$25-('1. Inputs'!$B$30+'5. Diagnosing a miss'!$B$23)+1)+'1. Inputs'!$B$11))*'1. Inputs'!$B$13*(1+'1. Inputs'!$B$14*MIN(MAX(0,$A28-'1. Inputs'!$C$25-('1. Inputs'!$B$30+'5. Diagnosing a miss'!$B$23)+1),'1. Inputs'!$B$15))*'1. Inputs'!$B$31)</f>
        <v>2879815.68</v>
      </c>
      <c r="AE28" s="22" t="n">
        <f aca="false">IF(MAX(0,$A28-'1. Inputs'!$C$26-('1. Inputs'!$B$30+'5. Diagnosing a miss'!$B$23)+1)&lt;=0,0,'1. Inputs'!$B$26*'1. Inputs'!$B$5*MAX(0,$A28-'1. Inputs'!$C$26-('1. Inputs'!$B$30+'5. Diagnosing a miss'!$B$23)+1)^'1. Inputs'!$B$7/('1. Inputs'!$B$6^'1. Inputs'!$B$7+MAX(0,$A28-'1. Inputs'!$C$26-('1. Inputs'!$B$30+'5. Diagnosing a miss'!$B$23)+1)^'1. Inputs'!$B$7)*('1. Inputs'!$B$9+'1. Inputs'!$B$10*MAX(0,$A28-'1. Inputs'!$C$26-('1. Inputs'!$B$30+'5. Diagnosing a miss'!$B$23)+1)/(MAX(0,$A28-'1. Inputs'!$C$26-('1. Inputs'!$B$30+'5. Diagnosing a miss'!$B$23)+1)+'1. Inputs'!$B$11))*'1. Inputs'!$B$13*(1+'1. Inputs'!$B$14*MIN(MAX(0,$A28-'1. Inputs'!$C$26-('1. Inputs'!$B$30+'5. Diagnosing a miss'!$B$23)+1),'1. Inputs'!$B$15))*'1. Inputs'!$B$31)</f>
        <v>623873.566863905</v>
      </c>
      <c r="AF28" s="22" t="n">
        <f aca="false">IF(MAX(0,$A28-'1. Inputs'!$C$27-('1. Inputs'!$B$30+'5. Diagnosing a miss'!$B$23)+1)&lt;=0,0,'1. Inputs'!$B$27*'1. Inputs'!$B$5*MAX(0,$A28-'1. Inputs'!$C$27-('1. Inputs'!$B$30+'5. Diagnosing a miss'!$B$23)+1)^'1. Inputs'!$B$7/('1. Inputs'!$B$6^'1. Inputs'!$B$7+MAX(0,$A28-'1. Inputs'!$C$27-('1. Inputs'!$B$30+'5. Diagnosing a miss'!$B$23)+1)^'1. Inputs'!$B$7)*('1. Inputs'!$B$9+'1. Inputs'!$B$10*MAX(0,$A28-'1. Inputs'!$C$27-('1. Inputs'!$B$30+'5. Diagnosing a miss'!$B$23)+1)/(MAX(0,$A28-'1. Inputs'!$C$27-('1. Inputs'!$B$30+'5. Diagnosing a miss'!$B$23)+1)+'1. Inputs'!$B$11))*'1. Inputs'!$B$13*(1+'1. Inputs'!$B$14*MIN(MAX(0,$A28-'1. Inputs'!$C$27-('1. Inputs'!$B$30+'5. Diagnosing a miss'!$B$23)+1),'1. Inputs'!$B$15))*'1. Inputs'!$B$31)</f>
        <v>347372.307692308</v>
      </c>
      <c r="AG28" s="22" t="n">
        <f aca="false">SUM(AC28:AF28)</f>
        <v>6837232.06078418</v>
      </c>
      <c r="AH28" s="22" t="n">
        <f aca="false">IF($A28=MAX('1. Inputs'!$B$17,1),'1. Inputs'!$B$3,0)+IF($A28-'1. Inputs'!$B$17&gt;=1,INDEX(AG$3:AG$86,$A28-'1. Inputs'!$B$17),0)</f>
        <v>606226.41509434</v>
      </c>
      <c r="AI28" s="22" t="n">
        <f aca="false">AI27*(1-'1. Inputs'!$B$18)+AH28</f>
        <v>131647177.193537</v>
      </c>
      <c r="AJ28" s="22" t="n">
        <f aca="false">AI28*'1. Inputs'!$B$18</f>
        <v>1316471.77193537</v>
      </c>
      <c r="AK28" s="22" t="n">
        <f aca="false">AK27+AG28-AJ28</f>
        <v>173086038.209201</v>
      </c>
    </row>
    <row r="29" customFormat="false" ht="15" hidden="false" customHeight="false" outlineLevel="0" collapsed="false">
      <c r="A29" s="7" t="n">
        <v>27</v>
      </c>
      <c r="B29" s="22" t="n">
        <f aca="false">IF(MAX(0,$A29-'1. Inputs'!$C$24-'1. Inputs'!$B$30+1)&lt;=0,0,'1. Inputs'!$B$24*'1. Inputs'!$B$5*MAX(0,$A29-'1. Inputs'!$C$24-'1. Inputs'!$B$30+1)^'1. Inputs'!$B$7/('1. Inputs'!$B$6^'1. Inputs'!$B$7+MAX(0,$A29-'1. Inputs'!$C$24-'1. Inputs'!$B$30+1)^'1. Inputs'!$B$7)*('1. Inputs'!$B$9+'1. Inputs'!$B$10*MAX(0,$A29-'1. Inputs'!$C$24-'1. Inputs'!$B$30+1)/(MAX(0,$A29-'1. Inputs'!$C$24-'1. Inputs'!$B$30+1)+'1. Inputs'!$B$11))*'1. Inputs'!$B$13*(1+'1. Inputs'!$B$14*MIN(MAX(0,$A29-'1. Inputs'!$C$24-'1. Inputs'!$B$30+1),'1. Inputs'!$B$15))*'1. Inputs'!$B$31)</f>
        <v>3358656</v>
      </c>
      <c r="C29" s="22" t="n">
        <f aca="false">IF(MAX(0,$A29-'1. Inputs'!$C$25-'1. Inputs'!$B$30+1)&lt;=0,0,'1. Inputs'!$B$25*'1. Inputs'!$B$5*MAX(0,$A29-'1. Inputs'!$C$25-'1. Inputs'!$B$30+1)^'1. Inputs'!$B$7/('1. Inputs'!$B$6^'1. Inputs'!$B$7+MAX(0,$A29-'1. Inputs'!$C$25-'1. Inputs'!$B$30+1)^'1. Inputs'!$B$7)*('1. Inputs'!$B$9+'1. Inputs'!$B$10*MAX(0,$A29-'1. Inputs'!$C$25-'1. Inputs'!$B$30+1)/(MAX(0,$A29-'1. Inputs'!$C$25-'1. Inputs'!$B$30+1)+'1. Inputs'!$B$11))*'1. Inputs'!$B$13*(1+'1. Inputs'!$B$14*MIN(MAX(0,$A29-'1. Inputs'!$C$25-'1. Inputs'!$B$30+1),'1. Inputs'!$B$15))*'1. Inputs'!$B$31)</f>
        <v>3785724.96142433</v>
      </c>
      <c r="D29" s="22" t="n">
        <f aca="false">IF(MAX(0,$A29-'1. Inputs'!$C$26-'1. Inputs'!$B$30+1)&lt;=0,0,'1. Inputs'!$B$26*'1. Inputs'!$B$5*MAX(0,$A29-'1. Inputs'!$C$26-'1. Inputs'!$B$30+1)^'1. Inputs'!$B$7/('1. Inputs'!$B$6^'1. Inputs'!$B$7+MAX(0,$A29-'1. Inputs'!$C$26-'1. Inputs'!$B$30+1)^'1. Inputs'!$B$7)*('1. Inputs'!$B$9+'1. Inputs'!$B$10*MAX(0,$A29-'1. Inputs'!$C$26-'1. Inputs'!$B$30+1)/(MAX(0,$A29-'1. Inputs'!$C$26-'1. Inputs'!$B$30+1)+'1. Inputs'!$B$11))*'1. Inputs'!$B$13*(1+'1. Inputs'!$B$14*MIN(MAX(0,$A29-'1. Inputs'!$C$26-'1. Inputs'!$B$30+1),'1. Inputs'!$B$15))*'1. Inputs'!$B$31)</f>
        <v>1145039.41991846</v>
      </c>
      <c r="E29" s="22" t="n">
        <f aca="false">IF(MAX(0,$A29-'1. Inputs'!$C$27-'1. Inputs'!$B$30+1)&lt;=0,0,'1. Inputs'!$B$27*'1. Inputs'!$B$5*MAX(0,$A29-'1. Inputs'!$C$27-'1. Inputs'!$B$30+1)^'1. Inputs'!$B$7/('1. Inputs'!$B$6^'1. Inputs'!$B$7+MAX(0,$A29-'1. Inputs'!$C$27-'1. Inputs'!$B$30+1)^'1. Inputs'!$B$7)*('1. Inputs'!$B$9+'1. Inputs'!$B$10*MAX(0,$A29-'1. Inputs'!$C$27-'1. Inputs'!$B$30+1)/(MAX(0,$A29-'1. Inputs'!$C$27-'1. Inputs'!$B$30+1)+'1. Inputs'!$B$11))*'1. Inputs'!$B$13*(1+'1. Inputs'!$B$14*MIN(MAX(0,$A29-'1. Inputs'!$C$27-'1. Inputs'!$B$30+1),'1. Inputs'!$B$15))*'1. Inputs'!$B$31)</f>
        <v>730939.226519337</v>
      </c>
      <c r="F29" s="22" t="n">
        <f aca="false">SUM(B29:E29)</f>
        <v>9020359.60786213</v>
      </c>
      <c r="G29" s="22" t="n">
        <f aca="false">IF($A29=MAX('1. Inputs'!$B$17,1),'1. Inputs'!$B$3,0)+IF($A29-'1. Inputs'!$B$17&gt;=1,INDEX(F$3:F$86,$A29-'1. Inputs'!$B$17),0)</f>
        <v>2065903.2742268</v>
      </c>
      <c r="H29" s="22" t="n">
        <f aca="false">H28*(1-'1. Inputs'!$B$18)+G29</f>
        <v>135956826.406059</v>
      </c>
      <c r="I29" s="22" t="n">
        <f aca="false">H29*'1. Inputs'!$B$18</f>
        <v>1359568.26406059</v>
      </c>
      <c r="J29" s="22" t="n">
        <f aca="false">J28+F29-I29</f>
        <v>204641164.030354</v>
      </c>
      <c r="K29" s="22" t="n">
        <f aca="false">IF(MAX(0,$A29-'1. Inputs'!$C$24-'1. Inputs'!$B$30+1)&lt;=0,0,'1. Inputs'!$B$24*('1. Inputs'!$B$5-'5. Diagnosing a miss'!$B$21)*MAX(0,$A29-'1. Inputs'!$C$24-'1. Inputs'!$B$30+1)^'1. Inputs'!$B$7/('1. Inputs'!$B$6^'1. Inputs'!$B$7+MAX(0,$A29-'1. Inputs'!$C$24-'1. Inputs'!$B$30+1)^'1. Inputs'!$B$7)*('1. Inputs'!$B$9+'1. Inputs'!$B$10*MAX(0,$A29-'1. Inputs'!$C$24-'1. Inputs'!$B$30+1)/(MAX(0,$A29-'1. Inputs'!$C$24-'1. Inputs'!$B$30+1)+'1. Inputs'!$B$11))*'1. Inputs'!$B$13*(1+'1. Inputs'!$B$14*MIN(MAX(0,$A29-'1. Inputs'!$C$24-'1. Inputs'!$B$30+1),'1. Inputs'!$B$15))*'1. Inputs'!$B$31)</f>
        <v>2985472</v>
      </c>
      <c r="L29" s="22" t="n">
        <f aca="false">IF(MAX(0,$A29-'1. Inputs'!$C$25-'1. Inputs'!$B$30+1)&lt;=0,0,'1. Inputs'!$B$25*('1. Inputs'!$B$5-'5. Diagnosing a miss'!$B$21)*MAX(0,$A29-'1. Inputs'!$C$25-'1. Inputs'!$B$30+1)^'1. Inputs'!$B$7/('1. Inputs'!$B$6^'1. Inputs'!$B$7+MAX(0,$A29-'1. Inputs'!$C$25-'1. Inputs'!$B$30+1)^'1. Inputs'!$B$7)*('1. Inputs'!$B$9+'1. Inputs'!$B$10*MAX(0,$A29-'1. Inputs'!$C$25-'1. Inputs'!$B$30+1)/(MAX(0,$A29-'1. Inputs'!$C$25-'1. Inputs'!$B$30+1)+'1. Inputs'!$B$11))*'1. Inputs'!$B$13*(1+'1. Inputs'!$B$14*MIN(MAX(0,$A29-'1. Inputs'!$C$25-'1. Inputs'!$B$30+1),'1. Inputs'!$B$15))*'1. Inputs'!$B$31)</f>
        <v>3365088.85459941</v>
      </c>
      <c r="M29" s="22" t="n">
        <f aca="false">IF(MAX(0,$A29-'1. Inputs'!$C$26-'1. Inputs'!$B$30+1)&lt;=0,0,'1. Inputs'!$B$26*('1. Inputs'!$B$5-'5. Diagnosing a miss'!$B$21)*MAX(0,$A29-'1. Inputs'!$C$26-'1. Inputs'!$B$30+1)^'1. Inputs'!$B$7/('1. Inputs'!$B$6^'1. Inputs'!$B$7+MAX(0,$A29-'1. Inputs'!$C$26-'1. Inputs'!$B$30+1)^'1. Inputs'!$B$7)*('1. Inputs'!$B$9+'1. Inputs'!$B$10*MAX(0,$A29-'1. Inputs'!$C$26-'1. Inputs'!$B$30+1)/(MAX(0,$A29-'1. Inputs'!$C$26-'1. Inputs'!$B$30+1)+'1. Inputs'!$B$11))*'1. Inputs'!$B$13*(1+'1. Inputs'!$B$14*MIN(MAX(0,$A29-'1. Inputs'!$C$26-'1. Inputs'!$B$30+1),'1. Inputs'!$B$15))*'1. Inputs'!$B$31)</f>
        <v>1017812.8177053</v>
      </c>
      <c r="N29" s="22" t="n">
        <f aca="false">IF(MAX(0,$A29-'1. Inputs'!$C$27-'1. Inputs'!$B$30+1)&lt;=0,0,'1. Inputs'!$B$27*('1. Inputs'!$B$5-'5. Diagnosing a miss'!$B$21)*MAX(0,$A29-'1. Inputs'!$C$27-'1. Inputs'!$B$30+1)^'1. Inputs'!$B$7/('1. Inputs'!$B$6^'1. Inputs'!$B$7+MAX(0,$A29-'1. Inputs'!$C$27-'1. Inputs'!$B$30+1)^'1. Inputs'!$B$7)*('1. Inputs'!$B$9+'1. Inputs'!$B$10*MAX(0,$A29-'1. Inputs'!$C$27-'1. Inputs'!$B$30+1)/(MAX(0,$A29-'1. Inputs'!$C$27-'1. Inputs'!$B$30+1)+'1. Inputs'!$B$11))*'1. Inputs'!$B$13*(1+'1. Inputs'!$B$14*MIN(MAX(0,$A29-'1. Inputs'!$C$27-'1. Inputs'!$B$30+1),'1. Inputs'!$B$15))*'1. Inputs'!$B$31)</f>
        <v>649723.756906077</v>
      </c>
      <c r="O29" s="22" t="n">
        <f aca="false">SUM(K29:N29)</f>
        <v>8018097.42921078</v>
      </c>
      <c r="P29" s="22" t="n">
        <f aca="false">IF($A29=MAX('1. Inputs'!$B$17,1),'1. Inputs'!$B$3,0)+IF($A29-'1. Inputs'!$B$17&gt;=1,INDEX(O$3:O$86,$A29-'1. Inputs'!$B$17),0)</f>
        <v>1836358.46597938</v>
      </c>
      <c r="Q29" s="22" t="n">
        <f aca="false">Q28*(1-'1. Inputs'!$B$18)+P29</f>
        <v>135184818.27163</v>
      </c>
      <c r="R29" s="22" t="n">
        <f aca="false">Q29*'1. Inputs'!$B$18</f>
        <v>1351848.1827163</v>
      </c>
      <c r="S29" s="22" t="n">
        <f aca="false">S28+O29-R29</f>
        <v>196094219.767452</v>
      </c>
      <c r="T29" s="22" t="n">
        <f aca="false">IF(MAX(0,$A29-'1. Inputs'!$C$24-'1. Inputs'!$B$30+1)&lt;=0,0,'1. Inputs'!$B$24*'1. Inputs'!$B$5*MAX(0,$A29-'1. Inputs'!$C$24-'1. Inputs'!$B$30+1)^'1. Inputs'!$B$7/('1. Inputs'!$B$6^'1. Inputs'!$B$7+MAX(0,$A29-'1. Inputs'!$C$24-'1. Inputs'!$B$30+1)^'1. Inputs'!$B$7)*('1. Inputs'!$B$9+'1. Inputs'!$B$10*MAX(0,$A29-'1. Inputs'!$C$24-'1. Inputs'!$B$30+1)/(MAX(0,$A29-'1. Inputs'!$C$24-'1. Inputs'!$B$30+1)+'1. Inputs'!$B$11))*'1. Inputs'!$B$13*(1+'1. Inputs'!$B$14*MIN(MAX(0,$A29-'1. Inputs'!$C$24-'1. Inputs'!$B$30+1),'1. Inputs'!$B$15))*('1. Inputs'!$B$31*'5. Diagnosing a miss'!$B$22))</f>
        <v>3022790.4</v>
      </c>
      <c r="U29" s="22" t="n">
        <f aca="false">IF(MAX(0,$A29-'1. Inputs'!$C$25-'1. Inputs'!$B$30+1)&lt;=0,0,'1. Inputs'!$B$25*'1. Inputs'!$B$5*MAX(0,$A29-'1. Inputs'!$C$25-'1. Inputs'!$B$30+1)^'1. Inputs'!$B$7/('1. Inputs'!$B$6^'1. Inputs'!$B$7+MAX(0,$A29-'1. Inputs'!$C$25-'1. Inputs'!$B$30+1)^'1. Inputs'!$B$7)*('1. Inputs'!$B$9+'1. Inputs'!$B$10*MAX(0,$A29-'1. Inputs'!$C$25-'1. Inputs'!$B$30+1)/(MAX(0,$A29-'1. Inputs'!$C$25-'1. Inputs'!$B$30+1)+'1. Inputs'!$B$11))*'1. Inputs'!$B$13*(1+'1. Inputs'!$B$14*MIN(MAX(0,$A29-'1. Inputs'!$C$25-'1. Inputs'!$B$30+1),'1. Inputs'!$B$15))*('1. Inputs'!$B$31*'5. Diagnosing a miss'!$B$22))</f>
        <v>3407152.4652819</v>
      </c>
      <c r="V29" s="22" t="n">
        <f aca="false">IF(MAX(0,$A29-'1. Inputs'!$C$26-'1. Inputs'!$B$30+1)&lt;=0,0,'1. Inputs'!$B$26*'1. Inputs'!$B$5*MAX(0,$A29-'1. Inputs'!$C$26-'1. Inputs'!$B$30+1)^'1. Inputs'!$B$7/('1. Inputs'!$B$6^'1. Inputs'!$B$7+MAX(0,$A29-'1. Inputs'!$C$26-'1. Inputs'!$B$30+1)^'1. Inputs'!$B$7)*('1. Inputs'!$B$9+'1. Inputs'!$B$10*MAX(0,$A29-'1. Inputs'!$C$26-'1. Inputs'!$B$30+1)/(MAX(0,$A29-'1. Inputs'!$C$26-'1. Inputs'!$B$30+1)+'1. Inputs'!$B$11))*'1. Inputs'!$B$13*(1+'1. Inputs'!$B$14*MIN(MAX(0,$A29-'1. Inputs'!$C$26-'1. Inputs'!$B$30+1),'1. Inputs'!$B$15))*('1. Inputs'!$B$31*'5. Diagnosing a miss'!$B$22))</f>
        <v>1030535.47792662</v>
      </c>
      <c r="W29" s="22" t="n">
        <f aca="false">IF(MAX(0,$A29-'1. Inputs'!$C$27-'1. Inputs'!$B$30+1)&lt;=0,0,'1. Inputs'!$B$27*'1. Inputs'!$B$5*MAX(0,$A29-'1. Inputs'!$C$27-'1. Inputs'!$B$30+1)^'1. Inputs'!$B$7/('1. Inputs'!$B$6^'1. Inputs'!$B$7+MAX(0,$A29-'1. Inputs'!$C$27-'1. Inputs'!$B$30+1)^'1. Inputs'!$B$7)*('1. Inputs'!$B$9+'1. Inputs'!$B$10*MAX(0,$A29-'1. Inputs'!$C$27-'1. Inputs'!$B$30+1)/(MAX(0,$A29-'1. Inputs'!$C$27-'1. Inputs'!$B$30+1)+'1. Inputs'!$B$11))*'1. Inputs'!$B$13*(1+'1. Inputs'!$B$14*MIN(MAX(0,$A29-'1. Inputs'!$C$27-'1. Inputs'!$B$30+1),'1. Inputs'!$B$15))*('1. Inputs'!$B$31*'5. Diagnosing a miss'!$B$22))</f>
        <v>657845.303867403</v>
      </c>
      <c r="X29" s="22" t="n">
        <f aca="false">SUM(T29:W29)</f>
        <v>8118323.64707592</v>
      </c>
      <c r="Y29" s="22" t="n">
        <f aca="false">IF($A29=MAX('1. Inputs'!$B$17,1),'1. Inputs'!$B$3,0)+IF($A29-'1. Inputs'!$B$17&gt;=1,INDEX(X$3:X$86,$A29-'1. Inputs'!$B$17),0)</f>
        <v>1859312.94680412</v>
      </c>
      <c r="Z29" s="22" t="n">
        <f aca="false">Z28*(1-'1. Inputs'!$B$18)+Y29</f>
        <v>135262019.085073</v>
      </c>
      <c r="AA29" s="22" t="n">
        <f aca="false">Z29*'1. Inputs'!$B$18</f>
        <v>1352620.19085073</v>
      </c>
      <c r="AB29" s="22" t="n">
        <f aca="false">AB28+X29-AA29</f>
        <v>196948914.193742</v>
      </c>
      <c r="AC29" s="22" t="n">
        <f aca="false">IF(MAX(0,$A29-'1. Inputs'!$C$24-('1. Inputs'!$B$30+'5. Diagnosing a miss'!$B$23)+1)&lt;=0,0,'1. Inputs'!$B$24*'1. Inputs'!$B$5*MAX(0,$A29-'1. Inputs'!$C$24-('1. Inputs'!$B$30+'5. Diagnosing a miss'!$B$23)+1)^'1. Inputs'!$B$7/('1. Inputs'!$B$6^'1. Inputs'!$B$7+MAX(0,$A29-'1. Inputs'!$C$24-('1. Inputs'!$B$30+'5. Diagnosing a miss'!$B$23)+1)^'1. Inputs'!$B$7)*('1. Inputs'!$B$9+'1. Inputs'!$B$10*MAX(0,$A29-'1. Inputs'!$C$24-('1. Inputs'!$B$30+'5. Diagnosing a miss'!$B$23)+1)/(MAX(0,$A29-'1. Inputs'!$C$24-('1. Inputs'!$B$30+'5. Diagnosing a miss'!$B$23)+1)+'1. Inputs'!$B$11))*'1. Inputs'!$B$13*(1+'1. Inputs'!$B$14*MIN(MAX(0,$A29-'1. Inputs'!$C$24-('1. Inputs'!$B$30+'5. Diagnosing a miss'!$B$23)+1),'1. Inputs'!$B$15))*'1. Inputs'!$B$31)</f>
        <v>3125606.4</v>
      </c>
      <c r="AD29" s="22" t="n">
        <f aca="false">IF(MAX(0,$A29-'1. Inputs'!$C$25-('1. Inputs'!$B$30+'5. Diagnosing a miss'!$B$23)+1)&lt;=0,0,'1. Inputs'!$B$25*'1. Inputs'!$B$5*MAX(0,$A29-'1. Inputs'!$C$25-('1. Inputs'!$B$30+'5. Diagnosing a miss'!$B$23)+1)^'1. Inputs'!$B$7/('1. Inputs'!$B$6^'1. Inputs'!$B$7+MAX(0,$A29-'1. Inputs'!$C$25-('1. Inputs'!$B$30+'5. Diagnosing a miss'!$B$23)+1)^'1. Inputs'!$B$7)*('1. Inputs'!$B$9+'1. Inputs'!$B$10*MAX(0,$A29-'1. Inputs'!$C$25-('1. Inputs'!$B$30+'5. Diagnosing a miss'!$B$23)+1)/(MAX(0,$A29-'1. Inputs'!$C$25-('1. Inputs'!$B$30+'5. Diagnosing a miss'!$B$23)+1)+'1. Inputs'!$B$11))*'1. Inputs'!$B$13*(1+'1. Inputs'!$B$14*MIN(MAX(0,$A29-'1. Inputs'!$C$25-('1. Inputs'!$B$30+'5. Diagnosing a miss'!$B$23)+1),'1. Inputs'!$B$15))*'1. Inputs'!$B$31)</f>
        <v>3127017.17557895</v>
      </c>
      <c r="AE29" s="22" t="n">
        <f aca="false">IF(MAX(0,$A29-'1. Inputs'!$C$26-('1. Inputs'!$B$30+'5. Diagnosing a miss'!$B$23)+1)&lt;=0,0,'1. Inputs'!$B$26*'1. Inputs'!$B$5*MAX(0,$A29-'1. Inputs'!$C$26-('1. Inputs'!$B$30+'5. Diagnosing a miss'!$B$23)+1)^'1. Inputs'!$B$7/('1. Inputs'!$B$6^'1. Inputs'!$B$7+MAX(0,$A29-'1. Inputs'!$C$26-('1. Inputs'!$B$30+'5. Diagnosing a miss'!$B$23)+1)^'1. Inputs'!$B$7)*('1. Inputs'!$B$9+'1. Inputs'!$B$10*MAX(0,$A29-'1. Inputs'!$C$26-('1. Inputs'!$B$30+'5. Diagnosing a miss'!$B$23)+1)/(MAX(0,$A29-'1. Inputs'!$C$26-('1. Inputs'!$B$30+'5. Diagnosing a miss'!$B$23)+1)+'1. Inputs'!$B$11))*'1. Inputs'!$B$13*(1+'1. Inputs'!$B$14*MIN(MAX(0,$A29-'1. Inputs'!$C$26-('1. Inputs'!$B$30+'5. Diagnosing a miss'!$B$23)+1),'1. Inputs'!$B$15))*'1. Inputs'!$B$31)</f>
        <v>761241.6</v>
      </c>
      <c r="AF29" s="22" t="n">
        <f aca="false">IF(MAX(0,$A29-'1. Inputs'!$C$27-('1. Inputs'!$B$30+'5. Diagnosing a miss'!$B$23)+1)&lt;=0,0,'1. Inputs'!$B$27*'1. Inputs'!$B$5*MAX(0,$A29-'1. Inputs'!$C$27-('1. Inputs'!$B$30+'5. Diagnosing a miss'!$B$23)+1)^'1. Inputs'!$B$7/('1. Inputs'!$B$6^'1. Inputs'!$B$7+MAX(0,$A29-'1. Inputs'!$C$27-('1. Inputs'!$B$30+'5. Diagnosing a miss'!$B$23)+1)^'1. Inputs'!$B$7)*('1. Inputs'!$B$9+'1. Inputs'!$B$10*MAX(0,$A29-'1. Inputs'!$C$27-('1. Inputs'!$B$30+'5. Diagnosing a miss'!$B$23)+1)/(MAX(0,$A29-'1. Inputs'!$C$27-('1. Inputs'!$B$30+'5. Diagnosing a miss'!$B$23)+1)+'1. Inputs'!$B$11))*'1. Inputs'!$B$13*(1+'1. Inputs'!$B$14*MIN(MAX(0,$A29-'1. Inputs'!$C$27-('1. Inputs'!$B$30+'5. Diagnosing a miss'!$B$23)+1),'1. Inputs'!$B$15))*'1. Inputs'!$B$31)</f>
        <v>445623.976331361</v>
      </c>
      <c r="AG29" s="22" t="n">
        <f aca="false">SUM(AC29:AF29)</f>
        <v>7459489.15191031</v>
      </c>
      <c r="AH29" s="22" t="n">
        <f aca="false">IF($A29=MAX('1. Inputs'!$B$17,1),'1. Inputs'!$B$3,0)+IF($A29-'1. Inputs'!$B$17&gt;=1,INDEX(AG$3:AG$86,$A29-'1. Inputs'!$B$17),0)</f>
        <v>863069.538461539</v>
      </c>
      <c r="AI29" s="22" t="n">
        <f aca="false">AI28*(1-'1. Inputs'!$B$18)+AH29</f>
        <v>131193774.960064</v>
      </c>
      <c r="AJ29" s="22" t="n">
        <f aca="false">AI29*'1. Inputs'!$B$18</f>
        <v>1311937.74960064</v>
      </c>
      <c r="AK29" s="22" t="n">
        <f aca="false">AK28+AG29-AJ29</f>
        <v>179233589.611511</v>
      </c>
    </row>
    <row r="30" customFormat="false" ht="15" hidden="false" customHeight="false" outlineLevel="0" collapsed="false">
      <c r="A30" s="7" t="n">
        <v>28</v>
      </c>
      <c r="B30" s="22" t="n">
        <f aca="false">IF(MAX(0,$A30-'1. Inputs'!$C$24-'1. Inputs'!$B$30+1)&lt;=0,0,'1. Inputs'!$B$24*'1. Inputs'!$B$5*MAX(0,$A30-'1. Inputs'!$C$24-'1. Inputs'!$B$30+1)^'1. Inputs'!$B$7/('1. Inputs'!$B$6^'1. Inputs'!$B$7+MAX(0,$A30-'1. Inputs'!$C$24-'1. Inputs'!$B$30+1)^'1. Inputs'!$B$7)*('1. Inputs'!$B$9+'1. Inputs'!$B$10*MAX(0,$A30-'1. Inputs'!$C$24-'1. Inputs'!$B$30+1)/(MAX(0,$A30-'1. Inputs'!$C$24-'1. Inputs'!$B$30+1)+'1. Inputs'!$B$11))*'1. Inputs'!$B$13*(1+'1. Inputs'!$B$14*MIN(MAX(0,$A30-'1. Inputs'!$C$24-'1. Inputs'!$B$30+1),'1. Inputs'!$B$15))*'1. Inputs'!$B$31)</f>
        <v>3422381.98938053</v>
      </c>
      <c r="C30" s="22" t="n">
        <f aca="false">IF(MAX(0,$A30-'1. Inputs'!$C$25-'1. Inputs'!$B$30+1)&lt;=0,0,'1. Inputs'!$B$25*'1. Inputs'!$B$5*MAX(0,$A30-'1. Inputs'!$C$25-'1. Inputs'!$B$30+1)^'1. Inputs'!$B$7/('1. Inputs'!$B$6^'1. Inputs'!$B$7+MAX(0,$A30-'1. Inputs'!$C$25-'1. Inputs'!$B$30+1)^'1. Inputs'!$B$7)*('1. Inputs'!$B$9+'1. Inputs'!$B$10*MAX(0,$A30-'1. Inputs'!$C$25-'1. Inputs'!$B$30+1)/(MAX(0,$A30-'1. Inputs'!$C$25-'1. Inputs'!$B$30+1)+'1. Inputs'!$B$11))*'1. Inputs'!$B$13*(1+'1. Inputs'!$B$14*MIN(MAX(0,$A30-'1. Inputs'!$C$25-'1. Inputs'!$B$30+1),'1. Inputs'!$B$15))*'1. Inputs'!$B$31)</f>
        <v>3981560.67497062</v>
      </c>
      <c r="D30" s="22" t="n">
        <f aca="false">IF(MAX(0,$A30-'1. Inputs'!$C$26-'1. Inputs'!$B$30+1)&lt;=0,0,'1. Inputs'!$B$26*'1. Inputs'!$B$5*MAX(0,$A30-'1. Inputs'!$C$26-'1. Inputs'!$B$30+1)^'1. Inputs'!$B$7/('1. Inputs'!$B$6^'1. Inputs'!$B$7+MAX(0,$A30-'1. Inputs'!$C$26-'1. Inputs'!$B$30+1)^'1. Inputs'!$B$7)*('1. Inputs'!$B$9+'1. Inputs'!$B$10*MAX(0,$A30-'1. Inputs'!$C$26-'1. Inputs'!$B$30+1)/(MAX(0,$A30-'1. Inputs'!$C$26-'1. Inputs'!$B$30+1)+'1. Inputs'!$B$11))*'1. Inputs'!$B$13*(1+'1. Inputs'!$B$14*MIN(MAX(0,$A30-'1. Inputs'!$C$26-'1. Inputs'!$B$30+1),'1. Inputs'!$B$15))*'1. Inputs'!$B$31)</f>
        <v>1259919.36</v>
      </c>
      <c r="E30" s="22" t="n">
        <f aca="false">IF(MAX(0,$A30-'1. Inputs'!$C$27-'1. Inputs'!$B$30+1)&lt;=0,0,'1. Inputs'!$B$27*'1. Inputs'!$B$5*MAX(0,$A30-'1. Inputs'!$C$27-'1. Inputs'!$B$30+1)^'1. Inputs'!$B$7/('1. Inputs'!$B$6^'1. Inputs'!$B$7+MAX(0,$A30-'1. Inputs'!$C$27-'1. Inputs'!$B$30+1)^'1. Inputs'!$B$7)*('1. Inputs'!$B$9+'1. Inputs'!$B$10*MAX(0,$A30-'1. Inputs'!$C$27-'1. Inputs'!$B$30+1)/(MAX(0,$A30-'1. Inputs'!$C$27-'1. Inputs'!$B$30+1)+'1. Inputs'!$B$11))*'1. Inputs'!$B$13*(1+'1. Inputs'!$B$14*MIN(MAX(0,$A30-'1. Inputs'!$C$27-'1. Inputs'!$B$30+1),'1. Inputs'!$B$15))*'1. Inputs'!$B$31)</f>
        <v>817885.299941759</v>
      </c>
      <c r="F30" s="22" t="n">
        <f aca="false">SUM(B30:E30)</f>
        <v>9481747.32429291</v>
      </c>
      <c r="G30" s="22" t="n">
        <f aca="false">IF($A30=MAX('1. Inputs'!$B$17,1),'1. Inputs'!$B$3,0)+IF($A30-'1. Inputs'!$B$17&gt;=1,INDEX(F$3:F$86,$A30-'1. Inputs'!$B$17),0)</f>
        <v>2562556.03043886</v>
      </c>
      <c r="H30" s="22" t="n">
        <f aca="false">H29*(1-'1. Inputs'!$B$18)+G30</f>
        <v>137159814.172437</v>
      </c>
      <c r="I30" s="22" t="n">
        <f aca="false">H30*'1. Inputs'!$B$18</f>
        <v>1371598.14172437</v>
      </c>
      <c r="J30" s="22" t="n">
        <f aca="false">J29+F30-I30</f>
        <v>212751313.212923</v>
      </c>
      <c r="K30" s="22" t="n">
        <f aca="false">IF(MAX(0,$A30-'1. Inputs'!$C$24-'1. Inputs'!$B$30+1)&lt;=0,0,'1. Inputs'!$B$24*('1. Inputs'!$B$5-'5. Diagnosing a miss'!$B$21)*MAX(0,$A30-'1. Inputs'!$C$24-'1. Inputs'!$B$30+1)^'1. Inputs'!$B$7/('1. Inputs'!$B$6^'1. Inputs'!$B$7+MAX(0,$A30-'1. Inputs'!$C$24-'1. Inputs'!$B$30+1)^'1. Inputs'!$B$7)*('1. Inputs'!$B$9+'1. Inputs'!$B$10*MAX(0,$A30-'1. Inputs'!$C$24-'1. Inputs'!$B$30+1)/(MAX(0,$A30-'1. Inputs'!$C$24-'1. Inputs'!$B$30+1)+'1. Inputs'!$B$11))*'1. Inputs'!$B$13*(1+'1. Inputs'!$B$14*MIN(MAX(0,$A30-'1. Inputs'!$C$24-'1. Inputs'!$B$30+1),'1. Inputs'!$B$15))*'1. Inputs'!$B$31)</f>
        <v>3042117.32389381</v>
      </c>
      <c r="L30" s="22" t="n">
        <f aca="false">IF(MAX(0,$A30-'1. Inputs'!$C$25-'1. Inputs'!$B$30+1)&lt;=0,0,'1. Inputs'!$B$25*('1. Inputs'!$B$5-'5. Diagnosing a miss'!$B$21)*MAX(0,$A30-'1. Inputs'!$C$25-'1. Inputs'!$B$30+1)^'1. Inputs'!$B$7/('1. Inputs'!$B$6^'1. Inputs'!$B$7+MAX(0,$A30-'1. Inputs'!$C$25-'1. Inputs'!$B$30+1)^'1. Inputs'!$B$7)*('1. Inputs'!$B$9+'1. Inputs'!$B$10*MAX(0,$A30-'1. Inputs'!$C$25-'1. Inputs'!$B$30+1)/(MAX(0,$A30-'1. Inputs'!$C$25-'1. Inputs'!$B$30+1)+'1. Inputs'!$B$11))*'1. Inputs'!$B$13*(1+'1. Inputs'!$B$14*MIN(MAX(0,$A30-'1. Inputs'!$C$25-'1. Inputs'!$B$30+1),'1. Inputs'!$B$15))*'1. Inputs'!$B$31)</f>
        <v>3539165.04441833</v>
      </c>
      <c r="M30" s="22" t="n">
        <f aca="false">IF(MAX(0,$A30-'1. Inputs'!$C$26-'1. Inputs'!$B$30+1)&lt;=0,0,'1. Inputs'!$B$26*('1. Inputs'!$B$5-'5. Diagnosing a miss'!$B$21)*MAX(0,$A30-'1. Inputs'!$C$26-'1. Inputs'!$B$30+1)^'1. Inputs'!$B$7/('1. Inputs'!$B$6^'1. Inputs'!$B$7+MAX(0,$A30-'1. Inputs'!$C$26-'1. Inputs'!$B$30+1)^'1. Inputs'!$B$7)*('1. Inputs'!$B$9+'1. Inputs'!$B$10*MAX(0,$A30-'1. Inputs'!$C$26-'1. Inputs'!$B$30+1)/(MAX(0,$A30-'1. Inputs'!$C$26-'1. Inputs'!$B$30+1)+'1. Inputs'!$B$11))*'1. Inputs'!$B$13*(1+'1. Inputs'!$B$14*MIN(MAX(0,$A30-'1. Inputs'!$C$26-'1. Inputs'!$B$30+1),'1. Inputs'!$B$15))*'1. Inputs'!$B$31)</f>
        <v>1119928.32</v>
      </c>
      <c r="N30" s="22" t="n">
        <f aca="false">IF(MAX(0,$A30-'1. Inputs'!$C$27-'1. Inputs'!$B$30+1)&lt;=0,0,'1. Inputs'!$B$27*('1. Inputs'!$B$5-'5. Diagnosing a miss'!$B$21)*MAX(0,$A30-'1. Inputs'!$C$27-'1. Inputs'!$B$30+1)^'1. Inputs'!$B$7/('1. Inputs'!$B$6^'1. Inputs'!$B$7+MAX(0,$A30-'1. Inputs'!$C$27-'1. Inputs'!$B$30+1)^'1. Inputs'!$B$7)*('1. Inputs'!$B$9+'1. Inputs'!$B$10*MAX(0,$A30-'1. Inputs'!$C$27-'1. Inputs'!$B$30+1)/(MAX(0,$A30-'1. Inputs'!$C$27-'1. Inputs'!$B$30+1)+'1. Inputs'!$B$11))*'1. Inputs'!$B$13*(1+'1. Inputs'!$B$14*MIN(MAX(0,$A30-'1. Inputs'!$C$27-'1. Inputs'!$B$30+1),'1. Inputs'!$B$15))*'1. Inputs'!$B$31)</f>
        <v>727009.155503786</v>
      </c>
      <c r="O30" s="22" t="n">
        <f aca="false">SUM(K30:N30)</f>
        <v>8428219.84381592</v>
      </c>
      <c r="P30" s="22" t="n">
        <f aca="false">IF($A30=MAX('1. Inputs'!$B$17,1),'1. Inputs'!$B$3,0)+IF($A30-'1. Inputs'!$B$17&gt;=1,INDEX(O$3:O$86,$A30-'1. Inputs'!$B$17),0)</f>
        <v>2277827.58261232</v>
      </c>
      <c r="Q30" s="22" t="n">
        <f aca="false">Q29*(1-'1. Inputs'!$B$18)+P30</f>
        <v>136110797.671526</v>
      </c>
      <c r="R30" s="22" t="n">
        <f aca="false">Q30*'1. Inputs'!$B$18</f>
        <v>1361107.97671526</v>
      </c>
      <c r="S30" s="22" t="n">
        <f aca="false">S29+O30-R30</f>
        <v>203161331.634552</v>
      </c>
      <c r="T30" s="22" t="n">
        <f aca="false">IF(MAX(0,$A30-'1. Inputs'!$C$24-'1. Inputs'!$B$30+1)&lt;=0,0,'1. Inputs'!$B$24*'1. Inputs'!$B$5*MAX(0,$A30-'1. Inputs'!$C$24-'1. Inputs'!$B$30+1)^'1. Inputs'!$B$7/('1. Inputs'!$B$6^'1. Inputs'!$B$7+MAX(0,$A30-'1. Inputs'!$C$24-'1. Inputs'!$B$30+1)^'1. Inputs'!$B$7)*('1. Inputs'!$B$9+'1. Inputs'!$B$10*MAX(0,$A30-'1. Inputs'!$C$24-'1. Inputs'!$B$30+1)/(MAX(0,$A30-'1. Inputs'!$C$24-'1. Inputs'!$B$30+1)+'1. Inputs'!$B$11))*'1. Inputs'!$B$13*(1+'1. Inputs'!$B$14*MIN(MAX(0,$A30-'1. Inputs'!$C$24-'1. Inputs'!$B$30+1),'1. Inputs'!$B$15))*('1. Inputs'!$B$31*'5. Diagnosing a miss'!$B$22))</f>
        <v>3080143.79044248</v>
      </c>
      <c r="U30" s="22" t="n">
        <f aca="false">IF(MAX(0,$A30-'1. Inputs'!$C$25-'1. Inputs'!$B$30+1)&lt;=0,0,'1. Inputs'!$B$25*'1. Inputs'!$B$5*MAX(0,$A30-'1. Inputs'!$C$25-'1. Inputs'!$B$30+1)^'1. Inputs'!$B$7/('1. Inputs'!$B$6^'1. Inputs'!$B$7+MAX(0,$A30-'1. Inputs'!$C$25-'1. Inputs'!$B$30+1)^'1. Inputs'!$B$7)*('1. Inputs'!$B$9+'1. Inputs'!$B$10*MAX(0,$A30-'1. Inputs'!$C$25-'1. Inputs'!$B$30+1)/(MAX(0,$A30-'1. Inputs'!$C$25-'1. Inputs'!$B$30+1)+'1. Inputs'!$B$11))*'1. Inputs'!$B$13*(1+'1. Inputs'!$B$14*MIN(MAX(0,$A30-'1. Inputs'!$C$25-'1. Inputs'!$B$30+1),'1. Inputs'!$B$15))*('1. Inputs'!$B$31*'5. Diagnosing a miss'!$B$22))</f>
        <v>3583404.60747356</v>
      </c>
      <c r="V30" s="22" t="n">
        <f aca="false">IF(MAX(0,$A30-'1. Inputs'!$C$26-'1. Inputs'!$B$30+1)&lt;=0,0,'1. Inputs'!$B$26*'1. Inputs'!$B$5*MAX(0,$A30-'1. Inputs'!$C$26-'1. Inputs'!$B$30+1)^'1. Inputs'!$B$7/('1. Inputs'!$B$6^'1. Inputs'!$B$7+MAX(0,$A30-'1. Inputs'!$C$26-'1. Inputs'!$B$30+1)^'1. Inputs'!$B$7)*('1. Inputs'!$B$9+'1. Inputs'!$B$10*MAX(0,$A30-'1. Inputs'!$C$26-'1. Inputs'!$B$30+1)/(MAX(0,$A30-'1. Inputs'!$C$26-'1. Inputs'!$B$30+1)+'1. Inputs'!$B$11))*'1. Inputs'!$B$13*(1+'1. Inputs'!$B$14*MIN(MAX(0,$A30-'1. Inputs'!$C$26-'1. Inputs'!$B$30+1),'1. Inputs'!$B$15))*('1. Inputs'!$B$31*'5. Diagnosing a miss'!$B$22))</f>
        <v>1133927.424</v>
      </c>
      <c r="W30" s="22" t="n">
        <f aca="false">IF(MAX(0,$A30-'1. Inputs'!$C$27-'1. Inputs'!$B$30+1)&lt;=0,0,'1. Inputs'!$B$27*'1. Inputs'!$B$5*MAX(0,$A30-'1. Inputs'!$C$27-'1. Inputs'!$B$30+1)^'1. Inputs'!$B$7/('1. Inputs'!$B$6^'1. Inputs'!$B$7+MAX(0,$A30-'1. Inputs'!$C$27-'1. Inputs'!$B$30+1)^'1. Inputs'!$B$7)*('1. Inputs'!$B$9+'1. Inputs'!$B$10*MAX(0,$A30-'1. Inputs'!$C$27-'1. Inputs'!$B$30+1)/(MAX(0,$A30-'1. Inputs'!$C$27-'1. Inputs'!$B$30+1)+'1. Inputs'!$B$11))*'1. Inputs'!$B$13*(1+'1. Inputs'!$B$14*MIN(MAX(0,$A30-'1. Inputs'!$C$27-'1. Inputs'!$B$30+1),'1. Inputs'!$B$15))*('1. Inputs'!$B$31*'5. Diagnosing a miss'!$B$22))</f>
        <v>736096.769947583</v>
      </c>
      <c r="X30" s="22" t="n">
        <f aca="false">SUM(T30:W30)</f>
        <v>8533572.59186362</v>
      </c>
      <c r="Y30" s="22" t="n">
        <f aca="false">IF($A30=MAX('1. Inputs'!$B$17,1),'1. Inputs'!$B$3,0)+IF($A30-'1. Inputs'!$B$17&gt;=1,INDEX(X$3:X$86,$A30-'1. Inputs'!$B$17),0)</f>
        <v>2306300.42739498</v>
      </c>
      <c r="Z30" s="22" t="n">
        <f aca="false">Z29*(1-'1. Inputs'!$B$18)+Y30</f>
        <v>136215699.321617</v>
      </c>
      <c r="AA30" s="22" t="n">
        <f aca="false">Z30*'1. Inputs'!$B$18</f>
        <v>1362156.99321617</v>
      </c>
      <c r="AB30" s="22" t="n">
        <f aca="false">AB29+X30-AA30</f>
        <v>204120329.792389</v>
      </c>
      <c r="AC30" s="22" t="n">
        <f aca="false">IF(MAX(0,$A30-'1. Inputs'!$C$24-('1. Inputs'!$B$30+'5. Diagnosing a miss'!$B$23)+1)&lt;=0,0,'1. Inputs'!$B$24*'1. Inputs'!$B$5*MAX(0,$A30-'1. Inputs'!$C$24-('1. Inputs'!$B$30+'5. Diagnosing a miss'!$B$23)+1)^'1. Inputs'!$B$7/('1. Inputs'!$B$6^'1. Inputs'!$B$7+MAX(0,$A30-'1. Inputs'!$C$24-('1. Inputs'!$B$30+'5. Diagnosing a miss'!$B$23)+1)^'1. Inputs'!$B$7)*('1. Inputs'!$B$9+'1. Inputs'!$B$10*MAX(0,$A30-'1. Inputs'!$C$24-('1. Inputs'!$B$30+'5. Diagnosing a miss'!$B$23)+1)/(MAX(0,$A30-'1. Inputs'!$C$24-('1. Inputs'!$B$30+'5. Diagnosing a miss'!$B$23)+1)+'1. Inputs'!$B$11))*'1. Inputs'!$B$13*(1+'1. Inputs'!$B$14*MIN(MAX(0,$A30-'1. Inputs'!$C$24-('1. Inputs'!$B$30+'5. Diagnosing a miss'!$B$23)+1),'1. Inputs'!$B$15))*'1. Inputs'!$B$31)</f>
        <v>3211171.64307692</v>
      </c>
      <c r="AD30" s="22" t="n">
        <f aca="false">IF(MAX(0,$A30-'1. Inputs'!$C$25-('1. Inputs'!$B$30+'5. Diagnosing a miss'!$B$23)+1)&lt;=0,0,'1. Inputs'!$B$25*'1. Inputs'!$B$5*MAX(0,$A30-'1. Inputs'!$C$25-('1. Inputs'!$B$30+'5. Diagnosing a miss'!$B$23)+1)^'1. Inputs'!$B$7/('1. Inputs'!$B$6^'1. Inputs'!$B$7+MAX(0,$A30-'1. Inputs'!$C$25-('1. Inputs'!$B$30+'5. Diagnosing a miss'!$B$23)+1)^'1. Inputs'!$B$7)*('1. Inputs'!$B$9+'1. Inputs'!$B$10*MAX(0,$A30-'1. Inputs'!$C$25-('1. Inputs'!$B$30+'5. Diagnosing a miss'!$B$23)+1)/(MAX(0,$A30-'1. Inputs'!$C$25-('1. Inputs'!$B$30+'5. Diagnosing a miss'!$B$23)+1)+'1. Inputs'!$B$11))*'1. Inputs'!$B$13*(1+'1. Inputs'!$B$14*MIN(MAX(0,$A30-'1. Inputs'!$C$25-('1. Inputs'!$B$30+'5. Diagnosing a miss'!$B$23)+1),'1. Inputs'!$B$15))*'1. Inputs'!$B$31)</f>
        <v>3359654.53862816</v>
      </c>
      <c r="AE30" s="22" t="n">
        <f aca="false">IF(MAX(0,$A30-'1. Inputs'!$C$26-('1. Inputs'!$B$30+'5. Diagnosing a miss'!$B$23)+1)&lt;=0,0,'1. Inputs'!$B$26*'1. Inputs'!$B$5*MAX(0,$A30-'1. Inputs'!$C$26-('1. Inputs'!$B$30+'5. Diagnosing a miss'!$B$23)+1)^'1. Inputs'!$B$7/('1. Inputs'!$B$6^'1. Inputs'!$B$7+MAX(0,$A30-'1. Inputs'!$C$26-('1. Inputs'!$B$30+'5. Diagnosing a miss'!$B$23)+1)^'1. Inputs'!$B$7)*('1. Inputs'!$B$9+'1. Inputs'!$B$10*MAX(0,$A30-'1. Inputs'!$C$26-('1. Inputs'!$B$30+'5. Diagnosing a miss'!$B$23)+1)/(MAX(0,$A30-'1. Inputs'!$C$26-('1. Inputs'!$B$30+'5. Diagnosing a miss'!$B$23)+1)+'1. Inputs'!$B$11))*'1. Inputs'!$B$13*(1+'1. Inputs'!$B$14*MIN(MAX(0,$A30-'1. Inputs'!$C$26-('1. Inputs'!$B$30+'5. Diagnosing a miss'!$B$23)+1),'1. Inputs'!$B$15))*'1. Inputs'!$B$31)</f>
        <v>895053.6</v>
      </c>
      <c r="AF30" s="22" t="n">
        <f aca="false">IF(MAX(0,$A30-'1. Inputs'!$C$27-('1. Inputs'!$B$30+'5. Diagnosing a miss'!$B$23)+1)&lt;=0,0,'1. Inputs'!$B$27*'1. Inputs'!$B$5*MAX(0,$A30-'1. Inputs'!$C$27-('1. Inputs'!$B$30+'5. Diagnosing a miss'!$B$23)+1)^'1. Inputs'!$B$7/('1. Inputs'!$B$6^'1. Inputs'!$B$7+MAX(0,$A30-'1. Inputs'!$C$27-('1. Inputs'!$B$30+'5. Diagnosing a miss'!$B$23)+1)^'1. Inputs'!$B$7)*('1. Inputs'!$B$9+'1. Inputs'!$B$10*MAX(0,$A30-'1. Inputs'!$C$27-('1. Inputs'!$B$30+'5. Diagnosing a miss'!$B$23)+1)/(MAX(0,$A30-'1. Inputs'!$C$27-('1. Inputs'!$B$30+'5. Diagnosing a miss'!$B$23)+1)+'1. Inputs'!$B$11))*'1. Inputs'!$B$13*(1+'1. Inputs'!$B$14*MIN(MAX(0,$A30-'1. Inputs'!$C$27-('1. Inputs'!$B$30+'5. Diagnosing a miss'!$B$23)+1),'1. Inputs'!$B$15))*'1. Inputs'!$B$31)</f>
        <v>543744</v>
      </c>
      <c r="AG30" s="22" t="n">
        <f aca="false">SUM(AC30:AF30)</f>
        <v>8009623.78170508</v>
      </c>
      <c r="AH30" s="22" t="n">
        <f aca="false">IF($A30=MAX('1. Inputs'!$B$17,1),'1. Inputs'!$B$3,0)+IF($A30-'1. Inputs'!$B$17&gt;=1,INDEX(AG$3:AG$86,$A30-'1. Inputs'!$B$17),0)</f>
        <v>1197762.57848938</v>
      </c>
      <c r="AI30" s="22" t="n">
        <f aca="false">AI29*(1-'1. Inputs'!$B$18)+AH30</f>
        <v>131079599.788952</v>
      </c>
      <c r="AJ30" s="22" t="n">
        <f aca="false">AI30*'1. Inputs'!$B$18</f>
        <v>1310795.99788952</v>
      </c>
      <c r="AK30" s="22" t="n">
        <f aca="false">AK29+AG30-AJ30</f>
        <v>185932417.395326</v>
      </c>
    </row>
    <row r="31" customFormat="false" ht="15" hidden="false" customHeight="false" outlineLevel="0" collapsed="false">
      <c r="A31" s="7" t="n">
        <v>29</v>
      </c>
      <c r="B31" s="22" t="n">
        <f aca="false">IF(MAX(0,$A31-'1. Inputs'!$C$24-'1. Inputs'!$B$30+1)&lt;=0,0,'1. Inputs'!$B$24*'1. Inputs'!$B$5*MAX(0,$A31-'1. Inputs'!$C$24-'1. Inputs'!$B$30+1)^'1. Inputs'!$B$7/('1. Inputs'!$B$6^'1. Inputs'!$B$7+MAX(0,$A31-'1. Inputs'!$C$24-'1. Inputs'!$B$30+1)^'1. Inputs'!$B$7)*('1. Inputs'!$B$9+'1. Inputs'!$B$10*MAX(0,$A31-'1. Inputs'!$C$24-'1. Inputs'!$B$30+1)/(MAX(0,$A31-'1. Inputs'!$C$24-'1. Inputs'!$B$30+1)+'1. Inputs'!$B$11))*'1. Inputs'!$B$13*(1+'1. Inputs'!$B$14*MIN(MAX(0,$A31-'1. Inputs'!$C$24-'1. Inputs'!$B$30+1),'1. Inputs'!$B$15))*'1. Inputs'!$B$31)</f>
        <v>3480446.56009045</v>
      </c>
      <c r="C31" s="22" t="n">
        <f aca="false">IF(MAX(0,$A31-'1. Inputs'!$C$25-'1. Inputs'!$B$30+1)&lt;=0,0,'1. Inputs'!$B$25*'1. Inputs'!$B$5*MAX(0,$A31-'1. Inputs'!$C$25-'1. Inputs'!$B$30+1)^'1. Inputs'!$B$7/('1. Inputs'!$B$6^'1. Inputs'!$B$7+MAX(0,$A31-'1. Inputs'!$C$25-'1. Inputs'!$B$30+1)^'1. Inputs'!$B$7)*('1. Inputs'!$B$9+'1. Inputs'!$B$10*MAX(0,$A31-'1. Inputs'!$C$25-'1. Inputs'!$B$30+1)/(MAX(0,$A31-'1. Inputs'!$C$25-'1. Inputs'!$B$30+1)+'1. Inputs'!$B$11))*'1. Inputs'!$B$13*(1+'1. Inputs'!$B$14*MIN(MAX(0,$A31-'1. Inputs'!$C$25-'1. Inputs'!$B$30+1),'1. Inputs'!$B$15))*'1. Inputs'!$B$31)</f>
        <v>4167475.2</v>
      </c>
      <c r="D31" s="22" t="n">
        <f aca="false">IF(MAX(0,$A31-'1. Inputs'!$C$26-'1. Inputs'!$B$30+1)&lt;=0,0,'1. Inputs'!$B$26*'1. Inputs'!$B$5*MAX(0,$A31-'1. Inputs'!$C$26-'1. Inputs'!$B$30+1)^'1. Inputs'!$B$7/('1. Inputs'!$B$6^'1. Inputs'!$B$7+MAX(0,$A31-'1. Inputs'!$C$26-'1. Inputs'!$B$30+1)^'1. Inputs'!$B$7)*('1. Inputs'!$B$9+'1. Inputs'!$B$10*MAX(0,$A31-'1. Inputs'!$C$26-'1. Inputs'!$B$30+1)/(MAX(0,$A31-'1. Inputs'!$C$26-'1. Inputs'!$B$30+1)+'1. Inputs'!$B$11))*'1. Inputs'!$B$13*(1+'1. Inputs'!$B$14*MIN(MAX(0,$A31-'1. Inputs'!$C$26-'1. Inputs'!$B$30+1),'1. Inputs'!$B$15))*'1. Inputs'!$B$31)</f>
        <v>1368070.01431579</v>
      </c>
      <c r="E31" s="22" t="n">
        <f aca="false">IF(MAX(0,$A31-'1. Inputs'!$C$27-'1. Inputs'!$B$30+1)&lt;=0,0,'1. Inputs'!$B$27*'1. Inputs'!$B$5*MAX(0,$A31-'1. Inputs'!$C$27-'1. Inputs'!$B$30+1)^'1. Inputs'!$B$7/('1. Inputs'!$B$6^'1. Inputs'!$B$7+MAX(0,$A31-'1. Inputs'!$C$27-'1. Inputs'!$B$30+1)^'1. Inputs'!$B$7)*('1. Inputs'!$B$9+'1. Inputs'!$B$10*MAX(0,$A31-'1. Inputs'!$C$27-'1. Inputs'!$B$30+1)/(MAX(0,$A31-'1. Inputs'!$C$27-'1. Inputs'!$B$30+1)+'1. Inputs'!$B$11))*'1. Inputs'!$B$13*(1+'1. Inputs'!$B$14*MIN(MAX(0,$A31-'1. Inputs'!$C$27-'1. Inputs'!$B$30+1),'1. Inputs'!$B$15))*'1. Inputs'!$B$31)</f>
        <v>899942.4</v>
      </c>
      <c r="F31" s="22" t="n">
        <f aca="false">SUM(B31:E31)</f>
        <v>9915934.17440624</v>
      </c>
      <c r="G31" s="22" t="n">
        <f aca="false">IF($A31=MAX('1. Inputs'!$B$17,1),'1. Inputs'!$B$3,0)+IF($A31-'1. Inputs'!$B$17&gt;=1,INDEX(F$3:F$86,$A31-'1. Inputs'!$B$17),0)</f>
        <v>3087368.10447561</v>
      </c>
      <c r="H31" s="22" t="n">
        <f aca="false">H30*(1-'1. Inputs'!$B$18)+G31</f>
        <v>138875584.135189</v>
      </c>
      <c r="I31" s="22" t="n">
        <f aca="false">H31*'1. Inputs'!$B$18</f>
        <v>1388755.84135189</v>
      </c>
      <c r="J31" s="22" t="n">
        <f aca="false">J30+F31-I31</f>
        <v>221278491.545977</v>
      </c>
      <c r="K31" s="22" t="n">
        <f aca="false">IF(MAX(0,$A31-'1. Inputs'!$C$24-'1. Inputs'!$B$30+1)&lt;=0,0,'1. Inputs'!$B$24*('1. Inputs'!$B$5-'5. Diagnosing a miss'!$B$21)*MAX(0,$A31-'1. Inputs'!$C$24-'1. Inputs'!$B$30+1)^'1. Inputs'!$B$7/('1. Inputs'!$B$6^'1. Inputs'!$B$7+MAX(0,$A31-'1. Inputs'!$C$24-'1. Inputs'!$B$30+1)^'1. Inputs'!$B$7)*('1. Inputs'!$B$9+'1. Inputs'!$B$10*MAX(0,$A31-'1. Inputs'!$C$24-'1. Inputs'!$B$30+1)/(MAX(0,$A31-'1. Inputs'!$C$24-'1. Inputs'!$B$30+1)+'1. Inputs'!$B$11))*'1. Inputs'!$B$13*(1+'1. Inputs'!$B$14*MIN(MAX(0,$A31-'1. Inputs'!$C$24-'1. Inputs'!$B$30+1),'1. Inputs'!$B$15))*'1. Inputs'!$B$31)</f>
        <v>3093730.27563595</v>
      </c>
      <c r="L31" s="22" t="n">
        <f aca="false">IF(MAX(0,$A31-'1. Inputs'!$C$25-'1. Inputs'!$B$30+1)&lt;=0,0,'1. Inputs'!$B$25*('1. Inputs'!$B$5-'5. Diagnosing a miss'!$B$21)*MAX(0,$A31-'1. Inputs'!$C$25-'1. Inputs'!$B$30+1)^'1. Inputs'!$B$7/('1. Inputs'!$B$6^'1. Inputs'!$B$7+MAX(0,$A31-'1. Inputs'!$C$25-'1. Inputs'!$B$30+1)^'1. Inputs'!$B$7)*('1. Inputs'!$B$9+'1. Inputs'!$B$10*MAX(0,$A31-'1. Inputs'!$C$25-'1. Inputs'!$B$30+1)/(MAX(0,$A31-'1. Inputs'!$C$25-'1. Inputs'!$B$30+1)+'1. Inputs'!$B$11))*'1. Inputs'!$B$13*(1+'1. Inputs'!$B$14*MIN(MAX(0,$A31-'1. Inputs'!$C$25-'1. Inputs'!$B$30+1),'1. Inputs'!$B$15))*'1. Inputs'!$B$31)</f>
        <v>3704422.4</v>
      </c>
      <c r="M31" s="22" t="n">
        <f aca="false">IF(MAX(0,$A31-'1. Inputs'!$C$26-'1. Inputs'!$B$30+1)&lt;=0,0,'1. Inputs'!$B$26*('1. Inputs'!$B$5-'5. Diagnosing a miss'!$B$21)*MAX(0,$A31-'1. Inputs'!$C$26-'1. Inputs'!$B$30+1)^'1. Inputs'!$B$7/('1. Inputs'!$B$6^'1. Inputs'!$B$7+MAX(0,$A31-'1. Inputs'!$C$26-'1. Inputs'!$B$30+1)^'1. Inputs'!$B$7)*('1. Inputs'!$B$9+'1. Inputs'!$B$10*MAX(0,$A31-'1. Inputs'!$C$26-'1. Inputs'!$B$30+1)/(MAX(0,$A31-'1. Inputs'!$C$26-'1. Inputs'!$B$30+1)+'1. Inputs'!$B$11))*'1. Inputs'!$B$13*(1+'1. Inputs'!$B$14*MIN(MAX(0,$A31-'1. Inputs'!$C$26-'1. Inputs'!$B$30+1),'1. Inputs'!$B$15))*'1. Inputs'!$B$31)</f>
        <v>1216062.23494737</v>
      </c>
      <c r="N31" s="22" t="n">
        <f aca="false">IF(MAX(0,$A31-'1. Inputs'!$C$27-'1. Inputs'!$B$30+1)&lt;=0,0,'1. Inputs'!$B$27*('1. Inputs'!$B$5-'5. Diagnosing a miss'!$B$21)*MAX(0,$A31-'1. Inputs'!$C$27-'1. Inputs'!$B$30+1)^'1. Inputs'!$B$7/('1. Inputs'!$B$6^'1. Inputs'!$B$7+MAX(0,$A31-'1. Inputs'!$C$27-'1. Inputs'!$B$30+1)^'1. Inputs'!$B$7)*('1. Inputs'!$B$9+'1. Inputs'!$B$10*MAX(0,$A31-'1. Inputs'!$C$27-'1. Inputs'!$B$30+1)/(MAX(0,$A31-'1. Inputs'!$C$27-'1. Inputs'!$B$30+1)+'1. Inputs'!$B$11))*'1. Inputs'!$B$13*(1+'1. Inputs'!$B$14*MIN(MAX(0,$A31-'1. Inputs'!$C$27-'1. Inputs'!$B$30+1),'1. Inputs'!$B$15))*'1. Inputs'!$B$31)</f>
        <v>799948.8</v>
      </c>
      <c r="O31" s="22" t="n">
        <f aca="false">SUM(K31:N31)</f>
        <v>8814163.71058332</v>
      </c>
      <c r="P31" s="22" t="n">
        <f aca="false">IF($A31=MAX('1. Inputs'!$B$17,1),'1. Inputs'!$B$3,0)+IF($A31-'1. Inputs'!$B$17&gt;=1,INDEX(O$3:O$86,$A31-'1. Inputs'!$B$17),0)</f>
        <v>2744327.20397832</v>
      </c>
      <c r="Q31" s="22" t="n">
        <f aca="false">Q30*(1-'1. Inputs'!$B$18)+P31</f>
        <v>137494016.898789</v>
      </c>
      <c r="R31" s="22" t="n">
        <f aca="false">Q31*'1. Inputs'!$B$18</f>
        <v>1374940.16898789</v>
      </c>
      <c r="S31" s="22" t="n">
        <f aca="false">S30+O31-R31</f>
        <v>210600555.176148</v>
      </c>
      <c r="T31" s="22" t="n">
        <f aca="false">IF(MAX(0,$A31-'1. Inputs'!$C$24-'1. Inputs'!$B$30+1)&lt;=0,0,'1. Inputs'!$B$24*'1. Inputs'!$B$5*MAX(0,$A31-'1. Inputs'!$C$24-'1. Inputs'!$B$30+1)^'1. Inputs'!$B$7/('1. Inputs'!$B$6^'1. Inputs'!$B$7+MAX(0,$A31-'1. Inputs'!$C$24-'1. Inputs'!$B$30+1)^'1. Inputs'!$B$7)*('1. Inputs'!$B$9+'1. Inputs'!$B$10*MAX(0,$A31-'1. Inputs'!$C$24-'1. Inputs'!$B$30+1)/(MAX(0,$A31-'1. Inputs'!$C$24-'1. Inputs'!$B$30+1)+'1. Inputs'!$B$11))*'1. Inputs'!$B$13*(1+'1. Inputs'!$B$14*MIN(MAX(0,$A31-'1. Inputs'!$C$24-'1. Inputs'!$B$30+1),'1. Inputs'!$B$15))*('1. Inputs'!$B$31*'5. Diagnosing a miss'!$B$22))</f>
        <v>3132401.9040814</v>
      </c>
      <c r="U31" s="22" t="n">
        <f aca="false">IF(MAX(0,$A31-'1. Inputs'!$C$25-'1. Inputs'!$B$30+1)&lt;=0,0,'1. Inputs'!$B$25*'1. Inputs'!$B$5*MAX(0,$A31-'1. Inputs'!$C$25-'1. Inputs'!$B$30+1)^'1. Inputs'!$B$7/('1. Inputs'!$B$6^'1. Inputs'!$B$7+MAX(0,$A31-'1. Inputs'!$C$25-'1. Inputs'!$B$30+1)^'1. Inputs'!$B$7)*('1. Inputs'!$B$9+'1. Inputs'!$B$10*MAX(0,$A31-'1. Inputs'!$C$25-'1. Inputs'!$B$30+1)/(MAX(0,$A31-'1. Inputs'!$C$25-'1. Inputs'!$B$30+1)+'1. Inputs'!$B$11))*'1. Inputs'!$B$13*(1+'1. Inputs'!$B$14*MIN(MAX(0,$A31-'1. Inputs'!$C$25-'1. Inputs'!$B$30+1),'1. Inputs'!$B$15))*('1. Inputs'!$B$31*'5. Diagnosing a miss'!$B$22))</f>
        <v>3750727.68</v>
      </c>
      <c r="V31" s="22" t="n">
        <f aca="false">IF(MAX(0,$A31-'1. Inputs'!$C$26-'1. Inputs'!$B$30+1)&lt;=0,0,'1. Inputs'!$B$26*'1. Inputs'!$B$5*MAX(0,$A31-'1. Inputs'!$C$26-'1. Inputs'!$B$30+1)^'1. Inputs'!$B$7/('1. Inputs'!$B$6^'1. Inputs'!$B$7+MAX(0,$A31-'1. Inputs'!$C$26-'1. Inputs'!$B$30+1)^'1. Inputs'!$B$7)*('1. Inputs'!$B$9+'1. Inputs'!$B$10*MAX(0,$A31-'1. Inputs'!$C$26-'1. Inputs'!$B$30+1)/(MAX(0,$A31-'1. Inputs'!$C$26-'1. Inputs'!$B$30+1)+'1. Inputs'!$B$11))*'1. Inputs'!$B$13*(1+'1. Inputs'!$B$14*MIN(MAX(0,$A31-'1. Inputs'!$C$26-'1. Inputs'!$B$30+1),'1. Inputs'!$B$15))*('1. Inputs'!$B$31*'5. Diagnosing a miss'!$B$22))</f>
        <v>1231263.01288421</v>
      </c>
      <c r="W31" s="22" t="n">
        <f aca="false">IF(MAX(0,$A31-'1. Inputs'!$C$27-'1. Inputs'!$B$30+1)&lt;=0,0,'1. Inputs'!$B$27*'1. Inputs'!$B$5*MAX(0,$A31-'1. Inputs'!$C$27-'1. Inputs'!$B$30+1)^'1. Inputs'!$B$7/('1. Inputs'!$B$6^'1. Inputs'!$B$7+MAX(0,$A31-'1. Inputs'!$C$27-'1. Inputs'!$B$30+1)^'1. Inputs'!$B$7)*('1. Inputs'!$B$9+'1. Inputs'!$B$10*MAX(0,$A31-'1. Inputs'!$C$27-'1. Inputs'!$B$30+1)/(MAX(0,$A31-'1. Inputs'!$C$27-'1. Inputs'!$B$30+1)+'1. Inputs'!$B$11))*'1. Inputs'!$B$13*(1+'1. Inputs'!$B$14*MIN(MAX(0,$A31-'1. Inputs'!$C$27-'1. Inputs'!$B$30+1),'1. Inputs'!$B$15))*('1. Inputs'!$B$31*'5. Diagnosing a miss'!$B$22))</f>
        <v>809948.16</v>
      </c>
      <c r="X31" s="22" t="n">
        <f aca="false">SUM(T31:W31)</f>
        <v>8924340.75696561</v>
      </c>
      <c r="Y31" s="22" t="n">
        <f aca="false">IF($A31=MAX('1. Inputs'!$B$17,1),'1. Inputs'!$B$3,0)+IF($A31-'1. Inputs'!$B$17&gt;=1,INDEX(X$3:X$86,$A31-'1. Inputs'!$B$17),0)</f>
        <v>2778631.29402805</v>
      </c>
      <c r="Z31" s="22" t="n">
        <f aca="false">Z30*(1-'1. Inputs'!$B$18)+Y31</f>
        <v>137632173.622429</v>
      </c>
      <c r="AA31" s="22" t="n">
        <f aca="false">Z31*'1. Inputs'!$B$18</f>
        <v>1376321.73622429</v>
      </c>
      <c r="AB31" s="22" t="n">
        <f aca="false">AB30+X31-AA31</f>
        <v>211668348.813131</v>
      </c>
      <c r="AC31" s="22" t="n">
        <f aca="false">IF(MAX(0,$A31-'1. Inputs'!$C$24-('1. Inputs'!$B$30+'5. Diagnosing a miss'!$B$23)+1)&lt;=0,0,'1. Inputs'!$B$24*'1. Inputs'!$B$5*MAX(0,$A31-'1. Inputs'!$C$24-('1. Inputs'!$B$30+'5. Diagnosing a miss'!$B$23)+1)^'1. Inputs'!$B$7/('1. Inputs'!$B$6^'1. Inputs'!$B$7+MAX(0,$A31-'1. Inputs'!$C$24-('1. Inputs'!$B$30+'5. Diagnosing a miss'!$B$23)+1)^'1. Inputs'!$B$7)*('1. Inputs'!$B$9+'1. Inputs'!$B$10*MAX(0,$A31-'1. Inputs'!$C$24-('1. Inputs'!$B$30+'5. Diagnosing a miss'!$B$23)+1)/(MAX(0,$A31-'1. Inputs'!$C$24-('1. Inputs'!$B$30+'5. Diagnosing a miss'!$B$23)+1)+'1. Inputs'!$B$11))*'1. Inputs'!$B$13*(1+'1. Inputs'!$B$14*MIN(MAX(0,$A31-'1. Inputs'!$C$24-('1. Inputs'!$B$30+'5. Diagnosing a miss'!$B$23)+1),'1. Inputs'!$B$15))*'1. Inputs'!$B$31)</f>
        <v>3288533.50391812</v>
      </c>
      <c r="AD31" s="22" t="n">
        <f aca="false">IF(MAX(0,$A31-'1. Inputs'!$C$25-('1. Inputs'!$B$30+'5. Diagnosing a miss'!$B$23)+1)&lt;=0,0,'1. Inputs'!$B$25*'1. Inputs'!$B$5*MAX(0,$A31-'1. Inputs'!$C$25-('1. Inputs'!$B$30+'5. Diagnosing a miss'!$B$23)+1)^'1. Inputs'!$B$7/('1. Inputs'!$B$6^'1. Inputs'!$B$7+MAX(0,$A31-'1. Inputs'!$C$25-('1. Inputs'!$B$30+'5. Diagnosing a miss'!$B$23)+1)^'1. Inputs'!$B$7)*('1. Inputs'!$B$9+'1. Inputs'!$B$10*MAX(0,$A31-'1. Inputs'!$C$25-('1. Inputs'!$B$30+'5. Diagnosing a miss'!$B$23)+1)/(MAX(0,$A31-'1. Inputs'!$C$25-('1. Inputs'!$B$30+'5. Diagnosing a miss'!$B$23)+1)+'1. Inputs'!$B$11))*'1. Inputs'!$B$13*(1+'1. Inputs'!$B$14*MIN(MAX(0,$A31-'1. Inputs'!$C$25-('1. Inputs'!$B$30+'5. Diagnosing a miss'!$B$23)+1),'1. Inputs'!$B$15))*'1. Inputs'!$B$31)</f>
        <v>3578823.52941177</v>
      </c>
      <c r="AE31" s="22" t="n">
        <f aca="false">IF(MAX(0,$A31-'1. Inputs'!$C$26-('1. Inputs'!$B$30+'5. Diagnosing a miss'!$B$23)+1)&lt;=0,0,'1. Inputs'!$B$26*'1. Inputs'!$B$5*MAX(0,$A31-'1. Inputs'!$C$26-('1. Inputs'!$B$30+'5. Diagnosing a miss'!$B$23)+1)^'1. Inputs'!$B$7/('1. Inputs'!$B$6^'1. Inputs'!$B$7+MAX(0,$A31-'1. Inputs'!$C$26-('1. Inputs'!$B$30+'5. Diagnosing a miss'!$B$23)+1)^'1. Inputs'!$B$7)*('1. Inputs'!$B$9+'1. Inputs'!$B$10*MAX(0,$A31-'1. Inputs'!$C$26-('1. Inputs'!$B$30+'5. Diagnosing a miss'!$B$23)+1)/(MAX(0,$A31-'1. Inputs'!$C$26-('1. Inputs'!$B$30+'5. Diagnosing a miss'!$B$23)+1)+'1. Inputs'!$B$11))*'1. Inputs'!$B$13*(1+'1. Inputs'!$B$14*MIN(MAX(0,$A31-'1. Inputs'!$C$26-('1. Inputs'!$B$30+'5. Diagnosing a miss'!$B$23)+1),'1. Inputs'!$B$15))*'1. Inputs'!$B$31)</f>
        <v>1023314.91712707</v>
      </c>
      <c r="AF31" s="22" t="n">
        <f aca="false">IF(MAX(0,$A31-'1. Inputs'!$C$27-('1. Inputs'!$B$30+'5. Diagnosing a miss'!$B$23)+1)&lt;=0,0,'1. Inputs'!$B$27*'1. Inputs'!$B$5*MAX(0,$A31-'1. Inputs'!$C$27-('1. Inputs'!$B$30+'5. Diagnosing a miss'!$B$23)+1)^'1. Inputs'!$B$7/('1. Inputs'!$B$6^'1. Inputs'!$B$7+MAX(0,$A31-'1. Inputs'!$C$27-('1. Inputs'!$B$30+'5. Diagnosing a miss'!$B$23)+1)^'1. Inputs'!$B$7)*('1. Inputs'!$B$9+'1. Inputs'!$B$10*MAX(0,$A31-'1. Inputs'!$C$27-('1. Inputs'!$B$30+'5. Diagnosing a miss'!$B$23)+1)/(MAX(0,$A31-'1. Inputs'!$C$27-('1. Inputs'!$B$30+'5. Diagnosing a miss'!$B$23)+1)+'1. Inputs'!$B$11))*'1. Inputs'!$B$13*(1+'1. Inputs'!$B$14*MIN(MAX(0,$A31-'1. Inputs'!$C$27-('1. Inputs'!$B$30+'5. Diagnosing a miss'!$B$23)+1),'1. Inputs'!$B$15))*'1. Inputs'!$B$31)</f>
        <v>639324</v>
      </c>
      <c r="AG31" s="22" t="n">
        <f aca="false">SUM(AC31:AF31)</f>
        <v>8529995.95045696</v>
      </c>
      <c r="AH31" s="22" t="n">
        <f aca="false">IF($A31=MAX('1. Inputs'!$B$17,1),'1. Inputs'!$B$3,0)+IF($A31-'1. Inputs'!$B$17&gt;=1,INDEX(AG$3:AG$86,$A31-'1. Inputs'!$B$17),0)</f>
        <v>1604160</v>
      </c>
      <c r="AI31" s="22" t="n">
        <f aca="false">AI30*(1-'1. Inputs'!$B$18)+AH31</f>
        <v>131372963.791063</v>
      </c>
      <c r="AJ31" s="22" t="n">
        <f aca="false">AI31*'1. Inputs'!$B$18</f>
        <v>1313729.63791063</v>
      </c>
      <c r="AK31" s="22" t="n">
        <f aca="false">AK30+AG31-AJ31</f>
        <v>193148683.707873</v>
      </c>
    </row>
    <row r="32" customFormat="false" ht="15" hidden="false" customHeight="false" outlineLevel="0" collapsed="false">
      <c r="A32" s="7" t="n">
        <v>30</v>
      </c>
      <c r="B32" s="22" t="n">
        <f aca="false">IF(MAX(0,$A32-'1. Inputs'!$C$24-'1. Inputs'!$B$30+1)&lt;=0,0,'1. Inputs'!$B$24*'1. Inputs'!$B$5*MAX(0,$A32-'1. Inputs'!$C$24-'1. Inputs'!$B$30+1)^'1. Inputs'!$B$7/('1. Inputs'!$B$6^'1. Inputs'!$B$7+MAX(0,$A32-'1. Inputs'!$C$24-'1. Inputs'!$B$30+1)^'1. Inputs'!$B$7)*('1. Inputs'!$B$9+'1. Inputs'!$B$10*MAX(0,$A32-'1. Inputs'!$C$24-'1. Inputs'!$B$30+1)/(MAX(0,$A32-'1. Inputs'!$C$24-'1. Inputs'!$B$30+1)+'1. Inputs'!$B$11))*'1. Inputs'!$B$13*(1+'1. Inputs'!$B$14*MIN(MAX(0,$A32-'1. Inputs'!$C$24-'1. Inputs'!$B$30+1),'1. Inputs'!$B$15))*'1. Inputs'!$B$31)</f>
        <v>3533490.1479452</v>
      </c>
      <c r="C32" s="22" t="n">
        <f aca="false">IF(MAX(0,$A32-'1. Inputs'!$C$25-'1. Inputs'!$B$30+1)&lt;=0,0,'1. Inputs'!$B$25*'1. Inputs'!$B$5*MAX(0,$A32-'1. Inputs'!$C$25-'1. Inputs'!$B$30+1)^'1. Inputs'!$B$7/('1. Inputs'!$B$6^'1. Inputs'!$B$7+MAX(0,$A32-'1. Inputs'!$C$25-'1. Inputs'!$B$30+1)^'1. Inputs'!$B$7)*('1. Inputs'!$B$9+'1. Inputs'!$B$10*MAX(0,$A32-'1. Inputs'!$C$25-'1. Inputs'!$B$30+1)/(MAX(0,$A32-'1. Inputs'!$C$25-'1. Inputs'!$B$30+1)+'1. Inputs'!$B$11))*'1. Inputs'!$B$13*(1+'1. Inputs'!$B$14*MIN(MAX(0,$A32-'1. Inputs'!$C$25-'1. Inputs'!$B$30+1),'1. Inputs'!$B$15))*'1. Inputs'!$B$31)</f>
        <v>4281562.19076923</v>
      </c>
      <c r="D32" s="22" t="n">
        <f aca="false">IF(MAX(0,$A32-'1. Inputs'!$C$26-'1. Inputs'!$B$30+1)&lt;=0,0,'1. Inputs'!$B$26*'1. Inputs'!$B$5*MAX(0,$A32-'1. Inputs'!$C$26-'1. Inputs'!$B$30+1)^'1. Inputs'!$B$7/('1. Inputs'!$B$6^'1. Inputs'!$B$7+MAX(0,$A32-'1. Inputs'!$C$26-'1. Inputs'!$B$30+1)^'1. Inputs'!$B$7)*('1. Inputs'!$B$9+'1. Inputs'!$B$10*MAX(0,$A32-'1. Inputs'!$C$26-'1. Inputs'!$B$30+1)/(MAX(0,$A32-'1. Inputs'!$C$26-'1. Inputs'!$B$30+1)+'1. Inputs'!$B$11))*'1. Inputs'!$B$13*(1+'1. Inputs'!$B$14*MIN(MAX(0,$A32-'1. Inputs'!$C$26-'1. Inputs'!$B$30+1),'1. Inputs'!$B$15))*'1. Inputs'!$B$31)</f>
        <v>1469848.86064982</v>
      </c>
      <c r="E32" s="22" t="n">
        <f aca="false">IF(MAX(0,$A32-'1. Inputs'!$C$27-'1. Inputs'!$B$30+1)&lt;=0,0,'1. Inputs'!$B$27*'1. Inputs'!$B$5*MAX(0,$A32-'1. Inputs'!$C$27-'1. Inputs'!$B$30+1)^'1. Inputs'!$B$7/('1. Inputs'!$B$6^'1. Inputs'!$B$7+MAX(0,$A32-'1. Inputs'!$C$27-'1. Inputs'!$B$30+1)^'1. Inputs'!$B$7)*('1. Inputs'!$B$9+'1. Inputs'!$B$10*MAX(0,$A32-'1. Inputs'!$C$27-'1. Inputs'!$B$30+1)/(MAX(0,$A32-'1. Inputs'!$C$27-'1. Inputs'!$B$30+1)+'1. Inputs'!$B$11))*'1. Inputs'!$B$13*(1+'1. Inputs'!$B$14*MIN(MAX(0,$A32-'1. Inputs'!$C$27-'1. Inputs'!$B$30+1),'1. Inputs'!$B$15))*'1. Inputs'!$B$31)</f>
        <v>977192.867368421</v>
      </c>
      <c r="F32" s="22" t="n">
        <f aca="false">SUM(B32:E32)</f>
        <v>10262094.0667327</v>
      </c>
      <c r="G32" s="22" t="n">
        <f aca="false">IF($A32=MAX('1. Inputs'!$B$17,1),'1. Inputs'!$B$3,0)+IF($A32-'1. Inputs'!$B$17&gt;=1,INDEX(F$3:F$86,$A32-'1. Inputs'!$B$17),0)</f>
        <v>3651154.43720153</v>
      </c>
      <c r="H32" s="22" t="n">
        <f aca="false">H31*(1-'1. Inputs'!$B$18)+G32</f>
        <v>141137982.731038</v>
      </c>
      <c r="I32" s="22" t="n">
        <f aca="false">H32*'1. Inputs'!$B$18</f>
        <v>1411379.82731038</v>
      </c>
      <c r="J32" s="22" t="n">
        <f aca="false">J31+F32-I32</f>
        <v>230129205.7854</v>
      </c>
      <c r="K32" s="22" t="n">
        <f aca="false">IF(MAX(0,$A32-'1. Inputs'!$C$24-'1. Inputs'!$B$30+1)&lt;=0,0,'1. Inputs'!$B$24*('1. Inputs'!$B$5-'5. Diagnosing a miss'!$B$21)*MAX(0,$A32-'1. Inputs'!$C$24-'1. Inputs'!$B$30+1)^'1. Inputs'!$B$7/('1. Inputs'!$B$6^'1. Inputs'!$B$7+MAX(0,$A32-'1. Inputs'!$C$24-'1. Inputs'!$B$30+1)^'1. Inputs'!$B$7)*('1. Inputs'!$B$9+'1. Inputs'!$B$10*MAX(0,$A32-'1. Inputs'!$C$24-'1. Inputs'!$B$30+1)/(MAX(0,$A32-'1. Inputs'!$C$24-'1. Inputs'!$B$30+1)+'1. Inputs'!$B$11))*'1. Inputs'!$B$13*(1+'1. Inputs'!$B$14*MIN(MAX(0,$A32-'1. Inputs'!$C$24-'1. Inputs'!$B$30+1),'1. Inputs'!$B$15))*'1. Inputs'!$B$31)</f>
        <v>3140880.13150685</v>
      </c>
      <c r="L32" s="22" t="n">
        <f aca="false">IF(MAX(0,$A32-'1. Inputs'!$C$25-'1. Inputs'!$B$30+1)&lt;=0,0,'1. Inputs'!$B$25*('1. Inputs'!$B$5-'5. Diagnosing a miss'!$B$21)*MAX(0,$A32-'1. Inputs'!$C$25-'1. Inputs'!$B$30+1)^'1. Inputs'!$B$7/('1. Inputs'!$B$6^'1. Inputs'!$B$7+MAX(0,$A32-'1. Inputs'!$C$25-'1. Inputs'!$B$30+1)^'1. Inputs'!$B$7)*('1. Inputs'!$B$9+'1. Inputs'!$B$10*MAX(0,$A32-'1. Inputs'!$C$25-'1. Inputs'!$B$30+1)/(MAX(0,$A32-'1. Inputs'!$C$25-'1. Inputs'!$B$30+1)+'1. Inputs'!$B$11))*'1. Inputs'!$B$13*(1+'1. Inputs'!$B$14*MIN(MAX(0,$A32-'1. Inputs'!$C$25-'1. Inputs'!$B$30+1),'1. Inputs'!$B$15))*'1. Inputs'!$B$31)</f>
        <v>3805833.05846154</v>
      </c>
      <c r="M32" s="22" t="n">
        <f aca="false">IF(MAX(0,$A32-'1. Inputs'!$C$26-'1. Inputs'!$B$30+1)&lt;=0,0,'1. Inputs'!$B$26*('1. Inputs'!$B$5-'5. Diagnosing a miss'!$B$21)*MAX(0,$A32-'1. Inputs'!$C$26-'1. Inputs'!$B$30+1)^'1. Inputs'!$B$7/('1. Inputs'!$B$6^'1. Inputs'!$B$7+MAX(0,$A32-'1. Inputs'!$C$26-'1. Inputs'!$B$30+1)^'1. Inputs'!$B$7)*('1. Inputs'!$B$9+'1. Inputs'!$B$10*MAX(0,$A32-'1. Inputs'!$C$26-'1. Inputs'!$B$30+1)/(MAX(0,$A32-'1. Inputs'!$C$26-'1. Inputs'!$B$30+1)+'1. Inputs'!$B$11))*'1. Inputs'!$B$13*(1+'1. Inputs'!$B$14*MIN(MAX(0,$A32-'1. Inputs'!$C$26-'1. Inputs'!$B$30+1),'1. Inputs'!$B$15))*'1. Inputs'!$B$31)</f>
        <v>1306532.32057762</v>
      </c>
      <c r="N32" s="22" t="n">
        <f aca="false">IF(MAX(0,$A32-'1. Inputs'!$C$27-'1. Inputs'!$B$30+1)&lt;=0,0,'1. Inputs'!$B$27*('1. Inputs'!$B$5-'5. Diagnosing a miss'!$B$21)*MAX(0,$A32-'1. Inputs'!$C$27-'1. Inputs'!$B$30+1)^'1. Inputs'!$B$7/('1. Inputs'!$B$6^'1. Inputs'!$B$7+MAX(0,$A32-'1. Inputs'!$C$27-'1. Inputs'!$B$30+1)^'1. Inputs'!$B$7)*('1. Inputs'!$B$9+'1. Inputs'!$B$10*MAX(0,$A32-'1. Inputs'!$C$27-'1. Inputs'!$B$30+1)/(MAX(0,$A32-'1. Inputs'!$C$27-'1. Inputs'!$B$30+1)+'1. Inputs'!$B$11))*'1. Inputs'!$B$13*(1+'1. Inputs'!$B$14*MIN(MAX(0,$A32-'1. Inputs'!$C$27-'1. Inputs'!$B$30+1),'1. Inputs'!$B$15))*'1. Inputs'!$B$31)</f>
        <v>868615.882105263</v>
      </c>
      <c r="O32" s="22" t="n">
        <f aca="false">SUM(K32:N32)</f>
        <v>9121861.39265127</v>
      </c>
      <c r="P32" s="22" t="n">
        <f aca="false">IF($A32=MAX('1. Inputs'!$B$17,1),'1. Inputs'!$B$3,0)+IF($A32-'1. Inputs'!$B$17&gt;=1,INDEX(O$3:O$86,$A32-'1. Inputs'!$B$17),0)</f>
        <v>3245470.61084581</v>
      </c>
      <c r="Q32" s="22" t="n">
        <f aca="false">Q31*(1-'1. Inputs'!$B$18)+P32</f>
        <v>139364547.340647</v>
      </c>
      <c r="R32" s="22" t="n">
        <f aca="false">Q32*'1. Inputs'!$B$18</f>
        <v>1393645.47340647</v>
      </c>
      <c r="S32" s="22" t="n">
        <f aca="false">S31+O32-R32</f>
        <v>218328771.095393</v>
      </c>
      <c r="T32" s="22" t="n">
        <f aca="false">IF(MAX(0,$A32-'1. Inputs'!$C$24-'1. Inputs'!$B$30+1)&lt;=0,0,'1. Inputs'!$B$24*'1. Inputs'!$B$5*MAX(0,$A32-'1. Inputs'!$C$24-'1. Inputs'!$B$30+1)^'1. Inputs'!$B$7/('1. Inputs'!$B$6^'1. Inputs'!$B$7+MAX(0,$A32-'1. Inputs'!$C$24-'1. Inputs'!$B$30+1)^'1. Inputs'!$B$7)*('1. Inputs'!$B$9+'1. Inputs'!$B$10*MAX(0,$A32-'1. Inputs'!$C$24-'1. Inputs'!$B$30+1)/(MAX(0,$A32-'1. Inputs'!$C$24-'1. Inputs'!$B$30+1)+'1. Inputs'!$B$11))*'1. Inputs'!$B$13*(1+'1. Inputs'!$B$14*MIN(MAX(0,$A32-'1. Inputs'!$C$24-'1. Inputs'!$B$30+1),'1. Inputs'!$B$15))*('1. Inputs'!$B$31*'5. Diagnosing a miss'!$B$22))</f>
        <v>3180141.13315068</v>
      </c>
      <c r="U32" s="22" t="n">
        <f aca="false">IF(MAX(0,$A32-'1. Inputs'!$C$25-'1. Inputs'!$B$30+1)&lt;=0,0,'1. Inputs'!$B$25*'1. Inputs'!$B$5*MAX(0,$A32-'1. Inputs'!$C$25-'1. Inputs'!$B$30+1)^'1. Inputs'!$B$7/('1. Inputs'!$B$6^'1. Inputs'!$B$7+MAX(0,$A32-'1. Inputs'!$C$25-'1. Inputs'!$B$30+1)^'1. Inputs'!$B$7)*('1. Inputs'!$B$9+'1. Inputs'!$B$10*MAX(0,$A32-'1. Inputs'!$C$25-'1. Inputs'!$B$30+1)/(MAX(0,$A32-'1. Inputs'!$C$25-'1. Inputs'!$B$30+1)+'1. Inputs'!$B$11))*'1. Inputs'!$B$13*(1+'1. Inputs'!$B$14*MIN(MAX(0,$A32-'1. Inputs'!$C$25-'1. Inputs'!$B$30+1),'1. Inputs'!$B$15))*('1. Inputs'!$B$31*'5. Diagnosing a miss'!$B$22))</f>
        <v>3853405.97169231</v>
      </c>
      <c r="V32" s="22" t="n">
        <f aca="false">IF(MAX(0,$A32-'1. Inputs'!$C$26-'1. Inputs'!$B$30+1)&lt;=0,0,'1. Inputs'!$B$26*'1. Inputs'!$B$5*MAX(0,$A32-'1. Inputs'!$C$26-'1. Inputs'!$B$30+1)^'1. Inputs'!$B$7/('1. Inputs'!$B$6^'1. Inputs'!$B$7+MAX(0,$A32-'1. Inputs'!$C$26-'1. Inputs'!$B$30+1)^'1. Inputs'!$B$7)*('1. Inputs'!$B$9+'1. Inputs'!$B$10*MAX(0,$A32-'1. Inputs'!$C$26-'1. Inputs'!$B$30+1)/(MAX(0,$A32-'1. Inputs'!$C$26-'1. Inputs'!$B$30+1)+'1. Inputs'!$B$11))*'1. Inputs'!$B$13*(1+'1. Inputs'!$B$14*MIN(MAX(0,$A32-'1. Inputs'!$C$26-'1. Inputs'!$B$30+1),'1. Inputs'!$B$15))*('1. Inputs'!$B$31*'5. Diagnosing a miss'!$B$22))</f>
        <v>1322863.97458484</v>
      </c>
      <c r="W32" s="22" t="n">
        <f aca="false">IF(MAX(0,$A32-'1. Inputs'!$C$27-'1. Inputs'!$B$30+1)&lt;=0,0,'1. Inputs'!$B$27*'1. Inputs'!$B$5*MAX(0,$A32-'1. Inputs'!$C$27-'1. Inputs'!$B$30+1)^'1. Inputs'!$B$7/('1. Inputs'!$B$6^'1. Inputs'!$B$7+MAX(0,$A32-'1. Inputs'!$C$27-'1. Inputs'!$B$30+1)^'1. Inputs'!$B$7)*('1. Inputs'!$B$9+'1. Inputs'!$B$10*MAX(0,$A32-'1. Inputs'!$C$27-'1. Inputs'!$B$30+1)/(MAX(0,$A32-'1. Inputs'!$C$27-'1. Inputs'!$B$30+1)+'1. Inputs'!$B$11))*'1. Inputs'!$B$13*(1+'1. Inputs'!$B$14*MIN(MAX(0,$A32-'1. Inputs'!$C$27-'1. Inputs'!$B$30+1),'1. Inputs'!$B$15))*('1. Inputs'!$B$31*'5. Diagnosing a miss'!$B$22))</f>
        <v>879473.580631579</v>
      </c>
      <c r="X32" s="22" t="n">
        <f aca="false">SUM(T32:W32)</f>
        <v>9235884.66005941</v>
      </c>
      <c r="Y32" s="22" t="n">
        <f aca="false">IF($A32=MAX('1. Inputs'!$B$17,1),'1. Inputs'!$B$3,0)+IF($A32-'1. Inputs'!$B$17&gt;=1,INDEX(X$3:X$86,$A32-'1. Inputs'!$B$17),0)</f>
        <v>3286038.99348138</v>
      </c>
      <c r="Z32" s="22" t="n">
        <f aca="false">Z31*(1-'1. Inputs'!$B$18)+Y32</f>
        <v>139541890.879686</v>
      </c>
      <c r="AA32" s="22" t="n">
        <f aca="false">Z32*'1. Inputs'!$B$18</f>
        <v>1395418.90879686</v>
      </c>
      <c r="AB32" s="22" t="n">
        <f aca="false">AB31+X32-AA32</f>
        <v>219508814.564393</v>
      </c>
      <c r="AC32" s="22" t="n">
        <f aca="false">IF(MAX(0,$A32-'1. Inputs'!$C$24-('1. Inputs'!$B$30+'5. Diagnosing a miss'!$B$23)+1)&lt;=0,0,'1. Inputs'!$B$24*'1. Inputs'!$B$5*MAX(0,$A32-'1. Inputs'!$C$24-('1. Inputs'!$B$30+'5. Diagnosing a miss'!$B$23)+1)^'1. Inputs'!$B$7/('1. Inputs'!$B$6^'1. Inputs'!$B$7+MAX(0,$A32-'1. Inputs'!$C$24-('1. Inputs'!$B$30+'5. Diagnosing a miss'!$B$23)+1)^'1. Inputs'!$B$7)*('1. Inputs'!$B$9+'1. Inputs'!$B$10*MAX(0,$A32-'1. Inputs'!$C$24-('1. Inputs'!$B$30+'5. Diagnosing a miss'!$B$23)+1)/(MAX(0,$A32-'1. Inputs'!$C$24-('1. Inputs'!$B$30+'5. Diagnosing a miss'!$B$23)+1)+'1. Inputs'!$B$11))*'1. Inputs'!$B$13*(1+'1. Inputs'!$B$14*MIN(MAX(0,$A32-'1. Inputs'!$C$24-('1. Inputs'!$B$30+'5. Diagnosing a miss'!$B$23)+1),'1. Inputs'!$B$15))*'1. Inputs'!$B$31)</f>
        <v>3358656</v>
      </c>
      <c r="AD32" s="22" t="n">
        <f aca="false">IF(MAX(0,$A32-'1. Inputs'!$C$25-('1. Inputs'!$B$30+'5. Diagnosing a miss'!$B$23)+1)&lt;=0,0,'1. Inputs'!$B$25*'1. Inputs'!$B$5*MAX(0,$A32-'1. Inputs'!$C$25-('1. Inputs'!$B$30+'5. Diagnosing a miss'!$B$23)+1)^'1. Inputs'!$B$7/('1. Inputs'!$B$6^'1. Inputs'!$B$7+MAX(0,$A32-'1. Inputs'!$C$25-('1. Inputs'!$B$30+'5. Diagnosing a miss'!$B$23)+1)^'1. Inputs'!$B$7)*('1. Inputs'!$B$9+'1. Inputs'!$B$10*MAX(0,$A32-'1. Inputs'!$C$25-('1. Inputs'!$B$30+'5. Diagnosing a miss'!$B$23)+1)/(MAX(0,$A32-'1. Inputs'!$C$25-('1. Inputs'!$B$30+'5. Diagnosing a miss'!$B$23)+1)+'1. Inputs'!$B$11))*'1. Inputs'!$B$13*(1+'1. Inputs'!$B$14*MIN(MAX(0,$A32-'1. Inputs'!$C$25-('1. Inputs'!$B$30+'5. Diagnosing a miss'!$B$23)+1),'1. Inputs'!$B$15))*'1. Inputs'!$B$31)</f>
        <v>3785724.96142433</v>
      </c>
      <c r="AE32" s="22" t="n">
        <f aca="false">IF(MAX(0,$A32-'1. Inputs'!$C$26-('1. Inputs'!$B$30+'5. Diagnosing a miss'!$B$23)+1)&lt;=0,0,'1. Inputs'!$B$26*'1. Inputs'!$B$5*MAX(0,$A32-'1. Inputs'!$C$26-('1. Inputs'!$B$30+'5. Diagnosing a miss'!$B$23)+1)^'1. Inputs'!$B$7/('1. Inputs'!$B$6^'1. Inputs'!$B$7+MAX(0,$A32-'1. Inputs'!$C$26-('1. Inputs'!$B$30+'5. Diagnosing a miss'!$B$23)+1)^'1. Inputs'!$B$7)*('1. Inputs'!$B$9+'1. Inputs'!$B$10*MAX(0,$A32-'1. Inputs'!$C$26-('1. Inputs'!$B$30+'5. Diagnosing a miss'!$B$23)+1)/(MAX(0,$A32-'1. Inputs'!$C$26-('1. Inputs'!$B$30+'5. Diagnosing a miss'!$B$23)+1)+'1. Inputs'!$B$11))*'1. Inputs'!$B$13*(1+'1. Inputs'!$B$14*MIN(MAX(0,$A32-'1. Inputs'!$C$26-('1. Inputs'!$B$30+'5. Diagnosing a miss'!$B$23)+1),'1. Inputs'!$B$15))*'1. Inputs'!$B$31)</f>
        <v>1145039.41991846</v>
      </c>
      <c r="AF32" s="22" t="n">
        <f aca="false">IF(MAX(0,$A32-'1. Inputs'!$C$27-('1. Inputs'!$B$30+'5. Diagnosing a miss'!$B$23)+1)&lt;=0,0,'1. Inputs'!$B$27*'1. Inputs'!$B$5*MAX(0,$A32-'1. Inputs'!$C$27-('1. Inputs'!$B$30+'5. Diagnosing a miss'!$B$23)+1)^'1. Inputs'!$B$7/('1. Inputs'!$B$6^'1. Inputs'!$B$7+MAX(0,$A32-'1. Inputs'!$C$27-('1. Inputs'!$B$30+'5. Diagnosing a miss'!$B$23)+1)^'1. Inputs'!$B$7)*('1. Inputs'!$B$9+'1. Inputs'!$B$10*MAX(0,$A32-'1. Inputs'!$C$27-('1. Inputs'!$B$30+'5. Diagnosing a miss'!$B$23)+1)/(MAX(0,$A32-'1. Inputs'!$C$27-('1. Inputs'!$B$30+'5. Diagnosing a miss'!$B$23)+1)+'1. Inputs'!$B$11))*'1. Inputs'!$B$13*(1+'1. Inputs'!$B$14*MIN(MAX(0,$A32-'1. Inputs'!$C$27-('1. Inputs'!$B$30+'5. Diagnosing a miss'!$B$23)+1),'1. Inputs'!$B$15))*'1. Inputs'!$B$31)</f>
        <v>730939.226519337</v>
      </c>
      <c r="AG32" s="22" t="n">
        <f aca="false">SUM(AC32:AF32)</f>
        <v>9020359.60786213</v>
      </c>
      <c r="AH32" s="22" t="n">
        <f aca="false">IF($A32=MAX('1. Inputs'!$B$17,1),'1. Inputs'!$B$3,0)+IF($A32-'1. Inputs'!$B$17&gt;=1,INDEX(AG$3:AG$86,$A32-'1. Inputs'!$B$17),0)</f>
        <v>2065903.2742268</v>
      </c>
      <c r="AI32" s="22" t="n">
        <f aca="false">AI31*(1-'1. Inputs'!$B$18)+AH32</f>
        <v>132125137.427379</v>
      </c>
      <c r="AJ32" s="22" t="n">
        <f aca="false">AI32*'1. Inputs'!$B$18</f>
        <v>1321251.37427379</v>
      </c>
      <c r="AK32" s="22" t="n">
        <f aca="false">AK31+AG32-AJ32</f>
        <v>200847791.941461</v>
      </c>
    </row>
    <row r="33" customFormat="false" ht="15" hidden="false" customHeight="false" outlineLevel="0" collapsed="false">
      <c r="A33" s="7" t="n">
        <v>31</v>
      </c>
      <c r="B33" s="22" t="n">
        <f aca="false">IF(MAX(0,$A33-'1. Inputs'!$C$24-'1. Inputs'!$B$30+1)&lt;=0,0,'1. Inputs'!$B$24*'1. Inputs'!$B$5*MAX(0,$A33-'1. Inputs'!$C$24-'1. Inputs'!$B$30+1)^'1. Inputs'!$B$7/('1. Inputs'!$B$6^'1. Inputs'!$B$7+MAX(0,$A33-'1. Inputs'!$C$24-'1. Inputs'!$B$30+1)^'1. Inputs'!$B$7)*('1. Inputs'!$B$9+'1. Inputs'!$B$10*MAX(0,$A33-'1. Inputs'!$C$24-'1. Inputs'!$B$30+1)/(MAX(0,$A33-'1. Inputs'!$C$24-'1. Inputs'!$B$30+1)+'1. Inputs'!$B$11))*'1. Inputs'!$B$13*(1+'1. Inputs'!$B$14*MIN(MAX(0,$A33-'1. Inputs'!$C$24-'1. Inputs'!$B$30+1),'1. Inputs'!$B$15))*'1. Inputs'!$B$31)</f>
        <v>3582070.73014713</v>
      </c>
      <c r="C33" s="22" t="n">
        <f aca="false">IF(MAX(0,$A33-'1. Inputs'!$C$25-'1. Inputs'!$B$30+1)&lt;=0,0,'1. Inputs'!$B$25*'1. Inputs'!$B$5*MAX(0,$A33-'1. Inputs'!$C$25-'1. Inputs'!$B$30+1)^'1. Inputs'!$B$7/('1. Inputs'!$B$6^'1. Inputs'!$B$7+MAX(0,$A33-'1. Inputs'!$C$25-'1. Inputs'!$B$30+1)^'1. Inputs'!$B$7)*('1. Inputs'!$B$9+'1. Inputs'!$B$10*MAX(0,$A33-'1. Inputs'!$C$25-'1. Inputs'!$B$30+1)/(MAX(0,$A33-'1. Inputs'!$C$25-'1. Inputs'!$B$30+1)+'1. Inputs'!$B$11))*'1. Inputs'!$B$13*(1+'1. Inputs'!$B$14*MIN(MAX(0,$A33-'1. Inputs'!$C$25-'1. Inputs'!$B$30+1),'1. Inputs'!$B$15))*'1. Inputs'!$B$31)</f>
        <v>4384711.33855749</v>
      </c>
      <c r="D33" s="22" t="n">
        <f aca="false">IF(MAX(0,$A33-'1. Inputs'!$C$26-'1. Inputs'!$B$30+1)&lt;=0,0,'1. Inputs'!$B$26*'1. Inputs'!$B$5*MAX(0,$A33-'1. Inputs'!$C$26-'1. Inputs'!$B$30+1)^'1. Inputs'!$B$7/('1. Inputs'!$B$6^'1. Inputs'!$B$7+MAX(0,$A33-'1. Inputs'!$C$26-'1. Inputs'!$B$30+1)^'1. Inputs'!$B$7)*('1. Inputs'!$B$9+'1. Inputs'!$B$10*MAX(0,$A33-'1. Inputs'!$C$26-'1. Inputs'!$B$30+1)/(MAX(0,$A33-'1. Inputs'!$C$26-'1. Inputs'!$B$30+1)+'1. Inputs'!$B$11))*'1. Inputs'!$B$13*(1+'1. Inputs'!$B$14*MIN(MAX(0,$A33-'1. Inputs'!$C$26-'1. Inputs'!$B$30+1),'1. Inputs'!$B$15))*'1. Inputs'!$B$31)</f>
        <v>1565735.29411765</v>
      </c>
      <c r="E33" s="22" t="n">
        <f aca="false">IF(MAX(0,$A33-'1. Inputs'!$C$27-'1. Inputs'!$B$30+1)&lt;=0,0,'1. Inputs'!$B$27*'1. Inputs'!$B$5*MAX(0,$A33-'1. Inputs'!$C$27-'1. Inputs'!$B$30+1)^'1. Inputs'!$B$7/('1. Inputs'!$B$6^'1. Inputs'!$B$7+MAX(0,$A33-'1. Inputs'!$C$27-'1. Inputs'!$B$30+1)^'1. Inputs'!$B$7)*('1. Inputs'!$B$9+'1. Inputs'!$B$10*MAX(0,$A33-'1. Inputs'!$C$27-'1. Inputs'!$B$30+1)/(MAX(0,$A33-'1. Inputs'!$C$27-'1. Inputs'!$B$30+1)+'1. Inputs'!$B$11))*'1. Inputs'!$B$13*(1+'1. Inputs'!$B$14*MIN(MAX(0,$A33-'1. Inputs'!$C$27-'1. Inputs'!$B$30+1),'1. Inputs'!$B$15))*'1. Inputs'!$B$31)</f>
        <v>1049892.0433213</v>
      </c>
      <c r="F33" s="22" t="n">
        <f aca="false">SUM(B33:E33)</f>
        <v>10582409.4061436</v>
      </c>
      <c r="G33" s="22" t="n">
        <f aca="false">IF($A33=MAX('1. Inputs'!$B$17,1),'1. Inputs'!$B$3,0)+IF($A33-'1. Inputs'!$B$17&gt;=1,INDEX(F$3:F$86,$A33-'1. Inputs'!$B$17),0)</f>
        <v>4256215.30521362</v>
      </c>
      <c r="H33" s="22" t="n">
        <f aca="false">H32*(1-'1. Inputs'!$B$18)+G33</f>
        <v>143982818.208942</v>
      </c>
      <c r="I33" s="22" t="n">
        <f aca="false">H33*'1. Inputs'!$B$18</f>
        <v>1439828.18208942</v>
      </c>
      <c r="J33" s="22" t="n">
        <f aca="false">J32+F33-I33</f>
        <v>239271787.009454</v>
      </c>
      <c r="K33" s="22" t="n">
        <f aca="false">IF(MAX(0,$A33-'1. Inputs'!$C$24-'1. Inputs'!$B$30+1)&lt;=0,0,'1. Inputs'!$B$24*('1. Inputs'!$B$5-'5. Diagnosing a miss'!$B$21)*MAX(0,$A33-'1. Inputs'!$C$24-'1. Inputs'!$B$30+1)^'1. Inputs'!$B$7/('1. Inputs'!$B$6^'1. Inputs'!$B$7+MAX(0,$A33-'1. Inputs'!$C$24-'1. Inputs'!$B$30+1)^'1. Inputs'!$B$7)*('1. Inputs'!$B$9+'1. Inputs'!$B$10*MAX(0,$A33-'1. Inputs'!$C$24-'1. Inputs'!$B$30+1)/(MAX(0,$A33-'1. Inputs'!$C$24-'1. Inputs'!$B$30+1)+'1. Inputs'!$B$11))*'1. Inputs'!$B$13*(1+'1. Inputs'!$B$14*MIN(MAX(0,$A33-'1. Inputs'!$C$24-'1. Inputs'!$B$30+1),'1. Inputs'!$B$15))*'1. Inputs'!$B$31)</f>
        <v>3184062.87124189</v>
      </c>
      <c r="L33" s="22" t="n">
        <f aca="false">IF(MAX(0,$A33-'1. Inputs'!$C$25-'1. Inputs'!$B$30+1)&lt;=0,0,'1. Inputs'!$B$25*('1. Inputs'!$B$5-'5. Diagnosing a miss'!$B$21)*MAX(0,$A33-'1. Inputs'!$C$25-'1. Inputs'!$B$30+1)^'1. Inputs'!$B$7/('1. Inputs'!$B$6^'1. Inputs'!$B$7+MAX(0,$A33-'1. Inputs'!$C$25-'1. Inputs'!$B$30+1)^'1. Inputs'!$B$7)*('1. Inputs'!$B$9+'1. Inputs'!$B$10*MAX(0,$A33-'1. Inputs'!$C$25-'1. Inputs'!$B$30+1)/(MAX(0,$A33-'1. Inputs'!$C$25-'1. Inputs'!$B$30+1)+'1. Inputs'!$B$11))*'1. Inputs'!$B$13*(1+'1. Inputs'!$B$14*MIN(MAX(0,$A33-'1. Inputs'!$C$25-'1. Inputs'!$B$30+1),'1. Inputs'!$B$15))*'1. Inputs'!$B$31)</f>
        <v>3897521.18982888</v>
      </c>
      <c r="M33" s="22" t="n">
        <f aca="false">IF(MAX(0,$A33-'1. Inputs'!$C$26-'1. Inputs'!$B$30+1)&lt;=0,0,'1. Inputs'!$B$26*('1. Inputs'!$B$5-'5. Diagnosing a miss'!$B$21)*MAX(0,$A33-'1. Inputs'!$C$26-'1. Inputs'!$B$30+1)^'1. Inputs'!$B$7/('1. Inputs'!$B$6^'1. Inputs'!$B$7+MAX(0,$A33-'1. Inputs'!$C$26-'1. Inputs'!$B$30+1)^'1. Inputs'!$B$7)*('1. Inputs'!$B$9+'1. Inputs'!$B$10*MAX(0,$A33-'1. Inputs'!$C$26-'1. Inputs'!$B$30+1)/(MAX(0,$A33-'1. Inputs'!$C$26-'1. Inputs'!$B$30+1)+'1. Inputs'!$B$11))*'1. Inputs'!$B$13*(1+'1. Inputs'!$B$14*MIN(MAX(0,$A33-'1. Inputs'!$C$26-'1. Inputs'!$B$30+1),'1. Inputs'!$B$15))*'1. Inputs'!$B$31)</f>
        <v>1391764.70588235</v>
      </c>
      <c r="N33" s="22" t="n">
        <f aca="false">IF(MAX(0,$A33-'1. Inputs'!$C$27-'1. Inputs'!$B$30+1)&lt;=0,0,'1. Inputs'!$B$27*('1. Inputs'!$B$5-'5. Diagnosing a miss'!$B$21)*MAX(0,$A33-'1. Inputs'!$C$27-'1. Inputs'!$B$30+1)^'1. Inputs'!$B$7/('1. Inputs'!$B$6^'1. Inputs'!$B$7+MAX(0,$A33-'1. Inputs'!$C$27-'1. Inputs'!$B$30+1)^'1. Inputs'!$B$7)*('1. Inputs'!$B$9+'1. Inputs'!$B$10*MAX(0,$A33-'1. Inputs'!$C$27-'1. Inputs'!$B$30+1)/(MAX(0,$A33-'1. Inputs'!$C$27-'1. Inputs'!$B$30+1)+'1. Inputs'!$B$11))*'1. Inputs'!$B$13*(1+'1. Inputs'!$B$14*MIN(MAX(0,$A33-'1. Inputs'!$C$27-'1. Inputs'!$B$30+1),'1. Inputs'!$B$15))*'1. Inputs'!$B$31)</f>
        <v>933237.371841155</v>
      </c>
      <c r="O33" s="22" t="n">
        <f aca="false">SUM(K33:N33)</f>
        <v>9406586.13879428</v>
      </c>
      <c r="P33" s="22" t="n">
        <f aca="false">IF($A33=MAX('1. Inputs'!$B$17,1),'1. Inputs'!$B$3,0)+IF($A33-'1. Inputs'!$B$17&gt;=1,INDEX(O$3:O$86,$A33-'1. Inputs'!$B$17),0)</f>
        <v>3783302.49352322</v>
      </c>
      <c r="Q33" s="22" t="n">
        <f aca="false">Q32*(1-'1. Inputs'!$B$18)+P33</f>
        <v>141754204.360763</v>
      </c>
      <c r="R33" s="22" t="n">
        <f aca="false">Q33*'1. Inputs'!$B$18</f>
        <v>1417542.04360763</v>
      </c>
      <c r="S33" s="22" t="n">
        <f aca="false">S32+O33-R33</f>
        <v>226317815.190579</v>
      </c>
      <c r="T33" s="22" t="n">
        <f aca="false">IF(MAX(0,$A33-'1. Inputs'!$C$24-'1. Inputs'!$B$30+1)&lt;=0,0,'1. Inputs'!$B$24*'1. Inputs'!$B$5*MAX(0,$A33-'1. Inputs'!$C$24-'1. Inputs'!$B$30+1)^'1. Inputs'!$B$7/('1. Inputs'!$B$6^'1. Inputs'!$B$7+MAX(0,$A33-'1. Inputs'!$C$24-'1. Inputs'!$B$30+1)^'1. Inputs'!$B$7)*('1. Inputs'!$B$9+'1. Inputs'!$B$10*MAX(0,$A33-'1. Inputs'!$C$24-'1. Inputs'!$B$30+1)/(MAX(0,$A33-'1. Inputs'!$C$24-'1. Inputs'!$B$30+1)+'1. Inputs'!$B$11))*'1. Inputs'!$B$13*(1+'1. Inputs'!$B$14*MIN(MAX(0,$A33-'1. Inputs'!$C$24-'1. Inputs'!$B$30+1),'1. Inputs'!$B$15))*('1. Inputs'!$B$31*'5. Diagnosing a miss'!$B$22))</f>
        <v>3223863.65713241</v>
      </c>
      <c r="U33" s="22" t="n">
        <f aca="false">IF(MAX(0,$A33-'1. Inputs'!$C$25-'1. Inputs'!$B$30+1)&lt;=0,0,'1. Inputs'!$B$25*'1. Inputs'!$B$5*MAX(0,$A33-'1. Inputs'!$C$25-'1. Inputs'!$B$30+1)^'1. Inputs'!$B$7/('1. Inputs'!$B$6^'1. Inputs'!$B$7+MAX(0,$A33-'1. Inputs'!$C$25-'1. Inputs'!$B$30+1)^'1. Inputs'!$B$7)*('1. Inputs'!$B$9+'1. Inputs'!$B$10*MAX(0,$A33-'1. Inputs'!$C$25-'1. Inputs'!$B$30+1)/(MAX(0,$A33-'1. Inputs'!$C$25-'1. Inputs'!$B$30+1)+'1. Inputs'!$B$11))*'1. Inputs'!$B$13*(1+'1. Inputs'!$B$14*MIN(MAX(0,$A33-'1. Inputs'!$C$25-'1. Inputs'!$B$30+1),'1. Inputs'!$B$15))*('1. Inputs'!$B$31*'5. Diagnosing a miss'!$B$22))</f>
        <v>3946240.20470174</v>
      </c>
      <c r="V33" s="22" t="n">
        <f aca="false">IF(MAX(0,$A33-'1. Inputs'!$C$26-'1. Inputs'!$B$30+1)&lt;=0,0,'1. Inputs'!$B$26*'1. Inputs'!$B$5*MAX(0,$A33-'1. Inputs'!$C$26-'1. Inputs'!$B$30+1)^'1. Inputs'!$B$7/('1. Inputs'!$B$6^'1. Inputs'!$B$7+MAX(0,$A33-'1. Inputs'!$C$26-'1. Inputs'!$B$30+1)^'1. Inputs'!$B$7)*('1. Inputs'!$B$9+'1. Inputs'!$B$10*MAX(0,$A33-'1. Inputs'!$C$26-'1. Inputs'!$B$30+1)/(MAX(0,$A33-'1. Inputs'!$C$26-'1. Inputs'!$B$30+1)+'1. Inputs'!$B$11))*'1. Inputs'!$B$13*(1+'1. Inputs'!$B$14*MIN(MAX(0,$A33-'1. Inputs'!$C$26-'1. Inputs'!$B$30+1),'1. Inputs'!$B$15))*('1. Inputs'!$B$31*'5. Diagnosing a miss'!$B$22))</f>
        <v>1409161.76470588</v>
      </c>
      <c r="W33" s="22" t="n">
        <f aca="false">IF(MAX(0,$A33-'1. Inputs'!$C$27-'1. Inputs'!$B$30+1)&lt;=0,0,'1. Inputs'!$B$27*'1. Inputs'!$B$5*MAX(0,$A33-'1. Inputs'!$C$27-'1. Inputs'!$B$30+1)^'1. Inputs'!$B$7/('1. Inputs'!$B$6^'1. Inputs'!$B$7+MAX(0,$A33-'1. Inputs'!$C$27-'1. Inputs'!$B$30+1)^'1. Inputs'!$B$7)*('1. Inputs'!$B$9+'1. Inputs'!$B$10*MAX(0,$A33-'1. Inputs'!$C$27-'1. Inputs'!$B$30+1)/(MAX(0,$A33-'1. Inputs'!$C$27-'1. Inputs'!$B$30+1)+'1. Inputs'!$B$11))*'1. Inputs'!$B$13*(1+'1. Inputs'!$B$14*MIN(MAX(0,$A33-'1. Inputs'!$C$27-'1. Inputs'!$B$30+1),'1. Inputs'!$B$15))*('1. Inputs'!$B$31*'5. Diagnosing a miss'!$B$22))</f>
        <v>944902.83898917</v>
      </c>
      <c r="X33" s="22" t="n">
        <f aca="false">SUM(T33:W33)</f>
        <v>9524168.46552921</v>
      </c>
      <c r="Y33" s="22" t="n">
        <f aca="false">IF($A33=MAX('1. Inputs'!$B$17,1),'1. Inputs'!$B$3,0)+IF($A33-'1. Inputs'!$B$17&gt;=1,INDEX(X$3:X$86,$A33-'1. Inputs'!$B$17),0)</f>
        <v>3830593.77469226</v>
      </c>
      <c r="Z33" s="22" t="n">
        <f aca="false">Z32*(1-'1. Inputs'!$B$18)+Y33</f>
        <v>141977065.745581</v>
      </c>
      <c r="AA33" s="22" t="n">
        <f aca="false">Z33*'1. Inputs'!$B$18</f>
        <v>1419770.65745581</v>
      </c>
      <c r="AB33" s="22" t="n">
        <f aca="false">AB32+X33-AA33</f>
        <v>227613212.372467</v>
      </c>
      <c r="AC33" s="22" t="n">
        <f aca="false">IF(MAX(0,$A33-'1. Inputs'!$C$24-('1. Inputs'!$B$30+'5. Diagnosing a miss'!$B$23)+1)&lt;=0,0,'1. Inputs'!$B$24*'1. Inputs'!$B$5*MAX(0,$A33-'1. Inputs'!$C$24-('1. Inputs'!$B$30+'5. Diagnosing a miss'!$B$23)+1)^'1. Inputs'!$B$7/('1. Inputs'!$B$6^'1. Inputs'!$B$7+MAX(0,$A33-'1. Inputs'!$C$24-('1. Inputs'!$B$30+'5. Diagnosing a miss'!$B$23)+1)^'1. Inputs'!$B$7)*('1. Inputs'!$B$9+'1. Inputs'!$B$10*MAX(0,$A33-'1. Inputs'!$C$24-('1. Inputs'!$B$30+'5. Diagnosing a miss'!$B$23)+1)/(MAX(0,$A33-'1. Inputs'!$C$24-('1. Inputs'!$B$30+'5. Diagnosing a miss'!$B$23)+1)+'1. Inputs'!$B$11))*'1. Inputs'!$B$13*(1+'1. Inputs'!$B$14*MIN(MAX(0,$A33-'1. Inputs'!$C$24-('1. Inputs'!$B$30+'5. Diagnosing a miss'!$B$23)+1),'1. Inputs'!$B$15))*'1. Inputs'!$B$31)</f>
        <v>3422381.98938053</v>
      </c>
      <c r="AD33" s="22" t="n">
        <f aca="false">IF(MAX(0,$A33-'1. Inputs'!$C$25-('1. Inputs'!$B$30+'5. Diagnosing a miss'!$B$23)+1)&lt;=0,0,'1. Inputs'!$B$25*'1. Inputs'!$B$5*MAX(0,$A33-'1. Inputs'!$C$25-('1. Inputs'!$B$30+'5. Diagnosing a miss'!$B$23)+1)^'1. Inputs'!$B$7/('1. Inputs'!$B$6^'1. Inputs'!$B$7+MAX(0,$A33-'1. Inputs'!$C$25-('1. Inputs'!$B$30+'5. Diagnosing a miss'!$B$23)+1)^'1. Inputs'!$B$7)*('1. Inputs'!$B$9+'1. Inputs'!$B$10*MAX(0,$A33-'1. Inputs'!$C$25-('1. Inputs'!$B$30+'5. Diagnosing a miss'!$B$23)+1)/(MAX(0,$A33-'1. Inputs'!$C$25-('1. Inputs'!$B$30+'5. Diagnosing a miss'!$B$23)+1)+'1. Inputs'!$B$11))*'1. Inputs'!$B$13*(1+'1. Inputs'!$B$14*MIN(MAX(0,$A33-'1. Inputs'!$C$25-('1. Inputs'!$B$30+'5. Diagnosing a miss'!$B$23)+1),'1. Inputs'!$B$15))*'1. Inputs'!$B$31)</f>
        <v>3981560.67497062</v>
      </c>
      <c r="AE33" s="22" t="n">
        <f aca="false">IF(MAX(0,$A33-'1. Inputs'!$C$26-('1. Inputs'!$B$30+'5. Diagnosing a miss'!$B$23)+1)&lt;=0,0,'1. Inputs'!$B$26*'1. Inputs'!$B$5*MAX(0,$A33-'1. Inputs'!$C$26-('1. Inputs'!$B$30+'5. Diagnosing a miss'!$B$23)+1)^'1. Inputs'!$B$7/('1. Inputs'!$B$6^'1. Inputs'!$B$7+MAX(0,$A33-'1. Inputs'!$C$26-('1. Inputs'!$B$30+'5. Diagnosing a miss'!$B$23)+1)^'1. Inputs'!$B$7)*('1. Inputs'!$B$9+'1. Inputs'!$B$10*MAX(0,$A33-'1. Inputs'!$C$26-('1. Inputs'!$B$30+'5. Diagnosing a miss'!$B$23)+1)/(MAX(0,$A33-'1. Inputs'!$C$26-('1. Inputs'!$B$30+'5. Diagnosing a miss'!$B$23)+1)+'1. Inputs'!$B$11))*'1. Inputs'!$B$13*(1+'1. Inputs'!$B$14*MIN(MAX(0,$A33-'1. Inputs'!$C$26-('1. Inputs'!$B$30+'5. Diagnosing a miss'!$B$23)+1),'1. Inputs'!$B$15))*'1. Inputs'!$B$31)</f>
        <v>1259919.36</v>
      </c>
      <c r="AF33" s="22" t="n">
        <f aca="false">IF(MAX(0,$A33-'1. Inputs'!$C$27-('1. Inputs'!$B$30+'5. Diagnosing a miss'!$B$23)+1)&lt;=0,0,'1. Inputs'!$B$27*'1. Inputs'!$B$5*MAX(0,$A33-'1. Inputs'!$C$27-('1. Inputs'!$B$30+'5. Diagnosing a miss'!$B$23)+1)^'1. Inputs'!$B$7/('1. Inputs'!$B$6^'1. Inputs'!$B$7+MAX(0,$A33-'1. Inputs'!$C$27-('1. Inputs'!$B$30+'5. Diagnosing a miss'!$B$23)+1)^'1. Inputs'!$B$7)*('1. Inputs'!$B$9+'1. Inputs'!$B$10*MAX(0,$A33-'1. Inputs'!$C$27-('1. Inputs'!$B$30+'5. Diagnosing a miss'!$B$23)+1)/(MAX(0,$A33-'1. Inputs'!$C$27-('1. Inputs'!$B$30+'5. Diagnosing a miss'!$B$23)+1)+'1. Inputs'!$B$11))*'1. Inputs'!$B$13*(1+'1. Inputs'!$B$14*MIN(MAX(0,$A33-'1. Inputs'!$C$27-('1. Inputs'!$B$30+'5. Diagnosing a miss'!$B$23)+1),'1. Inputs'!$B$15))*'1. Inputs'!$B$31)</f>
        <v>817885.299941759</v>
      </c>
      <c r="AG33" s="22" t="n">
        <f aca="false">SUM(AC33:AF33)</f>
        <v>9481747.32429291</v>
      </c>
      <c r="AH33" s="22" t="n">
        <f aca="false">IF($A33=MAX('1. Inputs'!$B$17,1),'1. Inputs'!$B$3,0)+IF($A33-'1. Inputs'!$B$17&gt;=1,INDEX(AG$3:AG$86,$A33-'1. Inputs'!$B$17),0)</f>
        <v>2562556.03043886</v>
      </c>
      <c r="AI33" s="22" t="n">
        <f aca="false">AI32*(1-'1. Inputs'!$B$18)+AH33</f>
        <v>133366442.083544</v>
      </c>
      <c r="AJ33" s="22" t="n">
        <f aca="false">AI33*'1. Inputs'!$B$18</f>
        <v>1333664.42083544</v>
      </c>
      <c r="AK33" s="22" t="n">
        <f aca="false">AK32+AG33-AJ33</f>
        <v>208995874.844918</v>
      </c>
    </row>
    <row r="34" customFormat="false" ht="15" hidden="false" customHeight="false" outlineLevel="0" collapsed="false">
      <c r="A34" s="7" t="n">
        <v>32</v>
      </c>
      <c r="B34" s="22" t="n">
        <f aca="false">IF(MAX(0,$A34-'1. Inputs'!$C$24-'1. Inputs'!$B$30+1)&lt;=0,0,'1. Inputs'!$B$24*'1. Inputs'!$B$5*MAX(0,$A34-'1. Inputs'!$C$24-'1. Inputs'!$B$30+1)^'1. Inputs'!$B$7/('1. Inputs'!$B$6^'1. Inputs'!$B$7+MAX(0,$A34-'1. Inputs'!$C$24-'1. Inputs'!$B$30+1)^'1. Inputs'!$B$7)*('1. Inputs'!$B$9+'1. Inputs'!$B$10*MAX(0,$A34-'1. Inputs'!$C$24-'1. Inputs'!$B$30+1)/(MAX(0,$A34-'1. Inputs'!$C$24-'1. Inputs'!$B$30+1)+'1. Inputs'!$B$11))*'1. Inputs'!$B$13*(1+'1. Inputs'!$B$14*MIN(MAX(0,$A34-'1. Inputs'!$C$24-'1. Inputs'!$B$30+1),'1. Inputs'!$B$15))*'1. Inputs'!$B$31)</f>
        <v>3626674.81109643</v>
      </c>
      <c r="C34" s="22" t="n">
        <f aca="false">IF(MAX(0,$A34-'1. Inputs'!$C$25-'1. Inputs'!$B$30+1)&lt;=0,0,'1. Inputs'!$B$25*'1. Inputs'!$B$5*MAX(0,$A34-'1. Inputs'!$C$25-'1. Inputs'!$B$30+1)^'1. Inputs'!$B$7/('1. Inputs'!$B$6^'1. Inputs'!$B$7+MAX(0,$A34-'1. Inputs'!$C$25-'1. Inputs'!$B$30+1)^'1. Inputs'!$B$7)*('1. Inputs'!$B$9+'1. Inputs'!$B$10*MAX(0,$A34-'1. Inputs'!$C$25-'1. Inputs'!$B$30+1)/(MAX(0,$A34-'1. Inputs'!$C$25-'1. Inputs'!$B$30+1)+'1. Inputs'!$B$11))*'1. Inputs'!$B$13*(1+'1. Inputs'!$B$14*MIN(MAX(0,$A34-'1. Inputs'!$C$25-'1. Inputs'!$B$30+1),'1. Inputs'!$B$15))*'1. Inputs'!$B$31)</f>
        <v>4478208</v>
      </c>
      <c r="D34" s="22" t="n">
        <f aca="false">IF(MAX(0,$A34-'1. Inputs'!$C$26-'1. Inputs'!$B$30+1)&lt;=0,0,'1. Inputs'!$B$26*'1. Inputs'!$B$5*MAX(0,$A34-'1. Inputs'!$C$26-'1. Inputs'!$B$30+1)^'1. Inputs'!$B$7/('1. Inputs'!$B$6^'1. Inputs'!$B$7+MAX(0,$A34-'1. Inputs'!$C$26-'1. Inputs'!$B$30+1)^'1. Inputs'!$B$7)*('1. Inputs'!$B$9+'1. Inputs'!$B$10*MAX(0,$A34-'1. Inputs'!$C$26-'1. Inputs'!$B$30+1)/(MAX(0,$A34-'1. Inputs'!$C$26-'1. Inputs'!$B$30+1)+'1. Inputs'!$B$11))*'1. Inputs'!$B$13*(1+'1. Inputs'!$B$14*MIN(MAX(0,$A34-'1. Inputs'!$C$26-'1. Inputs'!$B$30+1),'1. Inputs'!$B$15))*'1. Inputs'!$B$31)</f>
        <v>1656254.67062315</v>
      </c>
      <c r="E34" s="22" t="n">
        <f aca="false">IF(MAX(0,$A34-'1. Inputs'!$C$27-'1. Inputs'!$B$30+1)&lt;=0,0,'1. Inputs'!$B$27*'1. Inputs'!$B$5*MAX(0,$A34-'1. Inputs'!$C$27-'1. Inputs'!$B$30+1)^'1. Inputs'!$B$7/('1. Inputs'!$B$6^'1. Inputs'!$B$7+MAX(0,$A34-'1. Inputs'!$C$27-'1. Inputs'!$B$30+1)^'1. Inputs'!$B$7)*('1. Inputs'!$B$9+'1. Inputs'!$B$10*MAX(0,$A34-'1. Inputs'!$C$27-'1. Inputs'!$B$30+1)/(MAX(0,$A34-'1. Inputs'!$C$27-'1. Inputs'!$B$30+1)+'1. Inputs'!$B$11))*'1. Inputs'!$B$13*(1+'1. Inputs'!$B$14*MIN(MAX(0,$A34-'1. Inputs'!$C$27-'1. Inputs'!$B$30+1),'1. Inputs'!$B$15))*'1. Inputs'!$B$31)</f>
        <v>1118382.35294118</v>
      </c>
      <c r="F34" s="22" t="n">
        <f aca="false">SUM(B34:E34)</f>
        <v>10879519.8346608</v>
      </c>
      <c r="G34" s="22" t="n">
        <f aca="false">IF($A34=MAX('1. Inputs'!$B$17,1),'1. Inputs'!$B$3,0)+IF($A34-'1. Inputs'!$B$17&gt;=1,INDEX(F$3:F$86,$A34-'1. Inputs'!$B$17),0)</f>
        <v>4891612.18644535</v>
      </c>
      <c r="H34" s="22" t="n">
        <f aca="false">H33*(1-'1. Inputs'!$B$18)+G34</f>
        <v>147434602.213298</v>
      </c>
      <c r="I34" s="22" t="n">
        <f aca="false">H34*'1. Inputs'!$B$18</f>
        <v>1474346.02213298</v>
      </c>
      <c r="J34" s="22" t="n">
        <f aca="false">J33+F34-I34</f>
        <v>248676960.821981</v>
      </c>
      <c r="K34" s="22" t="n">
        <f aca="false">IF(MAX(0,$A34-'1. Inputs'!$C$24-'1. Inputs'!$B$30+1)&lt;=0,0,'1. Inputs'!$B$24*('1. Inputs'!$B$5-'5. Diagnosing a miss'!$B$21)*MAX(0,$A34-'1. Inputs'!$C$24-'1. Inputs'!$B$30+1)^'1. Inputs'!$B$7/('1. Inputs'!$B$6^'1. Inputs'!$B$7+MAX(0,$A34-'1. Inputs'!$C$24-'1. Inputs'!$B$30+1)^'1. Inputs'!$B$7)*('1. Inputs'!$B$9+'1. Inputs'!$B$10*MAX(0,$A34-'1. Inputs'!$C$24-'1. Inputs'!$B$30+1)/(MAX(0,$A34-'1. Inputs'!$C$24-'1. Inputs'!$B$30+1)+'1. Inputs'!$B$11))*'1. Inputs'!$B$13*(1+'1. Inputs'!$B$14*MIN(MAX(0,$A34-'1. Inputs'!$C$24-'1. Inputs'!$B$30+1),'1. Inputs'!$B$15))*'1. Inputs'!$B$31)</f>
        <v>3223710.94319683</v>
      </c>
      <c r="L34" s="22" t="n">
        <f aca="false">IF(MAX(0,$A34-'1. Inputs'!$C$25-'1. Inputs'!$B$30+1)&lt;=0,0,'1. Inputs'!$B$25*('1. Inputs'!$B$5-'5. Diagnosing a miss'!$B$21)*MAX(0,$A34-'1. Inputs'!$C$25-'1. Inputs'!$B$30+1)^'1. Inputs'!$B$7/('1. Inputs'!$B$6^'1. Inputs'!$B$7+MAX(0,$A34-'1. Inputs'!$C$25-'1. Inputs'!$B$30+1)^'1. Inputs'!$B$7)*('1. Inputs'!$B$9+'1. Inputs'!$B$10*MAX(0,$A34-'1. Inputs'!$C$25-'1. Inputs'!$B$30+1)/(MAX(0,$A34-'1. Inputs'!$C$25-'1. Inputs'!$B$30+1)+'1. Inputs'!$B$11))*'1. Inputs'!$B$13*(1+'1. Inputs'!$B$14*MIN(MAX(0,$A34-'1. Inputs'!$C$25-'1. Inputs'!$B$30+1),'1. Inputs'!$B$15))*'1. Inputs'!$B$31)</f>
        <v>3980629.33333333</v>
      </c>
      <c r="M34" s="22" t="n">
        <f aca="false">IF(MAX(0,$A34-'1. Inputs'!$C$26-'1. Inputs'!$B$30+1)&lt;=0,0,'1. Inputs'!$B$26*('1. Inputs'!$B$5-'5. Diagnosing a miss'!$B$21)*MAX(0,$A34-'1. Inputs'!$C$26-'1. Inputs'!$B$30+1)^'1. Inputs'!$B$7/('1. Inputs'!$B$6^'1. Inputs'!$B$7+MAX(0,$A34-'1. Inputs'!$C$26-'1. Inputs'!$B$30+1)^'1. Inputs'!$B$7)*('1. Inputs'!$B$9+'1. Inputs'!$B$10*MAX(0,$A34-'1. Inputs'!$C$26-'1. Inputs'!$B$30+1)/(MAX(0,$A34-'1. Inputs'!$C$26-'1. Inputs'!$B$30+1)+'1. Inputs'!$B$11))*'1. Inputs'!$B$13*(1+'1. Inputs'!$B$14*MIN(MAX(0,$A34-'1. Inputs'!$C$26-'1. Inputs'!$B$30+1),'1. Inputs'!$B$15))*'1. Inputs'!$B$31)</f>
        <v>1472226.37388724</v>
      </c>
      <c r="N34" s="22" t="n">
        <f aca="false">IF(MAX(0,$A34-'1. Inputs'!$C$27-'1. Inputs'!$B$30+1)&lt;=0,0,'1. Inputs'!$B$27*('1. Inputs'!$B$5-'5. Diagnosing a miss'!$B$21)*MAX(0,$A34-'1. Inputs'!$C$27-'1. Inputs'!$B$30+1)^'1. Inputs'!$B$7/('1. Inputs'!$B$6^'1. Inputs'!$B$7+MAX(0,$A34-'1. Inputs'!$C$27-'1. Inputs'!$B$30+1)^'1. Inputs'!$B$7)*('1. Inputs'!$B$9+'1. Inputs'!$B$10*MAX(0,$A34-'1. Inputs'!$C$27-'1. Inputs'!$B$30+1)/(MAX(0,$A34-'1. Inputs'!$C$27-'1. Inputs'!$B$30+1)+'1. Inputs'!$B$11))*'1. Inputs'!$B$13*(1+'1. Inputs'!$B$14*MIN(MAX(0,$A34-'1. Inputs'!$C$27-'1. Inputs'!$B$30+1),'1. Inputs'!$B$15))*'1. Inputs'!$B$31)</f>
        <v>994117.647058824</v>
      </c>
      <c r="O34" s="22" t="n">
        <f aca="false">SUM(K34:N34)</f>
        <v>9670684.29747623</v>
      </c>
      <c r="P34" s="22" t="n">
        <f aca="false">IF($A34=MAX('1. Inputs'!$B$17,1),'1. Inputs'!$B$3,0)+IF($A34-'1. Inputs'!$B$17&gt;=1,INDEX(O$3:O$86,$A34-'1. Inputs'!$B$17),0)</f>
        <v>4348099.72128475</v>
      </c>
      <c r="Q34" s="22" t="n">
        <f aca="false">Q33*(1-'1. Inputs'!$B$18)+P34</f>
        <v>144684762.03844</v>
      </c>
      <c r="R34" s="22" t="n">
        <f aca="false">Q34*'1. Inputs'!$B$18</f>
        <v>1446847.6203844</v>
      </c>
      <c r="S34" s="22" t="n">
        <f aca="false">S33+O34-R34</f>
        <v>234541651.867671</v>
      </c>
      <c r="T34" s="22" t="n">
        <f aca="false">IF(MAX(0,$A34-'1. Inputs'!$C$24-'1. Inputs'!$B$30+1)&lt;=0,0,'1. Inputs'!$B$24*'1. Inputs'!$B$5*MAX(0,$A34-'1. Inputs'!$C$24-'1. Inputs'!$B$30+1)^'1. Inputs'!$B$7/('1. Inputs'!$B$6^'1. Inputs'!$B$7+MAX(0,$A34-'1. Inputs'!$C$24-'1. Inputs'!$B$30+1)^'1. Inputs'!$B$7)*('1. Inputs'!$B$9+'1. Inputs'!$B$10*MAX(0,$A34-'1. Inputs'!$C$24-'1. Inputs'!$B$30+1)/(MAX(0,$A34-'1. Inputs'!$C$24-'1. Inputs'!$B$30+1)+'1. Inputs'!$B$11))*'1. Inputs'!$B$13*(1+'1. Inputs'!$B$14*MIN(MAX(0,$A34-'1. Inputs'!$C$24-'1. Inputs'!$B$30+1),'1. Inputs'!$B$15))*('1. Inputs'!$B$31*'5. Diagnosing a miss'!$B$22))</f>
        <v>3264007.32998679</v>
      </c>
      <c r="U34" s="22" t="n">
        <f aca="false">IF(MAX(0,$A34-'1. Inputs'!$C$25-'1. Inputs'!$B$30+1)&lt;=0,0,'1. Inputs'!$B$25*'1. Inputs'!$B$5*MAX(0,$A34-'1. Inputs'!$C$25-'1. Inputs'!$B$30+1)^'1. Inputs'!$B$7/('1. Inputs'!$B$6^'1. Inputs'!$B$7+MAX(0,$A34-'1. Inputs'!$C$25-'1. Inputs'!$B$30+1)^'1. Inputs'!$B$7)*('1. Inputs'!$B$9+'1. Inputs'!$B$10*MAX(0,$A34-'1. Inputs'!$C$25-'1. Inputs'!$B$30+1)/(MAX(0,$A34-'1. Inputs'!$C$25-'1. Inputs'!$B$30+1)+'1. Inputs'!$B$11))*'1. Inputs'!$B$13*(1+'1. Inputs'!$B$14*MIN(MAX(0,$A34-'1. Inputs'!$C$25-'1. Inputs'!$B$30+1),'1. Inputs'!$B$15))*('1. Inputs'!$B$31*'5. Diagnosing a miss'!$B$22))</f>
        <v>4030387.2</v>
      </c>
      <c r="V34" s="22" t="n">
        <f aca="false">IF(MAX(0,$A34-'1. Inputs'!$C$26-'1. Inputs'!$B$30+1)&lt;=0,0,'1. Inputs'!$B$26*'1. Inputs'!$B$5*MAX(0,$A34-'1. Inputs'!$C$26-'1. Inputs'!$B$30+1)^'1. Inputs'!$B$7/('1. Inputs'!$B$6^'1. Inputs'!$B$7+MAX(0,$A34-'1. Inputs'!$C$26-'1. Inputs'!$B$30+1)^'1. Inputs'!$B$7)*('1. Inputs'!$B$9+'1. Inputs'!$B$10*MAX(0,$A34-'1. Inputs'!$C$26-'1. Inputs'!$B$30+1)/(MAX(0,$A34-'1. Inputs'!$C$26-'1. Inputs'!$B$30+1)+'1. Inputs'!$B$11))*'1. Inputs'!$B$13*(1+'1. Inputs'!$B$14*MIN(MAX(0,$A34-'1. Inputs'!$C$26-'1. Inputs'!$B$30+1),'1. Inputs'!$B$15))*('1. Inputs'!$B$31*'5. Diagnosing a miss'!$B$22))</f>
        <v>1490629.20356083</v>
      </c>
      <c r="W34" s="22" t="n">
        <f aca="false">IF(MAX(0,$A34-'1. Inputs'!$C$27-'1. Inputs'!$B$30+1)&lt;=0,0,'1. Inputs'!$B$27*'1. Inputs'!$B$5*MAX(0,$A34-'1. Inputs'!$C$27-'1. Inputs'!$B$30+1)^'1. Inputs'!$B$7/('1. Inputs'!$B$6^'1. Inputs'!$B$7+MAX(0,$A34-'1. Inputs'!$C$27-'1. Inputs'!$B$30+1)^'1. Inputs'!$B$7)*('1. Inputs'!$B$9+'1. Inputs'!$B$10*MAX(0,$A34-'1. Inputs'!$C$27-'1. Inputs'!$B$30+1)/(MAX(0,$A34-'1. Inputs'!$C$27-'1. Inputs'!$B$30+1)+'1. Inputs'!$B$11))*'1. Inputs'!$B$13*(1+'1. Inputs'!$B$14*MIN(MAX(0,$A34-'1. Inputs'!$C$27-'1. Inputs'!$B$30+1),'1. Inputs'!$B$15))*('1. Inputs'!$B$31*'5. Diagnosing a miss'!$B$22))</f>
        <v>1006544.11764706</v>
      </c>
      <c r="X34" s="22" t="n">
        <f aca="false">SUM(T34:W34)</f>
        <v>9791567.85119468</v>
      </c>
      <c r="Y34" s="22" t="n">
        <f aca="false">IF($A34=MAX('1. Inputs'!$B$17,1),'1. Inputs'!$B$3,0)+IF($A34-'1. Inputs'!$B$17&gt;=1,INDEX(X$3:X$86,$A34-'1. Inputs'!$B$17),0)</f>
        <v>4402450.96780081</v>
      </c>
      <c r="Z34" s="22" t="n">
        <f aca="false">Z33*(1-'1. Inputs'!$B$18)+Y34</f>
        <v>144959746.055926</v>
      </c>
      <c r="AA34" s="22" t="n">
        <f aca="false">Z34*'1. Inputs'!$B$18</f>
        <v>1449597.46055926</v>
      </c>
      <c r="AB34" s="22" t="n">
        <f aca="false">AB33+X34-AA34</f>
        <v>235955182.763102</v>
      </c>
      <c r="AC34" s="22" t="n">
        <f aca="false">IF(MAX(0,$A34-'1. Inputs'!$C$24-('1. Inputs'!$B$30+'5. Diagnosing a miss'!$B$23)+1)&lt;=0,0,'1. Inputs'!$B$24*'1. Inputs'!$B$5*MAX(0,$A34-'1. Inputs'!$C$24-('1. Inputs'!$B$30+'5. Diagnosing a miss'!$B$23)+1)^'1. Inputs'!$B$7/('1. Inputs'!$B$6^'1. Inputs'!$B$7+MAX(0,$A34-'1. Inputs'!$C$24-('1. Inputs'!$B$30+'5. Diagnosing a miss'!$B$23)+1)^'1. Inputs'!$B$7)*('1. Inputs'!$B$9+'1. Inputs'!$B$10*MAX(0,$A34-'1. Inputs'!$C$24-('1. Inputs'!$B$30+'5. Diagnosing a miss'!$B$23)+1)/(MAX(0,$A34-'1. Inputs'!$C$24-('1. Inputs'!$B$30+'5. Diagnosing a miss'!$B$23)+1)+'1. Inputs'!$B$11))*'1. Inputs'!$B$13*(1+'1. Inputs'!$B$14*MIN(MAX(0,$A34-'1. Inputs'!$C$24-('1. Inputs'!$B$30+'5. Diagnosing a miss'!$B$23)+1),'1. Inputs'!$B$15))*'1. Inputs'!$B$31)</f>
        <v>3480446.56009045</v>
      </c>
      <c r="AD34" s="22" t="n">
        <f aca="false">IF(MAX(0,$A34-'1. Inputs'!$C$25-('1. Inputs'!$B$30+'5. Diagnosing a miss'!$B$23)+1)&lt;=0,0,'1. Inputs'!$B$25*'1. Inputs'!$B$5*MAX(0,$A34-'1. Inputs'!$C$25-('1. Inputs'!$B$30+'5. Diagnosing a miss'!$B$23)+1)^'1. Inputs'!$B$7/('1. Inputs'!$B$6^'1. Inputs'!$B$7+MAX(0,$A34-'1. Inputs'!$C$25-('1. Inputs'!$B$30+'5. Diagnosing a miss'!$B$23)+1)^'1. Inputs'!$B$7)*('1. Inputs'!$B$9+'1. Inputs'!$B$10*MAX(0,$A34-'1. Inputs'!$C$25-('1. Inputs'!$B$30+'5. Diagnosing a miss'!$B$23)+1)/(MAX(0,$A34-'1. Inputs'!$C$25-('1. Inputs'!$B$30+'5. Diagnosing a miss'!$B$23)+1)+'1. Inputs'!$B$11))*'1. Inputs'!$B$13*(1+'1. Inputs'!$B$14*MIN(MAX(0,$A34-'1. Inputs'!$C$25-('1. Inputs'!$B$30+'5. Diagnosing a miss'!$B$23)+1),'1. Inputs'!$B$15))*'1. Inputs'!$B$31)</f>
        <v>4167475.2</v>
      </c>
      <c r="AE34" s="22" t="n">
        <f aca="false">IF(MAX(0,$A34-'1. Inputs'!$C$26-('1. Inputs'!$B$30+'5. Diagnosing a miss'!$B$23)+1)&lt;=0,0,'1. Inputs'!$B$26*'1. Inputs'!$B$5*MAX(0,$A34-'1. Inputs'!$C$26-('1. Inputs'!$B$30+'5. Diagnosing a miss'!$B$23)+1)^'1. Inputs'!$B$7/('1. Inputs'!$B$6^'1. Inputs'!$B$7+MAX(0,$A34-'1. Inputs'!$C$26-('1. Inputs'!$B$30+'5. Diagnosing a miss'!$B$23)+1)^'1. Inputs'!$B$7)*('1. Inputs'!$B$9+'1. Inputs'!$B$10*MAX(0,$A34-'1. Inputs'!$C$26-('1. Inputs'!$B$30+'5. Diagnosing a miss'!$B$23)+1)/(MAX(0,$A34-'1. Inputs'!$C$26-('1. Inputs'!$B$30+'5. Diagnosing a miss'!$B$23)+1)+'1. Inputs'!$B$11))*'1. Inputs'!$B$13*(1+'1. Inputs'!$B$14*MIN(MAX(0,$A34-'1. Inputs'!$C$26-('1. Inputs'!$B$30+'5. Diagnosing a miss'!$B$23)+1),'1. Inputs'!$B$15))*'1. Inputs'!$B$31)</f>
        <v>1368070.01431579</v>
      </c>
      <c r="AF34" s="22" t="n">
        <f aca="false">IF(MAX(0,$A34-'1. Inputs'!$C$27-('1. Inputs'!$B$30+'5. Diagnosing a miss'!$B$23)+1)&lt;=0,0,'1. Inputs'!$B$27*'1. Inputs'!$B$5*MAX(0,$A34-'1. Inputs'!$C$27-('1. Inputs'!$B$30+'5. Diagnosing a miss'!$B$23)+1)^'1. Inputs'!$B$7/('1. Inputs'!$B$6^'1. Inputs'!$B$7+MAX(0,$A34-'1. Inputs'!$C$27-('1. Inputs'!$B$30+'5. Diagnosing a miss'!$B$23)+1)^'1. Inputs'!$B$7)*('1. Inputs'!$B$9+'1. Inputs'!$B$10*MAX(0,$A34-'1. Inputs'!$C$27-('1. Inputs'!$B$30+'5. Diagnosing a miss'!$B$23)+1)/(MAX(0,$A34-'1. Inputs'!$C$27-('1. Inputs'!$B$30+'5. Diagnosing a miss'!$B$23)+1)+'1. Inputs'!$B$11))*'1. Inputs'!$B$13*(1+'1. Inputs'!$B$14*MIN(MAX(0,$A34-'1. Inputs'!$C$27-('1. Inputs'!$B$30+'5. Diagnosing a miss'!$B$23)+1),'1. Inputs'!$B$15))*'1. Inputs'!$B$31)</f>
        <v>899942.4</v>
      </c>
      <c r="AG34" s="22" t="n">
        <f aca="false">SUM(AC34:AF34)</f>
        <v>9915934.17440624</v>
      </c>
      <c r="AH34" s="22" t="n">
        <f aca="false">IF($A34=MAX('1. Inputs'!$B$17,1),'1. Inputs'!$B$3,0)+IF($A34-'1. Inputs'!$B$17&gt;=1,INDEX(AG$3:AG$86,$A34-'1. Inputs'!$B$17),0)</f>
        <v>3087368.10447561</v>
      </c>
      <c r="AI34" s="22" t="n">
        <f aca="false">AI33*(1-'1. Inputs'!$B$18)+AH34</f>
        <v>135120145.767184</v>
      </c>
      <c r="AJ34" s="22" t="n">
        <f aca="false">AI34*'1. Inputs'!$B$18</f>
        <v>1351201.45767184</v>
      </c>
      <c r="AK34" s="22" t="n">
        <f aca="false">AK33+AG34-AJ34</f>
        <v>217560607.561653</v>
      </c>
    </row>
    <row r="35" customFormat="false" ht="15" hidden="false" customHeight="false" outlineLevel="0" collapsed="false">
      <c r="A35" s="7" t="n">
        <v>33</v>
      </c>
      <c r="B35" s="22" t="n">
        <f aca="false">IF(MAX(0,$A35-'1. Inputs'!$C$24-'1. Inputs'!$B$30+1)&lt;=0,0,'1. Inputs'!$B$24*'1. Inputs'!$B$5*MAX(0,$A35-'1. Inputs'!$C$24-'1. Inputs'!$B$30+1)^'1. Inputs'!$B$7/('1. Inputs'!$B$6^'1. Inputs'!$B$7+MAX(0,$A35-'1. Inputs'!$C$24-'1. Inputs'!$B$30+1)^'1. Inputs'!$B$7)*('1. Inputs'!$B$9+'1. Inputs'!$B$10*MAX(0,$A35-'1. Inputs'!$C$24-'1. Inputs'!$B$30+1)/(MAX(0,$A35-'1. Inputs'!$C$24-'1. Inputs'!$B$30+1)+'1. Inputs'!$B$11))*'1. Inputs'!$B$13*(1+'1. Inputs'!$B$14*MIN(MAX(0,$A35-'1. Inputs'!$C$24-'1. Inputs'!$B$30+1),'1. Inputs'!$B$15))*'1. Inputs'!$B$31)</f>
        <v>3667727.12727273</v>
      </c>
      <c r="C35" s="22" t="n">
        <f aca="false">IF(MAX(0,$A35-'1. Inputs'!$C$25-'1. Inputs'!$B$30+1)&lt;=0,0,'1. Inputs'!$B$25*'1. Inputs'!$B$5*MAX(0,$A35-'1. Inputs'!$C$25-'1. Inputs'!$B$30+1)^'1. Inputs'!$B$7/('1. Inputs'!$B$6^'1. Inputs'!$B$7+MAX(0,$A35-'1. Inputs'!$C$25-'1. Inputs'!$B$30+1)^'1. Inputs'!$B$7)*('1. Inputs'!$B$9+'1. Inputs'!$B$10*MAX(0,$A35-'1. Inputs'!$C$25-'1. Inputs'!$B$30+1)/(MAX(0,$A35-'1. Inputs'!$C$25-'1. Inputs'!$B$30+1)+'1. Inputs'!$B$11))*'1. Inputs'!$B$13*(1+'1. Inputs'!$B$14*MIN(MAX(0,$A35-'1. Inputs'!$C$25-'1. Inputs'!$B$30+1),'1. Inputs'!$B$15))*'1. Inputs'!$B$31)</f>
        <v>4563175.98584071</v>
      </c>
      <c r="D35" s="22" t="n">
        <f aca="false">IF(MAX(0,$A35-'1. Inputs'!$C$26-'1. Inputs'!$B$30+1)&lt;=0,0,'1. Inputs'!$B$26*'1. Inputs'!$B$5*MAX(0,$A35-'1. Inputs'!$C$26-'1. Inputs'!$B$30+1)^'1. Inputs'!$B$7/('1. Inputs'!$B$6^'1. Inputs'!$B$7+MAX(0,$A35-'1. Inputs'!$C$26-'1. Inputs'!$B$30+1)^'1. Inputs'!$B$7)*('1. Inputs'!$B$9+'1. Inputs'!$B$10*MAX(0,$A35-'1. Inputs'!$C$26-'1. Inputs'!$B$30+1)/(MAX(0,$A35-'1. Inputs'!$C$26-'1. Inputs'!$B$30+1)+'1. Inputs'!$B$11))*'1. Inputs'!$B$13*(1+'1. Inputs'!$B$14*MIN(MAX(0,$A35-'1. Inputs'!$C$26-'1. Inputs'!$B$30+1),'1. Inputs'!$B$15))*'1. Inputs'!$B$31)</f>
        <v>1741932.79529965</v>
      </c>
      <c r="E35" s="22" t="n">
        <f aca="false">IF(MAX(0,$A35-'1. Inputs'!$C$27-'1. Inputs'!$B$30+1)&lt;=0,0,'1. Inputs'!$B$27*'1. Inputs'!$B$5*MAX(0,$A35-'1. Inputs'!$C$27-'1. Inputs'!$B$30+1)^'1. Inputs'!$B$7/('1. Inputs'!$B$6^'1. Inputs'!$B$7+MAX(0,$A35-'1. Inputs'!$C$27-'1. Inputs'!$B$30+1)^'1. Inputs'!$B$7)*('1. Inputs'!$B$9+'1. Inputs'!$B$10*MAX(0,$A35-'1. Inputs'!$C$27-'1. Inputs'!$B$30+1)/(MAX(0,$A35-'1. Inputs'!$C$27-'1. Inputs'!$B$30+1)+'1. Inputs'!$B$11))*'1. Inputs'!$B$13*(1+'1. Inputs'!$B$14*MIN(MAX(0,$A35-'1. Inputs'!$C$27-'1. Inputs'!$B$30+1),'1. Inputs'!$B$15))*'1. Inputs'!$B$31)</f>
        <v>1183039.0504451</v>
      </c>
      <c r="F35" s="22" t="n">
        <f aca="false">SUM(B35:E35)</f>
        <v>11155874.9588582</v>
      </c>
      <c r="G35" s="22" t="n">
        <f aca="false">IF($A35=MAX('1. Inputs'!$B$17,1),'1. Inputs'!$B$3,0)+IF($A35-'1. Inputs'!$B$17&gt;=1,INDEX(F$3:F$86,$A35-'1. Inputs'!$B$17),0)</f>
        <v>5542857.02058828</v>
      </c>
      <c r="H35" s="22" t="n">
        <f aca="false">H34*(1-'1. Inputs'!$B$18)+G35</f>
        <v>151503113.211753</v>
      </c>
      <c r="I35" s="22" t="n">
        <f aca="false">H35*'1. Inputs'!$B$18</f>
        <v>1515031.13211753</v>
      </c>
      <c r="J35" s="22" t="n">
        <f aca="false">J34+F35-I35</f>
        <v>258317804.648722</v>
      </c>
      <c r="K35" s="22" t="n">
        <f aca="false">IF(MAX(0,$A35-'1. Inputs'!$C$24-'1. Inputs'!$B$30+1)&lt;=0,0,'1. Inputs'!$B$24*('1. Inputs'!$B$5-'5. Diagnosing a miss'!$B$21)*MAX(0,$A35-'1. Inputs'!$C$24-'1. Inputs'!$B$30+1)^'1. Inputs'!$B$7/('1. Inputs'!$B$6^'1. Inputs'!$B$7+MAX(0,$A35-'1. Inputs'!$C$24-'1. Inputs'!$B$30+1)^'1. Inputs'!$B$7)*('1. Inputs'!$B$9+'1. Inputs'!$B$10*MAX(0,$A35-'1. Inputs'!$C$24-'1. Inputs'!$B$30+1)/(MAX(0,$A35-'1. Inputs'!$C$24-'1. Inputs'!$B$30+1)+'1. Inputs'!$B$11))*'1. Inputs'!$B$13*(1+'1. Inputs'!$B$14*MIN(MAX(0,$A35-'1. Inputs'!$C$24-'1. Inputs'!$B$30+1),'1. Inputs'!$B$15))*'1. Inputs'!$B$31)</f>
        <v>3260201.89090909</v>
      </c>
      <c r="L35" s="22" t="n">
        <f aca="false">IF(MAX(0,$A35-'1. Inputs'!$C$25-'1. Inputs'!$B$30+1)&lt;=0,0,'1. Inputs'!$B$25*('1. Inputs'!$B$5-'5. Diagnosing a miss'!$B$21)*MAX(0,$A35-'1. Inputs'!$C$25-'1. Inputs'!$B$30+1)^'1. Inputs'!$B$7/('1. Inputs'!$B$6^'1. Inputs'!$B$7+MAX(0,$A35-'1. Inputs'!$C$25-'1. Inputs'!$B$30+1)^'1. Inputs'!$B$7)*('1. Inputs'!$B$9+'1. Inputs'!$B$10*MAX(0,$A35-'1. Inputs'!$C$25-'1. Inputs'!$B$30+1)/(MAX(0,$A35-'1. Inputs'!$C$25-'1. Inputs'!$B$30+1)+'1. Inputs'!$B$11))*'1. Inputs'!$B$13*(1+'1. Inputs'!$B$14*MIN(MAX(0,$A35-'1. Inputs'!$C$25-'1. Inputs'!$B$30+1),'1. Inputs'!$B$15))*'1. Inputs'!$B$31)</f>
        <v>4056156.43185841</v>
      </c>
      <c r="M35" s="22" t="n">
        <f aca="false">IF(MAX(0,$A35-'1. Inputs'!$C$26-'1. Inputs'!$B$30+1)&lt;=0,0,'1. Inputs'!$B$26*('1. Inputs'!$B$5-'5. Diagnosing a miss'!$B$21)*MAX(0,$A35-'1. Inputs'!$C$26-'1. Inputs'!$B$30+1)^'1. Inputs'!$B$7/('1. Inputs'!$B$6^'1. Inputs'!$B$7+MAX(0,$A35-'1. Inputs'!$C$26-'1. Inputs'!$B$30+1)^'1. Inputs'!$B$7)*('1. Inputs'!$B$9+'1. Inputs'!$B$10*MAX(0,$A35-'1. Inputs'!$C$26-'1. Inputs'!$B$30+1)/(MAX(0,$A35-'1. Inputs'!$C$26-'1. Inputs'!$B$30+1)+'1. Inputs'!$B$11))*'1. Inputs'!$B$13*(1+'1. Inputs'!$B$14*MIN(MAX(0,$A35-'1. Inputs'!$C$26-'1. Inputs'!$B$30+1),'1. Inputs'!$B$15))*'1. Inputs'!$B$31)</f>
        <v>1548384.70693302</v>
      </c>
      <c r="N35" s="22" t="n">
        <f aca="false">IF(MAX(0,$A35-'1. Inputs'!$C$27-'1. Inputs'!$B$30+1)&lt;=0,0,'1. Inputs'!$B$27*('1. Inputs'!$B$5-'5. Diagnosing a miss'!$B$21)*MAX(0,$A35-'1. Inputs'!$C$27-'1. Inputs'!$B$30+1)^'1. Inputs'!$B$7/('1. Inputs'!$B$6^'1. Inputs'!$B$7+MAX(0,$A35-'1. Inputs'!$C$27-'1. Inputs'!$B$30+1)^'1. Inputs'!$B$7)*('1. Inputs'!$B$9+'1. Inputs'!$B$10*MAX(0,$A35-'1. Inputs'!$C$27-'1. Inputs'!$B$30+1)/(MAX(0,$A35-'1. Inputs'!$C$27-'1. Inputs'!$B$30+1)+'1. Inputs'!$B$11))*'1. Inputs'!$B$13*(1+'1. Inputs'!$B$14*MIN(MAX(0,$A35-'1. Inputs'!$C$27-'1. Inputs'!$B$30+1),'1. Inputs'!$B$15))*'1. Inputs'!$B$31)</f>
        <v>1051590.26706231</v>
      </c>
      <c r="O35" s="22" t="n">
        <f aca="false">SUM(K35:N35)</f>
        <v>9916333.29676283</v>
      </c>
      <c r="P35" s="22" t="n">
        <f aca="false">IF($A35=MAX('1. Inputs'!$B$17,1),'1. Inputs'!$B$3,0)+IF($A35-'1. Inputs'!$B$17&gt;=1,INDEX(O$3:O$86,$A35-'1. Inputs'!$B$17),0)</f>
        <v>4926984.01830069</v>
      </c>
      <c r="Q35" s="22" t="n">
        <f aca="false">Q34*(1-'1. Inputs'!$B$18)+P35</f>
        <v>148164898.436357</v>
      </c>
      <c r="R35" s="22" t="n">
        <f aca="false">Q35*'1. Inputs'!$B$18</f>
        <v>1481648.98436357</v>
      </c>
      <c r="S35" s="22" t="n">
        <f aca="false">S34+O35-R35</f>
        <v>242976336.18007</v>
      </c>
      <c r="T35" s="22" t="n">
        <f aca="false">IF(MAX(0,$A35-'1. Inputs'!$C$24-'1. Inputs'!$B$30+1)&lt;=0,0,'1. Inputs'!$B$24*'1. Inputs'!$B$5*MAX(0,$A35-'1. Inputs'!$C$24-'1. Inputs'!$B$30+1)^'1. Inputs'!$B$7/('1. Inputs'!$B$6^'1. Inputs'!$B$7+MAX(0,$A35-'1. Inputs'!$C$24-'1. Inputs'!$B$30+1)^'1. Inputs'!$B$7)*('1. Inputs'!$B$9+'1. Inputs'!$B$10*MAX(0,$A35-'1. Inputs'!$C$24-'1. Inputs'!$B$30+1)/(MAX(0,$A35-'1. Inputs'!$C$24-'1. Inputs'!$B$30+1)+'1. Inputs'!$B$11))*'1. Inputs'!$B$13*(1+'1. Inputs'!$B$14*MIN(MAX(0,$A35-'1. Inputs'!$C$24-'1. Inputs'!$B$30+1),'1. Inputs'!$B$15))*('1. Inputs'!$B$31*'5. Diagnosing a miss'!$B$22))</f>
        <v>3300954.41454545</v>
      </c>
      <c r="U35" s="22" t="n">
        <f aca="false">IF(MAX(0,$A35-'1. Inputs'!$C$25-'1. Inputs'!$B$30+1)&lt;=0,0,'1. Inputs'!$B$25*'1. Inputs'!$B$5*MAX(0,$A35-'1. Inputs'!$C$25-'1. Inputs'!$B$30+1)^'1. Inputs'!$B$7/('1. Inputs'!$B$6^'1. Inputs'!$B$7+MAX(0,$A35-'1. Inputs'!$C$25-'1. Inputs'!$B$30+1)^'1. Inputs'!$B$7)*('1. Inputs'!$B$9+'1. Inputs'!$B$10*MAX(0,$A35-'1. Inputs'!$C$25-'1. Inputs'!$B$30+1)/(MAX(0,$A35-'1. Inputs'!$C$25-'1. Inputs'!$B$30+1)+'1. Inputs'!$B$11))*'1. Inputs'!$B$13*(1+'1. Inputs'!$B$14*MIN(MAX(0,$A35-'1. Inputs'!$C$25-'1. Inputs'!$B$30+1),'1. Inputs'!$B$15))*('1. Inputs'!$B$31*'5. Diagnosing a miss'!$B$22))</f>
        <v>4106858.38725664</v>
      </c>
      <c r="V35" s="22" t="n">
        <f aca="false">IF(MAX(0,$A35-'1. Inputs'!$C$26-'1. Inputs'!$B$30+1)&lt;=0,0,'1. Inputs'!$B$26*'1. Inputs'!$B$5*MAX(0,$A35-'1. Inputs'!$C$26-'1. Inputs'!$B$30+1)^'1. Inputs'!$B$7/('1. Inputs'!$B$6^'1. Inputs'!$B$7+MAX(0,$A35-'1. Inputs'!$C$26-'1. Inputs'!$B$30+1)^'1. Inputs'!$B$7)*('1. Inputs'!$B$9+'1. Inputs'!$B$10*MAX(0,$A35-'1. Inputs'!$C$26-'1. Inputs'!$B$30+1)/(MAX(0,$A35-'1. Inputs'!$C$26-'1. Inputs'!$B$30+1)+'1. Inputs'!$B$11))*'1. Inputs'!$B$13*(1+'1. Inputs'!$B$14*MIN(MAX(0,$A35-'1. Inputs'!$C$26-'1. Inputs'!$B$30+1),'1. Inputs'!$B$15))*('1. Inputs'!$B$31*'5. Diagnosing a miss'!$B$22))</f>
        <v>1567739.51576968</v>
      </c>
      <c r="W35" s="22" t="n">
        <f aca="false">IF(MAX(0,$A35-'1. Inputs'!$C$27-'1. Inputs'!$B$30+1)&lt;=0,0,'1. Inputs'!$B$27*'1. Inputs'!$B$5*MAX(0,$A35-'1. Inputs'!$C$27-'1. Inputs'!$B$30+1)^'1. Inputs'!$B$7/('1. Inputs'!$B$6^'1. Inputs'!$B$7+MAX(0,$A35-'1. Inputs'!$C$27-'1. Inputs'!$B$30+1)^'1. Inputs'!$B$7)*('1. Inputs'!$B$9+'1. Inputs'!$B$10*MAX(0,$A35-'1. Inputs'!$C$27-'1. Inputs'!$B$30+1)/(MAX(0,$A35-'1. Inputs'!$C$27-'1. Inputs'!$B$30+1)+'1. Inputs'!$B$11))*'1. Inputs'!$B$13*(1+'1. Inputs'!$B$14*MIN(MAX(0,$A35-'1. Inputs'!$C$27-'1. Inputs'!$B$30+1),'1. Inputs'!$B$15))*('1. Inputs'!$B$31*'5. Diagnosing a miss'!$B$22))</f>
        <v>1064735.14540059</v>
      </c>
      <c r="X35" s="22" t="n">
        <f aca="false">SUM(T35:W35)</f>
        <v>10040287.4629724</v>
      </c>
      <c r="Y35" s="22" t="n">
        <f aca="false">IF($A35=MAX('1. Inputs'!$B$17,1),'1. Inputs'!$B$3,0)+IF($A35-'1. Inputs'!$B$17&gt;=1,INDEX(X$3:X$86,$A35-'1. Inputs'!$B$17),0)</f>
        <v>4988571.31852945</v>
      </c>
      <c r="Z35" s="22" t="n">
        <f aca="false">Z34*(1-'1. Inputs'!$B$18)+Y35</f>
        <v>148498719.913896</v>
      </c>
      <c r="AA35" s="22" t="n">
        <f aca="false">Z35*'1. Inputs'!$B$18</f>
        <v>1484987.19913896</v>
      </c>
      <c r="AB35" s="22" t="n">
        <f aca="false">AB34+X35-AA35</f>
        <v>244510483.026936</v>
      </c>
      <c r="AC35" s="22" t="n">
        <f aca="false">IF(MAX(0,$A35-'1. Inputs'!$C$24-('1. Inputs'!$B$30+'5. Diagnosing a miss'!$B$23)+1)&lt;=0,0,'1. Inputs'!$B$24*'1. Inputs'!$B$5*MAX(0,$A35-'1. Inputs'!$C$24-('1. Inputs'!$B$30+'5. Diagnosing a miss'!$B$23)+1)^'1. Inputs'!$B$7/('1. Inputs'!$B$6^'1. Inputs'!$B$7+MAX(0,$A35-'1. Inputs'!$C$24-('1. Inputs'!$B$30+'5. Diagnosing a miss'!$B$23)+1)^'1. Inputs'!$B$7)*('1. Inputs'!$B$9+'1. Inputs'!$B$10*MAX(0,$A35-'1. Inputs'!$C$24-('1. Inputs'!$B$30+'5. Diagnosing a miss'!$B$23)+1)/(MAX(0,$A35-'1. Inputs'!$C$24-('1. Inputs'!$B$30+'5. Diagnosing a miss'!$B$23)+1)+'1. Inputs'!$B$11))*'1. Inputs'!$B$13*(1+'1. Inputs'!$B$14*MIN(MAX(0,$A35-'1. Inputs'!$C$24-('1. Inputs'!$B$30+'5. Diagnosing a miss'!$B$23)+1),'1. Inputs'!$B$15))*'1. Inputs'!$B$31)</f>
        <v>3533490.1479452</v>
      </c>
      <c r="AD35" s="22" t="n">
        <f aca="false">IF(MAX(0,$A35-'1. Inputs'!$C$25-('1. Inputs'!$B$30+'5. Diagnosing a miss'!$B$23)+1)&lt;=0,0,'1. Inputs'!$B$25*'1. Inputs'!$B$5*MAX(0,$A35-'1. Inputs'!$C$25-('1. Inputs'!$B$30+'5. Diagnosing a miss'!$B$23)+1)^'1. Inputs'!$B$7/('1. Inputs'!$B$6^'1. Inputs'!$B$7+MAX(0,$A35-'1. Inputs'!$C$25-('1. Inputs'!$B$30+'5. Diagnosing a miss'!$B$23)+1)^'1. Inputs'!$B$7)*('1. Inputs'!$B$9+'1. Inputs'!$B$10*MAX(0,$A35-'1. Inputs'!$C$25-('1. Inputs'!$B$30+'5. Diagnosing a miss'!$B$23)+1)/(MAX(0,$A35-'1. Inputs'!$C$25-('1. Inputs'!$B$30+'5. Diagnosing a miss'!$B$23)+1)+'1. Inputs'!$B$11))*'1. Inputs'!$B$13*(1+'1. Inputs'!$B$14*MIN(MAX(0,$A35-'1. Inputs'!$C$25-('1. Inputs'!$B$30+'5. Diagnosing a miss'!$B$23)+1),'1. Inputs'!$B$15))*'1. Inputs'!$B$31)</f>
        <v>4281562.19076923</v>
      </c>
      <c r="AE35" s="22" t="n">
        <f aca="false">IF(MAX(0,$A35-'1. Inputs'!$C$26-('1. Inputs'!$B$30+'5. Diagnosing a miss'!$B$23)+1)&lt;=0,0,'1. Inputs'!$B$26*'1. Inputs'!$B$5*MAX(0,$A35-'1. Inputs'!$C$26-('1. Inputs'!$B$30+'5. Diagnosing a miss'!$B$23)+1)^'1. Inputs'!$B$7/('1. Inputs'!$B$6^'1. Inputs'!$B$7+MAX(0,$A35-'1. Inputs'!$C$26-('1. Inputs'!$B$30+'5. Diagnosing a miss'!$B$23)+1)^'1. Inputs'!$B$7)*('1. Inputs'!$B$9+'1. Inputs'!$B$10*MAX(0,$A35-'1. Inputs'!$C$26-('1. Inputs'!$B$30+'5. Diagnosing a miss'!$B$23)+1)/(MAX(0,$A35-'1. Inputs'!$C$26-('1. Inputs'!$B$30+'5. Diagnosing a miss'!$B$23)+1)+'1. Inputs'!$B$11))*'1. Inputs'!$B$13*(1+'1. Inputs'!$B$14*MIN(MAX(0,$A35-'1. Inputs'!$C$26-('1. Inputs'!$B$30+'5. Diagnosing a miss'!$B$23)+1),'1. Inputs'!$B$15))*'1. Inputs'!$B$31)</f>
        <v>1469848.86064982</v>
      </c>
      <c r="AF35" s="22" t="n">
        <f aca="false">IF(MAX(0,$A35-'1. Inputs'!$C$27-('1. Inputs'!$B$30+'5. Diagnosing a miss'!$B$23)+1)&lt;=0,0,'1. Inputs'!$B$27*'1. Inputs'!$B$5*MAX(0,$A35-'1. Inputs'!$C$27-('1. Inputs'!$B$30+'5. Diagnosing a miss'!$B$23)+1)^'1. Inputs'!$B$7/('1. Inputs'!$B$6^'1. Inputs'!$B$7+MAX(0,$A35-'1. Inputs'!$C$27-('1. Inputs'!$B$30+'5. Diagnosing a miss'!$B$23)+1)^'1. Inputs'!$B$7)*('1. Inputs'!$B$9+'1. Inputs'!$B$10*MAX(0,$A35-'1. Inputs'!$C$27-('1. Inputs'!$B$30+'5. Diagnosing a miss'!$B$23)+1)/(MAX(0,$A35-'1. Inputs'!$C$27-('1. Inputs'!$B$30+'5. Diagnosing a miss'!$B$23)+1)+'1. Inputs'!$B$11))*'1. Inputs'!$B$13*(1+'1. Inputs'!$B$14*MIN(MAX(0,$A35-'1. Inputs'!$C$27-('1. Inputs'!$B$30+'5. Diagnosing a miss'!$B$23)+1),'1. Inputs'!$B$15))*'1. Inputs'!$B$31)</f>
        <v>977192.867368421</v>
      </c>
      <c r="AG35" s="22" t="n">
        <f aca="false">SUM(AC35:AF35)</f>
        <v>10262094.0667327</v>
      </c>
      <c r="AH35" s="22" t="n">
        <f aca="false">IF($A35=MAX('1. Inputs'!$B$17,1),'1. Inputs'!$B$3,0)+IF($A35-'1. Inputs'!$B$17&gt;=1,INDEX(AG$3:AG$86,$A35-'1. Inputs'!$B$17),0)</f>
        <v>3651154.43720153</v>
      </c>
      <c r="AI35" s="22" t="n">
        <f aca="false">AI34*(1-'1. Inputs'!$B$18)+AH35</f>
        <v>137420098.746714</v>
      </c>
      <c r="AJ35" s="22" t="n">
        <f aca="false">AI35*'1. Inputs'!$B$18</f>
        <v>1374200.98746714</v>
      </c>
      <c r="AK35" s="22" t="n">
        <f aca="false">AK34+AG35-AJ35</f>
        <v>226448500.640918</v>
      </c>
    </row>
    <row r="36" customFormat="false" ht="15" hidden="false" customHeight="false" outlineLevel="0" collapsed="false">
      <c r="A36" s="7" t="n">
        <v>34</v>
      </c>
      <c r="B36" s="22" t="n">
        <f aca="false">IF(MAX(0,$A36-'1. Inputs'!$C$24-'1. Inputs'!$B$30+1)&lt;=0,0,'1. Inputs'!$B$24*'1. Inputs'!$B$5*MAX(0,$A36-'1. Inputs'!$C$24-'1. Inputs'!$B$30+1)^'1. Inputs'!$B$7/('1. Inputs'!$B$6^'1. Inputs'!$B$7+MAX(0,$A36-'1. Inputs'!$C$24-'1. Inputs'!$B$30+1)^'1. Inputs'!$B$7)*('1. Inputs'!$B$9+'1. Inputs'!$B$10*MAX(0,$A36-'1. Inputs'!$C$24-'1. Inputs'!$B$30+1)/(MAX(0,$A36-'1. Inputs'!$C$24-'1. Inputs'!$B$30+1)+'1. Inputs'!$B$11))*'1. Inputs'!$B$13*(1+'1. Inputs'!$B$14*MIN(MAX(0,$A36-'1. Inputs'!$C$24-'1. Inputs'!$B$30+1),'1. Inputs'!$B$15))*'1. Inputs'!$B$31)</f>
        <v>3705599.11213873</v>
      </c>
      <c r="C36" s="22" t="n">
        <f aca="false">IF(MAX(0,$A36-'1. Inputs'!$C$25-'1. Inputs'!$B$30+1)&lt;=0,0,'1. Inputs'!$B$25*'1. Inputs'!$B$5*MAX(0,$A36-'1. Inputs'!$C$25-'1. Inputs'!$B$30+1)^'1. Inputs'!$B$7/('1. Inputs'!$B$6^'1. Inputs'!$B$7+MAX(0,$A36-'1. Inputs'!$C$25-'1. Inputs'!$B$30+1)^'1. Inputs'!$B$7)*('1. Inputs'!$B$9+'1. Inputs'!$B$10*MAX(0,$A36-'1. Inputs'!$C$25-'1. Inputs'!$B$30+1)/(MAX(0,$A36-'1. Inputs'!$C$25-'1. Inputs'!$B$30+1)+'1. Inputs'!$B$11))*'1. Inputs'!$B$13*(1+'1. Inputs'!$B$14*MIN(MAX(0,$A36-'1. Inputs'!$C$25-'1. Inputs'!$B$30+1),'1. Inputs'!$B$15))*'1. Inputs'!$B$31)</f>
        <v>4640595.41345393</v>
      </c>
      <c r="D36" s="22" t="n">
        <f aca="false">IF(MAX(0,$A36-'1. Inputs'!$C$26-'1. Inputs'!$B$30+1)&lt;=0,0,'1. Inputs'!$B$26*'1. Inputs'!$B$5*MAX(0,$A36-'1. Inputs'!$C$26-'1. Inputs'!$B$30+1)^'1. Inputs'!$B$7/('1. Inputs'!$B$6^'1. Inputs'!$B$7+MAX(0,$A36-'1. Inputs'!$C$26-'1. Inputs'!$B$30+1)^'1. Inputs'!$B$7)*('1. Inputs'!$B$9+'1. Inputs'!$B$10*MAX(0,$A36-'1. Inputs'!$C$26-'1. Inputs'!$B$30+1)/(MAX(0,$A36-'1. Inputs'!$C$26-'1. Inputs'!$B$30+1)+'1. Inputs'!$B$11))*'1. Inputs'!$B$13*(1+'1. Inputs'!$B$14*MIN(MAX(0,$A36-'1. Inputs'!$C$26-'1. Inputs'!$B$30+1),'1. Inputs'!$B$15))*'1. Inputs'!$B$31)</f>
        <v>1823270.4</v>
      </c>
      <c r="E36" s="22" t="n">
        <f aca="false">IF(MAX(0,$A36-'1. Inputs'!$C$27-'1. Inputs'!$B$30+1)&lt;=0,0,'1. Inputs'!$B$27*'1. Inputs'!$B$5*MAX(0,$A36-'1. Inputs'!$C$27-'1. Inputs'!$B$30+1)^'1. Inputs'!$B$7/('1. Inputs'!$B$6^'1. Inputs'!$B$7+MAX(0,$A36-'1. Inputs'!$C$27-'1. Inputs'!$B$30+1)^'1. Inputs'!$B$7)*('1. Inputs'!$B$9+'1. Inputs'!$B$10*MAX(0,$A36-'1. Inputs'!$C$27-'1. Inputs'!$B$30+1)/(MAX(0,$A36-'1. Inputs'!$C$27-'1. Inputs'!$B$30+1)+'1. Inputs'!$B$11))*'1. Inputs'!$B$13*(1+'1. Inputs'!$B$14*MIN(MAX(0,$A36-'1. Inputs'!$C$27-'1. Inputs'!$B$30+1),'1. Inputs'!$B$15))*'1. Inputs'!$B$31)</f>
        <v>1244237.71092832</v>
      </c>
      <c r="F36" s="22" t="n">
        <f aca="false">SUM(B36:E36)</f>
        <v>11413702.636521</v>
      </c>
      <c r="G36" s="22" t="n">
        <f aca="false">IF($A36=MAX('1. Inputs'!$B$17,1),'1. Inputs'!$B$3,0)+IF($A36-'1. Inputs'!$B$17&gt;=1,INDEX(F$3:F$86,$A36-'1. Inputs'!$B$17),0)</f>
        <v>6195442.25127375</v>
      </c>
      <c r="H36" s="22" t="n">
        <f aca="false">H35*(1-'1. Inputs'!$B$18)+G36</f>
        <v>156183524.330909</v>
      </c>
      <c r="I36" s="22" t="n">
        <f aca="false">H36*'1. Inputs'!$B$18</f>
        <v>1561835.24330909</v>
      </c>
      <c r="J36" s="22" t="n">
        <f aca="false">J35+F36-I36</f>
        <v>268169672.041934</v>
      </c>
      <c r="K36" s="22" t="n">
        <f aca="false">IF(MAX(0,$A36-'1. Inputs'!$C$24-'1. Inputs'!$B$30+1)&lt;=0,0,'1. Inputs'!$B$24*('1. Inputs'!$B$5-'5. Diagnosing a miss'!$B$21)*MAX(0,$A36-'1. Inputs'!$C$24-'1. Inputs'!$B$30+1)^'1. Inputs'!$B$7/('1. Inputs'!$B$6^'1. Inputs'!$B$7+MAX(0,$A36-'1. Inputs'!$C$24-'1. Inputs'!$B$30+1)^'1. Inputs'!$B$7)*('1. Inputs'!$B$9+'1. Inputs'!$B$10*MAX(0,$A36-'1. Inputs'!$C$24-'1. Inputs'!$B$30+1)/(MAX(0,$A36-'1. Inputs'!$C$24-'1. Inputs'!$B$30+1)+'1. Inputs'!$B$11))*'1. Inputs'!$B$13*(1+'1. Inputs'!$B$14*MIN(MAX(0,$A36-'1. Inputs'!$C$24-'1. Inputs'!$B$30+1),'1. Inputs'!$B$15))*'1. Inputs'!$B$31)</f>
        <v>3293865.87745665</v>
      </c>
      <c r="L36" s="22" t="n">
        <f aca="false">IF(MAX(0,$A36-'1. Inputs'!$C$25-'1. Inputs'!$B$30+1)&lt;=0,0,'1. Inputs'!$B$25*('1. Inputs'!$B$5-'5. Diagnosing a miss'!$B$21)*MAX(0,$A36-'1. Inputs'!$C$25-'1. Inputs'!$B$30+1)^'1. Inputs'!$B$7/('1. Inputs'!$B$6^'1. Inputs'!$B$7+MAX(0,$A36-'1. Inputs'!$C$25-'1. Inputs'!$B$30+1)^'1. Inputs'!$B$7)*('1. Inputs'!$B$9+'1. Inputs'!$B$10*MAX(0,$A36-'1. Inputs'!$C$25-'1. Inputs'!$B$30+1)/(MAX(0,$A36-'1. Inputs'!$C$25-'1. Inputs'!$B$30+1)+'1. Inputs'!$B$11))*'1. Inputs'!$B$13*(1+'1. Inputs'!$B$14*MIN(MAX(0,$A36-'1. Inputs'!$C$25-'1. Inputs'!$B$30+1),'1. Inputs'!$B$15))*'1. Inputs'!$B$31)</f>
        <v>4124973.70084794</v>
      </c>
      <c r="M36" s="22" t="n">
        <f aca="false">IF(MAX(0,$A36-'1. Inputs'!$C$26-'1. Inputs'!$B$30+1)&lt;=0,0,'1. Inputs'!$B$26*('1. Inputs'!$B$5-'5. Diagnosing a miss'!$B$21)*MAX(0,$A36-'1. Inputs'!$C$26-'1. Inputs'!$B$30+1)^'1. Inputs'!$B$7/('1. Inputs'!$B$6^'1. Inputs'!$B$7+MAX(0,$A36-'1. Inputs'!$C$26-'1. Inputs'!$B$30+1)^'1. Inputs'!$B$7)*('1. Inputs'!$B$9+'1. Inputs'!$B$10*MAX(0,$A36-'1. Inputs'!$C$26-'1. Inputs'!$B$30+1)/(MAX(0,$A36-'1. Inputs'!$C$26-'1. Inputs'!$B$30+1)+'1. Inputs'!$B$11))*'1. Inputs'!$B$13*(1+'1. Inputs'!$B$14*MIN(MAX(0,$A36-'1. Inputs'!$C$26-'1. Inputs'!$B$30+1),'1. Inputs'!$B$15))*'1. Inputs'!$B$31)</f>
        <v>1620684.8</v>
      </c>
      <c r="N36" s="22" t="n">
        <f aca="false">IF(MAX(0,$A36-'1. Inputs'!$C$27-'1. Inputs'!$B$30+1)&lt;=0,0,'1. Inputs'!$B$27*('1. Inputs'!$B$5-'5. Diagnosing a miss'!$B$21)*MAX(0,$A36-'1. Inputs'!$C$27-'1. Inputs'!$B$30+1)^'1. Inputs'!$B$7/('1. Inputs'!$B$6^'1. Inputs'!$B$7+MAX(0,$A36-'1. Inputs'!$C$27-'1. Inputs'!$B$30+1)^'1. Inputs'!$B$7)*('1. Inputs'!$B$9+'1. Inputs'!$B$10*MAX(0,$A36-'1. Inputs'!$C$27-'1. Inputs'!$B$30+1)/(MAX(0,$A36-'1. Inputs'!$C$27-'1. Inputs'!$B$30+1)+'1. Inputs'!$B$11))*'1. Inputs'!$B$13*(1+'1. Inputs'!$B$14*MIN(MAX(0,$A36-'1. Inputs'!$C$27-'1. Inputs'!$B$30+1),'1. Inputs'!$B$15))*'1. Inputs'!$B$31)</f>
        <v>1105989.07638073</v>
      </c>
      <c r="O36" s="22" t="n">
        <f aca="false">SUM(K36:N36)</f>
        <v>10145513.4546853</v>
      </c>
      <c r="P36" s="22" t="n">
        <f aca="false">IF($A36=MAX('1. Inputs'!$B$17,1),'1. Inputs'!$B$3,0)+IF($A36-'1. Inputs'!$B$17&gt;=1,INDEX(O$3:O$86,$A36-'1. Inputs'!$B$17),0)</f>
        <v>5507059.77891</v>
      </c>
      <c r="Q36" s="22" t="n">
        <f aca="false">Q35*(1-'1. Inputs'!$B$18)+P36</f>
        <v>152190309.230903</v>
      </c>
      <c r="R36" s="22" t="n">
        <f aca="false">Q36*'1. Inputs'!$B$18</f>
        <v>1521903.09230903</v>
      </c>
      <c r="S36" s="22" t="n">
        <f aca="false">S35+O36-R36</f>
        <v>251599946.542447</v>
      </c>
      <c r="T36" s="22" t="n">
        <f aca="false">IF(MAX(0,$A36-'1. Inputs'!$C$24-'1. Inputs'!$B$30+1)&lt;=0,0,'1. Inputs'!$B$24*'1. Inputs'!$B$5*MAX(0,$A36-'1. Inputs'!$C$24-'1. Inputs'!$B$30+1)^'1. Inputs'!$B$7/('1. Inputs'!$B$6^'1. Inputs'!$B$7+MAX(0,$A36-'1. Inputs'!$C$24-'1. Inputs'!$B$30+1)^'1. Inputs'!$B$7)*('1. Inputs'!$B$9+'1. Inputs'!$B$10*MAX(0,$A36-'1. Inputs'!$C$24-'1. Inputs'!$B$30+1)/(MAX(0,$A36-'1. Inputs'!$C$24-'1. Inputs'!$B$30+1)+'1. Inputs'!$B$11))*'1. Inputs'!$B$13*(1+'1. Inputs'!$B$14*MIN(MAX(0,$A36-'1. Inputs'!$C$24-'1. Inputs'!$B$30+1),'1. Inputs'!$B$15))*('1. Inputs'!$B$31*'5. Diagnosing a miss'!$B$22))</f>
        <v>3335039.20092486</v>
      </c>
      <c r="U36" s="22" t="n">
        <f aca="false">IF(MAX(0,$A36-'1. Inputs'!$C$25-'1. Inputs'!$B$30+1)&lt;=0,0,'1. Inputs'!$B$25*'1. Inputs'!$B$5*MAX(0,$A36-'1. Inputs'!$C$25-'1. Inputs'!$B$30+1)^'1. Inputs'!$B$7/('1. Inputs'!$B$6^'1. Inputs'!$B$7+MAX(0,$A36-'1. Inputs'!$C$25-'1. Inputs'!$B$30+1)^'1. Inputs'!$B$7)*('1. Inputs'!$B$9+'1. Inputs'!$B$10*MAX(0,$A36-'1. Inputs'!$C$25-'1. Inputs'!$B$30+1)/(MAX(0,$A36-'1. Inputs'!$C$25-'1. Inputs'!$B$30+1)+'1. Inputs'!$B$11))*'1. Inputs'!$B$13*(1+'1. Inputs'!$B$14*MIN(MAX(0,$A36-'1. Inputs'!$C$25-'1. Inputs'!$B$30+1),'1. Inputs'!$B$15))*('1. Inputs'!$B$31*'5. Diagnosing a miss'!$B$22))</f>
        <v>4176535.87210854</v>
      </c>
      <c r="V36" s="22" t="n">
        <f aca="false">IF(MAX(0,$A36-'1. Inputs'!$C$26-'1. Inputs'!$B$30+1)&lt;=0,0,'1. Inputs'!$B$26*'1. Inputs'!$B$5*MAX(0,$A36-'1. Inputs'!$C$26-'1. Inputs'!$B$30+1)^'1. Inputs'!$B$7/('1. Inputs'!$B$6^'1. Inputs'!$B$7+MAX(0,$A36-'1. Inputs'!$C$26-'1. Inputs'!$B$30+1)^'1. Inputs'!$B$7)*('1. Inputs'!$B$9+'1. Inputs'!$B$10*MAX(0,$A36-'1. Inputs'!$C$26-'1. Inputs'!$B$30+1)/(MAX(0,$A36-'1. Inputs'!$C$26-'1. Inputs'!$B$30+1)+'1. Inputs'!$B$11))*'1. Inputs'!$B$13*(1+'1. Inputs'!$B$14*MIN(MAX(0,$A36-'1. Inputs'!$C$26-'1. Inputs'!$B$30+1),'1. Inputs'!$B$15))*('1. Inputs'!$B$31*'5. Diagnosing a miss'!$B$22))</f>
        <v>1640943.36</v>
      </c>
      <c r="W36" s="22" t="n">
        <f aca="false">IF(MAX(0,$A36-'1. Inputs'!$C$27-'1. Inputs'!$B$30+1)&lt;=0,0,'1. Inputs'!$B$27*'1. Inputs'!$B$5*MAX(0,$A36-'1. Inputs'!$C$27-'1. Inputs'!$B$30+1)^'1. Inputs'!$B$7/('1. Inputs'!$B$6^'1. Inputs'!$B$7+MAX(0,$A36-'1. Inputs'!$C$27-'1. Inputs'!$B$30+1)^'1. Inputs'!$B$7)*('1. Inputs'!$B$9+'1. Inputs'!$B$10*MAX(0,$A36-'1. Inputs'!$C$27-'1. Inputs'!$B$30+1)/(MAX(0,$A36-'1. Inputs'!$C$27-'1. Inputs'!$B$30+1)+'1. Inputs'!$B$11))*'1. Inputs'!$B$13*(1+'1. Inputs'!$B$14*MIN(MAX(0,$A36-'1. Inputs'!$C$27-'1. Inputs'!$B$30+1),'1. Inputs'!$B$15))*('1. Inputs'!$B$31*'5. Diagnosing a miss'!$B$22))</f>
        <v>1119813.93983549</v>
      </c>
      <c r="X36" s="22" t="n">
        <f aca="false">SUM(T36:W36)</f>
        <v>10272332.3728689</v>
      </c>
      <c r="Y36" s="22" t="n">
        <f aca="false">IF($A36=MAX('1. Inputs'!$B$17,1),'1. Inputs'!$B$3,0)+IF($A36-'1. Inputs'!$B$17&gt;=1,INDEX(X$3:X$86,$A36-'1. Inputs'!$B$17),0)</f>
        <v>5575898.02614638</v>
      </c>
      <c r="Z36" s="22" t="n">
        <f aca="false">Z35*(1-'1. Inputs'!$B$18)+Y36</f>
        <v>152589630.740904</v>
      </c>
      <c r="AA36" s="22" t="n">
        <f aca="false">Z36*'1. Inputs'!$B$18</f>
        <v>1525896.30740904</v>
      </c>
      <c r="AB36" s="22" t="n">
        <f aca="false">AB35+X36-AA36</f>
        <v>253256919.092395</v>
      </c>
      <c r="AC36" s="22" t="n">
        <f aca="false">IF(MAX(0,$A36-'1. Inputs'!$C$24-('1. Inputs'!$B$30+'5. Diagnosing a miss'!$B$23)+1)&lt;=0,0,'1. Inputs'!$B$24*'1. Inputs'!$B$5*MAX(0,$A36-'1. Inputs'!$C$24-('1. Inputs'!$B$30+'5. Diagnosing a miss'!$B$23)+1)^'1. Inputs'!$B$7/('1. Inputs'!$B$6^'1. Inputs'!$B$7+MAX(0,$A36-'1. Inputs'!$C$24-('1. Inputs'!$B$30+'5. Diagnosing a miss'!$B$23)+1)^'1. Inputs'!$B$7)*('1. Inputs'!$B$9+'1. Inputs'!$B$10*MAX(0,$A36-'1. Inputs'!$C$24-('1. Inputs'!$B$30+'5. Diagnosing a miss'!$B$23)+1)/(MAX(0,$A36-'1. Inputs'!$C$24-('1. Inputs'!$B$30+'5. Diagnosing a miss'!$B$23)+1)+'1. Inputs'!$B$11))*'1. Inputs'!$B$13*(1+'1. Inputs'!$B$14*MIN(MAX(0,$A36-'1. Inputs'!$C$24-('1. Inputs'!$B$30+'5. Diagnosing a miss'!$B$23)+1),'1. Inputs'!$B$15))*'1. Inputs'!$B$31)</f>
        <v>3582070.73014713</v>
      </c>
      <c r="AD36" s="22" t="n">
        <f aca="false">IF(MAX(0,$A36-'1. Inputs'!$C$25-('1. Inputs'!$B$30+'5. Diagnosing a miss'!$B$23)+1)&lt;=0,0,'1. Inputs'!$B$25*'1. Inputs'!$B$5*MAX(0,$A36-'1. Inputs'!$C$25-('1. Inputs'!$B$30+'5. Diagnosing a miss'!$B$23)+1)^'1. Inputs'!$B$7/('1. Inputs'!$B$6^'1. Inputs'!$B$7+MAX(0,$A36-'1. Inputs'!$C$25-('1. Inputs'!$B$30+'5. Diagnosing a miss'!$B$23)+1)^'1. Inputs'!$B$7)*('1. Inputs'!$B$9+'1. Inputs'!$B$10*MAX(0,$A36-'1. Inputs'!$C$25-('1. Inputs'!$B$30+'5. Diagnosing a miss'!$B$23)+1)/(MAX(0,$A36-'1. Inputs'!$C$25-('1. Inputs'!$B$30+'5. Diagnosing a miss'!$B$23)+1)+'1. Inputs'!$B$11))*'1. Inputs'!$B$13*(1+'1. Inputs'!$B$14*MIN(MAX(0,$A36-'1. Inputs'!$C$25-('1. Inputs'!$B$30+'5. Diagnosing a miss'!$B$23)+1),'1. Inputs'!$B$15))*'1. Inputs'!$B$31)</f>
        <v>4384711.33855749</v>
      </c>
      <c r="AE36" s="22" t="n">
        <f aca="false">IF(MAX(0,$A36-'1. Inputs'!$C$26-('1. Inputs'!$B$30+'5. Diagnosing a miss'!$B$23)+1)&lt;=0,0,'1. Inputs'!$B$26*'1. Inputs'!$B$5*MAX(0,$A36-'1. Inputs'!$C$26-('1. Inputs'!$B$30+'5. Diagnosing a miss'!$B$23)+1)^'1. Inputs'!$B$7/('1. Inputs'!$B$6^'1. Inputs'!$B$7+MAX(0,$A36-'1. Inputs'!$C$26-('1. Inputs'!$B$30+'5. Diagnosing a miss'!$B$23)+1)^'1. Inputs'!$B$7)*('1. Inputs'!$B$9+'1. Inputs'!$B$10*MAX(0,$A36-'1. Inputs'!$C$26-('1. Inputs'!$B$30+'5. Diagnosing a miss'!$B$23)+1)/(MAX(0,$A36-'1. Inputs'!$C$26-('1. Inputs'!$B$30+'5. Diagnosing a miss'!$B$23)+1)+'1. Inputs'!$B$11))*'1. Inputs'!$B$13*(1+'1. Inputs'!$B$14*MIN(MAX(0,$A36-'1. Inputs'!$C$26-('1. Inputs'!$B$30+'5. Diagnosing a miss'!$B$23)+1),'1. Inputs'!$B$15))*'1. Inputs'!$B$31)</f>
        <v>1565735.29411765</v>
      </c>
      <c r="AF36" s="22" t="n">
        <f aca="false">IF(MAX(0,$A36-'1. Inputs'!$C$27-('1. Inputs'!$B$30+'5. Diagnosing a miss'!$B$23)+1)&lt;=0,0,'1. Inputs'!$B$27*'1. Inputs'!$B$5*MAX(0,$A36-'1. Inputs'!$C$27-('1. Inputs'!$B$30+'5. Diagnosing a miss'!$B$23)+1)^'1. Inputs'!$B$7/('1. Inputs'!$B$6^'1. Inputs'!$B$7+MAX(0,$A36-'1. Inputs'!$C$27-('1. Inputs'!$B$30+'5. Diagnosing a miss'!$B$23)+1)^'1. Inputs'!$B$7)*('1. Inputs'!$B$9+'1. Inputs'!$B$10*MAX(0,$A36-'1. Inputs'!$C$27-('1. Inputs'!$B$30+'5. Diagnosing a miss'!$B$23)+1)/(MAX(0,$A36-'1. Inputs'!$C$27-('1. Inputs'!$B$30+'5. Diagnosing a miss'!$B$23)+1)+'1. Inputs'!$B$11))*'1. Inputs'!$B$13*(1+'1. Inputs'!$B$14*MIN(MAX(0,$A36-'1. Inputs'!$C$27-('1. Inputs'!$B$30+'5. Diagnosing a miss'!$B$23)+1),'1. Inputs'!$B$15))*'1. Inputs'!$B$31)</f>
        <v>1049892.0433213</v>
      </c>
      <c r="AG36" s="22" t="n">
        <f aca="false">SUM(AC36:AF36)</f>
        <v>10582409.4061436</v>
      </c>
      <c r="AH36" s="22" t="n">
        <f aca="false">IF($A36=MAX('1. Inputs'!$B$17,1),'1. Inputs'!$B$3,0)+IF($A36-'1. Inputs'!$B$17&gt;=1,INDEX(AG$3:AG$86,$A36-'1. Inputs'!$B$17),0)</f>
        <v>4256215.30521362</v>
      </c>
      <c r="AI36" s="22" t="n">
        <f aca="false">AI35*(1-'1. Inputs'!$B$18)+AH36</f>
        <v>140302113.06446</v>
      </c>
      <c r="AJ36" s="22" t="n">
        <f aca="false">AI36*'1. Inputs'!$B$18</f>
        <v>1403021.1306446</v>
      </c>
      <c r="AK36" s="22" t="n">
        <f aca="false">AK35+AG36-AJ36</f>
        <v>235627888.916417</v>
      </c>
    </row>
    <row r="37" customFormat="false" ht="15" hidden="false" customHeight="false" outlineLevel="0" collapsed="false">
      <c r="A37" s="7" t="n">
        <v>35</v>
      </c>
      <c r="B37" s="22" t="n">
        <f aca="false">IF(MAX(0,$A37-'1. Inputs'!$C$24-'1. Inputs'!$B$30+1)&lt;=0,0,'1. Inputs'!$B$24*'1. Inputs'!$B$5*MAX(0,$A37-'1. Inputs'!$C$24-'1. Inputs'!$B$30+1)^'1. Inputs'!$B$7/('1. Inputs'!$B$6^'1. Inputs'!$B$7+MAX(0,$A37-'1. Inputs'!$C$24-'1. Inputs'!$B$30+1)^'1. Inputs'!$B$7)*('1. Inputs'!$B$9+'1. Inputs'!$B$10*MAX(0,$A37-'1. Inputs'!$C$24-'1. Inputs'!$B$30+1)/(MAX(0,$A37-'1. Inputs'!$C$24-'1. Inputs'!$B$30+1)+'1. Inputs'!$B$11))*'1. Inputs'!$B$13*(1+'1. Inputs'!$B$14*MIN(MAX(0,$A37-'1. Inputs'!$C$24-'1. Inputs'!$B$30+1),'1. Inputs'!$B$15))*'1. Inputs'!$B$31)</f>
        <v>3740616.2186551</v>
      </c>
      <c r="C37" s="22" t="n">
        <f aca="false">IF(MAX(0,$A37-'1. Inputs'!$C$25-'1. Inputs'!$B$30+1)&lt;=0,0,'1. Inputs'!$B$25*'1. Inputs'!$B$5*MAX(0,$A37-'1. Inputs'!$C$25-'1. Inputs'!$B$30+1)^'1. Inputs'!$B$7/('1. Inputs'!$B$6^'1. Inputs'!$B$7+MAX(0,$A37-'1. Inputs'!$C$25-'1. Inputs'!$B$30+1)^'1. Inputs'!$B$7)*('1. Inputs'!$B$9+'1. Inputs'!$B$10*MAX(0,$A37-'1. Inputs'!$C$25-'1. Inputs'!$B$30+1)/(MAX(0,$A37-'1. Inputs'!$C$25-'1. Inputs'!$B$30+1)+'1. Inputs'!$B$11))*'1. Inputs'!$B$13*(1+'1. Inputs'!$B$14*MIN(MAX(0,$A37-'1. Inputs'!$C$25-'1. Inputs'!$B$30+1),'1. Inputs'!$B$15))*'1. Inputs'!$B$31)</f>
        <v>4711320.19726027</v>
      </c>
      <c r="D37" s="22" t="n">
        <f aca="false">IF(MAX(0,$A37-'1. Inputs'!$C$26-'1. Inputs'!$B$30+1)&lt;=0,0,'1. Inputs'!$B$26*'1. Inputs'!$B$5*MAX(0,$A37-'1. Inputs'!$C$26-'1. Inputs'!$B$30+1)^'1. Inputs'!$B$7/('1. Inputs'!$B$6^'1. Inputs'!$B$7+MAX(0,$A37-'1. Inputs'!$C$26-'1. Inputs'!$B$30+1)^'1. Inputs'!$B$7)*('1. Inputs'!$B$9+'1. Inputs'!$B$10*MAX(0,$A37-'1. Inputs'!$C$26-'1. Inputs'!$B$30+1)/(MAX(0,$A37-'1. Inputs'!$C$26-'1. Inputs'!$B$30+1)+'1. Inputs'!$B$11))*'1. Inputs'!$B$13*(1+'1. Inputs'!$B$14*MIN(MAX(0,$A37-'1. Inputs'!$C$26-'1. Inputs'!$B$30+1),'1. Inputs'!$B$15))*'1. Inputs'!$B$31)</f>
        <v>1873183.45846154</v>
      </c>
      <c r="E37" s="22" t="n">
        <f aca="false">IF(MAX(0,$A37-'1. Inputs'!$C$27-'1. Inputs'!$B$30+1)&lt;=0,0,'1. Inputs'!$B$27*'1. Inputs'!$B$5*MAX(0,$A37-'1. Inputs'!$C$27-'1. Inputs'!$B$30+1)^'1. Inputs'!$B$7/('1. Inputs'!$B$6^'1. Inputs'!$B$7+MAX(0,$A37-'1. Inputs'!$C$27-'1. Inputs'!$B$30+1)^'1. Inputs'!$B$7)*('1. Inputs'!$B$9+'1. Inputs'!$B$10*MAX(0,$A37-'1. Inputs'!$C$27-'1. Inputs'!$B$30+1)/(MAX(0,$A37-'1. Inputs'!$C$27-'1. Inputs'!$B$30+1)+'1. Inputs'!$B$11))*'1. Inputs'!$B$13*(1+'1. Inputs'!$B$14*MIN(MAX(0,$A37-'1. Inputs'!$C$27-'1. Inputs'!$B$30+1),'1. Inputs'!$B$15))*'1. Inputs'!$B$31)</f>
        <v>1302336</v>
      </c>
      <c r="F37" s="22" t="n">
        <f aca="false">SUM(B37:E37)</f>
        <v>11627455.8743769</v>
      </c>
      <c r="G37" s="22" t="n">
        <f aca="false">IF($A37=MAX('1. Inputs'!$B$17,1),'1. Inputs'!$B$3,0)+IF($A37-'1. Inputs'!$B$17&gt;=1,INDEX(F$3:F$86,$A37-'1. Inputs'!$B$17),0)</f>
        <v>6837232.06078418</v>
      </c>
      <c r="H37" s="22" t="n">
        <f aca="false">H36*(1-'1. Inputs'!$B$18)+G37</f>
        <v>161458921.148384</v>
      </c>
      <c r="I37" s="22" t="n">
        <f aca="false">H37*'1. Inputs'!$B$18</f>
        <v>1614589.21148384</v>
      </c>
      <c r="J37" s="22" t="n">
        <f aca="false">J36+F37-I37</f>
        <v>278182538.704827</v>
      </c>
      <c r="K37" s="22" t="n">
        <f aca="false">IF(MAX(0,$A37-'1. Inputs'!$C$24-'1. Inputs'!$B$30+1)&lt;=0,0,'1. Inputs'!$B$24*('1. Inputs'!$B$5-'5. Diagnosing a miss'!$B$21)*MAX(0,$A37-'1. Inputs'!$C$24-'1. Inputs'!$B$30+1)^'1. Inputs'!$B$7/('1. Inputs'!$B$6^'1. Inputs'!$B$7+MAX(0,$A37-'1. Inputs'!$C$24-'1. Inputs'!$B$30+1)^'1. Inputs'!$B$7)*('1. Inputs'!$B$9+'1. Inputs'!$B$10*MAX(0,$A37-'1. Inputs'!$C$24-'1. Inputs'!$B$30+1)/(MAX(0,$A37-'1. Inputs'!$C$24-'1. Inputs'!$B$30+1)+'1. Inputs'!$B$11))*'1. Inputs'!$B$13*(1+'1. Inputs'!$B$14*MIN(MAX(0,$A37-'1. Inputs'!$C$24-'1. Inputs'!$B$30+1),'1. Inputs'!$B$15))*'1. Inputs'!$B$31)</f>
        <v>3324992.19436009</v>
      </c>
      <c r="L37" s="22" t="n">
        <f aca="false">IF(MAX(0,$A37-'1. Inputs'!$C$25-'1. Inputs'!$B$30+1)&lt;=0,0,'1. Inputs'!$B$25*('1. Inputs'!$B$5-'5. Diagnosing a miss'!$B$21)*MAX(0,$A37-'1. Inputs'!$C$25-'1. Inputs'!$B$30+1)^'1. Inputs'!$B$7/('1. Inputs'!$B$6^'1. Inputs'!$B$7+MAX(0,$A37-'1. Inputs'!$C$25-'1. Inputs'!$B$30+1)^'1. Inputs'!$B$7)*('1. Inputs'!$B$9+'1. Inputs'!$B$10*MAX(0,$A37-'1. Inputs'!$C$25-'1. Inputs'!$B$30+1)/(MAX(0,$A37-'1. Inputs'!$C$25-'1. Inputs'!$B$30+1)+'1. Inputs'!$B$11))*'1. Inputs'!$B$13*(1+'1. Inputs'!$B$14*MIN(MAX(0,$A37-'1. Inputs'!$C$25-'1. Inputs'!$B$30+1),'1. Inputs'!$B$15))*'1. Inputs'!$B$31)</f>
        <v>4187840.17534247</v>
      </c>
      <c r="M37" s="22" t="n">
        <f aca="false">IF(MAX(0,$A37-'1. Inputs'!$C$26-'1. Inputs'!$B$30+1)&lt;=0,0,'1. Inputs'!$B$26*('1. Inputs'!$B$5-'5. Diagnosing a miss'!$B$21)*MAX(0,$A37-'1. Inputs'!$C$26-'1. Inputs'!$B$30+1)^'1. Inputs'!$B$7/('1. Inputs'!$B$6^'1. Inputs'!$B$7+MAX(0,$A37-'1. Inputs'!$C$26-'1. Inputs'!$B$30+1)^'1. Inputs'!$B$7)*('1. Inputs'!$B$9+'1. Inputs'!$B$10*MAX(0,$A37-'1. Inputs'!$C$26-'1. Inputs'!$B$30+1)/(MAX(0,$A37-'1. Inputs'!$C$26-'1. Inputs'!$B$30+1)+'1. Inputs'!$B$11))*'1. Inputs'!$B$13*(1+'1. Inputs'!$B$14*MIN(MAX(0,$A37-'1. Inputs'!$C$26-'1. Inputs'!$B$30+1),'1. Inputs'!$B$15))*'1. Inputs'!$B$31)</f>
        <v>1665051.96307692</v>
      </c>
      <c r="N37" s="22" t="n">
        <f aca="false">IF(MAX(0,$A37-'1. Inputs'!$C$27-'1. Inputs'!$B$30+1)&lt;=0,0,'1. Inputs'!$B$27*('1. Inputs'!$B$5-'5. Diagnosing a miss'!$B$21)*MAX(0,$A37-'1. Inputs'!$C$27-'1. Inputs'!$B$30+1)^'1. Inputs'!$B$7/('1. Inputs'!$B$6^'1. Inputs'!$B$7+MAX(0,$A37-'1. Inputs'!$C$27-'1. Inputs'!$B$30+1)^'1. Inputs'!$B$7)*('1. Inputs'!$B$9+'1. Inputs'!$B$10*MAX(0,$A37-'1. Inputs'!$C$27-'1. Inputs'!$B$30+1)/(MAX(0,$A37-'1. Inputs'!$C$27-'1. Inputs'!$B$30+1)+'1. Inputs'!$B$11))*'1. Inputs'!$B$13*(1+'1. Inputs'!$B$14*MIN(MAX(0,$A37-'1. Inputs'!$C$27-'1. Inputs'!$B$30+1),'1. Inputs'!$B$15))*'1. Inputs'!$B$31)</f>
        <v>1157632</v>
      </c>
      <c r="O37" s="22" t="n">
        <f aca="false">SUM(K37:N37)</f>
        <v>10335516.3327795</v>
      </c>
      <c r="P37" s="22" t="n">
        <f aca="false">IF($A37=MAX('1. Inputs'!$B$17,1),'1. Inputs'!$B$3,0)+IF($A37-'1. Inputs'!$B$17&gt;=1,INDEX(O$3:O$86,$A37-'1. Inputs'!$B$17),0)</f>
        <v>6077539.60958594</v>
      </c>
      <c r="Q37" s="22" t="n">
        <f aca="false">Q36*(1-'1. Inputs'!$B$18)+P37</f>
        <v>156745945.74818</v>
      </c>
      <c r="R37" s="22" t="n">
        <f aca="false">Q37*'1. Inputs'!$B$18</f>
        <v>1567459.4574818</v>
      </c>
      <c r="S37" s="22" t="n">
        <f aca="false">S36+O37-R37</f>
        <v>260368003.417744</v>
      </c>
      <c r="T37" s="22" t="n">
        <f aca="false">IF(MAX(0,$A37-'1. Inputs'!$C$24-'1. Inputs'!$B$30+1)&lt;=0,0,'1. Inputs'!$B$24*'1. Inputs'!$B$5*MAX(0,$A37-'1. Inputs'!$C$24-'1. Inputs'!$B$30+1)^'1. Inputs'!$B$7/('1. Inputs'!$B$6^'1. Inputs'!$B$7+MAX(0,$A37-'1. Inputs'!$C$24-'1. Inputs'!$B$30+1)^'1. Inputs'!$B$7)*('1. Inputs'!$B$9+'1. Inputs'!$B$10*MAX(0,$A37-'1. Inputs'!$C$24-'1. Inputs'!$B$30+1)/(MAX(0,$A37-'1. Inputs'!$C$24-'1. Inputs'!$B$30+1)+'1. Inputs'!$B$11))*'1. Inputs'!$B$13*(1+'1. Inputs'!$B$14*MIN(MAX(0,$A37-'1. Inputs'!$C$24-'1. Inputs'!$B$30+1),'1. Inputs'!$B$15))*('1. Inputs'!$B$31*'5. Diagnosing a miss'!$B$22))</f>
        <v>3366554.59678959</v>
      </c>
      <c r="U37" s="22" t="n">
        <f aca="false">IF(MAX(0,$A37-'1. Inputs'!$C$25-'1. Inputs'!$B$30+1)&lt;=0,0,'1. Inputs'!$B$25*'1. Inputs'!$B$5*MAX(0,$A37-'1. Inputs'!$C$25-'1. Inputs'!$B$30+1)^'1. Inputs'!$B$7/('1. Inputs'!$B$6^'1. Inputs'!$B$7+MAX(0,$A37-'1. Inputs'!$C$25-'1. Inputs'!$B$30+1)^'1. Inputs'!$B$7)*('1. Inputs'!$B$9+'1. Inputs'!$B$10*MAX(0,$A37-'1. Inputs'!$C$25-'1. Inputs'!$B$30+1)/(MAX(0,$A37-'1. Inputs'!$C$25-'1. Inputs'!$B$30+1)+'1. Inputs'!$B$11))*'1. Inputs'!$B$13*(1+'1. Inputs'!$B$14*MIN(MAX(0,$A37-'1. Inputs'!$C$25-'1. Inputs'!$B$30+1),'1. Inputs'!$B$15))*('1. Inputs'!$B$31*'5. Diagnosing a miss'!$B$22))</f>
        <v>4240188.17753425</v>
      </c>
      <c r="V37" s="22" t="n">
        <f aca="false">IF(MAX(0,$A37-'1. Inputs'!$C$26-'1. Inputs'!$B$30+1)&lt;=0,0,'1. Inputs'!$B$26*'1. Inputs'!$B$5*MAX(0,$A37-'1. Inputs'!$C$26-'1. Inputs'!$B$30+1)^'1. Inputs'!$B$7/('1. Inputs'!$B$6^'1. Inputs'!$B$7+MAX(0,$A37-'1. Inputs'!$C$26-'1. Inputs'!$B$30+1)^'1. Inputs'!$B$7)*('1. Inputs'!$B$9+'1. Inputs'!$B$10*MAX(0,$A37-'1. Inputs'!$C$26-'1. Inputs'!$B$30+1)/(MAX(0,$A37-'1. Inputs'!$C$26-'1. Inputs'!$B$30+1)+'1. Inputs'!$B$11))*'1. Inputs'!$B$13*(1+'1. Inputs'!$B$14*MIN(MAX(0,$A37-'1. Inputs'!$C$26-'1. Inputs'!$B$30+1),'1. Inputs'!$B$15))*('1. Inputs'!$B$31*'5. Diagnosing a miss'!$B$22))</f>
        <v>1685865.11261538</v>
      </c>
      <c r="W37" s="22" t="n">
        <f aca="false">IF(MAX(0,$A37-'1. Inputs'!$C$27-'1. Inputs'!$B$30+1)&lt;=0,0,'1. Inputs'!$B$27*'1. Inputs'!$B$5*MAX(0,$A37-'1. Inputs'!$C$27-'1. Inputs'!$B$30+1)^'1. Inputs'!$B$7/('1. Inputs'!$B$6^'1. Inputs'!$B$7+MAX(0,$A37-'1. Inputs'!$C$27-'1. Inputs'!$B$30+1)^'1. Inputs'!$B$7)*('1. Inputs'!$B$9+'1. Inputs'!$B$10*MAX(0,$A37-'1. Inputs'!$C$27-'1. Inputs'!$B$30+1)/(MAX(0,$A37-'1. Inputs'!$C$27-'1. Inputs'!$B$30+1)+'1. Inputs'!$B$11))*'1. Inputs'!$B$13*(1+'1. Inputs'!$B$14*MIN(MAX(0,$A37-'1. Inputs'!$C$27-'1. Inputs'!$B$30+1),'1. Inputs'!$B$15))*('1. Inputs'!$B$31*'5. Diagnosing a miss'!$B$22))</f>
        <v>1172102.4</v>
      </c>
      <c r="X37" s="22" t="n">
        <f aca="false">SUM(T37:W37)</f>
        <v>10464710.2869392</v>
      </c>
      <c r="Y37" s="22" t="n">
        <f aca="false">IF($A37=MAX('1. Inputs'!$B$17,1),'1. Inputs'!$B$3,0)+IF($A37-'1. Inputs'!$B$17&gt;=1,INDEX(X$3:X$86,$A37-'1. Inputs'!$B$17),0)</f>
        <v>6153508.85470576</v>
      </c>
      <c r="Z37" s="22" t="n">
        <f aca="false">Z36*(1-'1. Inputs'!$B$18)+Y37</f>
        <v>157217243.288201</v>
      </c>
      <c r="AA37" s="22" t="n">
        <f aca="false">Z37*'1. Inputs'!$B$18</f>
        <v>1572172.43288201</v>
      </c>
      <c r="AB37" s="22" t="n">
        <f aca="false">AB36+X37-AA37</f>
        <v>262149456.946453</v>
      </c>
      <c r="AC37" s="22" t="n">
        <f aca="false">IF(MAX(0,$A37-'1. Inputs'!$C$24-('1. Inputs'!$B$30+'5. Diagnosing a miss'!$B$23)+1)&lt;=0,0,'1. Inputs'!$B$24*'1. Inputs'!$B$5*MAX(0,$A37-'1. Inputs'!$C$24-('1. Inputs'!$B$30+'5. Diagnosing a miss'!$B$23)+1)^'1. Inputs'!$B$7/('1. Inputs'!$B$6^'1. Inputs'!$B$7+MAX(0,$A37-'1. Inputs'!$C$24-('1. Inputs'!$B$30+'5. Diagnosing a miss'!$B$23)+1)^'1. Inputs'!$B$7)*('1. Inputs'!$B$9+'1. Inputs'!$B$10*MAX(0,$A37-'1. Inputs'!$C$24-('1. Inputs'!$B$30+'5. Diagnosing a miss'!$B$23)+1)/(MAX(0,$A37-'1. Inputs'!$C$24-('1. Inputs'!$B$30+'5. Diagnosing a miss'!$B$23)+1)+'1. Inputs'!$B$11))*'1. Inputs'!$B$13*(1+'1. Inputs'!$B$14*MIN(MAX(0,$A37-'1. Inputs'!$C$24-('1. Inputs'!$B$30+'5. Diagnosing a miss'!$B$23)+1),'1. Inputs'!$B$15))*'1. Inputs'!$B$31)</f>
        <v>3626674.81109643</v>
      </c>
      <c r="AD37" s="22" t="n">
        <f aca="false">IF(MAX(0,$A37-'1. Inputs'!$C$25-('1. Inputs'!$B$30+'5. Diagnosing a miss'!$B$23)+1)&lt;=0,0,'1. Inputs'!$B$25*'1. Inputs'!$B$5*MAX(0,$A37-'1. Inputs'!$C$25-('1. Inputs'!$B$30+'5. Diagnosing a miss'!$B$23)+1)^'1. Inputs'!$B$7/('1. Inputs'!$B$6^'1. Inputs'!$B$7+MAX(0,$A37-'1. Inputs'!$C$25-('1. Inputs'!$B$30+'5. Diagnosing a miss'!$B$23)+1)^'1. Inputs'!$B$7)*('1. Inputs'!$B$9+'1. Inputs'!$B$10*MAX(0,$A37-'1. Inputs'!$C$25-('1. Inputs'!$B$30+'5. Diagnosing a miss'!$B$23)+1)/(MAX(0,$A37-'1. Inputs'!$C$25-('1. Inputs'!$B$30+'5. Diagnosing a miss'!$B$23)+1)+'1. Inputs'!$B$11))*'1. Inputs'!$B$13*(1+'1. Inputs'!$B$14*MIN(MAX(0,$A37-'1. Inputs'!$C$25-('1. Inputs'!$B$30+'5. Diagnosing a miss'!$B$23)+1),'1. Inputs'!$B$15))*'1. Inputs'!$B$31)</f>
        <v>4478208</v>
      </c>
      <c r="AE37" s="22" t="n">
        <f aca="false">IF(MAX(0,$A37-'1. Inputs'!$C$26-('1. Inputs'!$B$30+'5. Diagnosing a miss'!$B$23)+1)&lt;=0,0,'1. Inputs'!$B$26*'1. Inputs'!$B$5*MAX(0,$A37-'1. Inputs'!$C$26-('1. Inputs'!$B$30+'5. Diagnosing a miss'!$B$23)+1)^'1. Inputs'!$B$7/('1. Inputs'!$B$6^'1. Inputs'!$B$7+MAX(0,$A37-'1. Inputs'!$C$26-('1. Inputs'!$B$30+'5. Diagnosing a miss'!$B$23)+1)^'1. Inputs'!$B$7)*('1. Inputs'!$B$9+'1. Inputs'!$B$10*MAX(0,$A37-'1. Inputs'!$C$26-('1. Inputs'!$B$30+'5. Diagnosing a miss'!$B$23)+1)/(MAX(0,$A37-'1. Inputs'!$C$26-('1. Inputs'!$B$30+'5. Diagnosing a miss'!$B$23)+1)+'1. Inputs'!$B$11))*'1. Inputs'!$B$13*(1+'1. Inputs'!$B$14*MIN(MAX(0,$A37-'1. Inputs'!$C$26-('1. Inputs'!$B$30+'5. Diagnosing a miss'!$B$23)+1),'1. Inputs'!$B$15))*'1. Inputs'!$B$31)</f>
        <v>1656254.67062315</v>
      </c>
      <c r="AF37" s="22" t="n">
        <f aca="false">IF(MAX(0,$A37-'1. Inputs'!$C$27-('1. Inputs'!$B$30+'5. Diagnosing a miss'!$B$23)+1)&lt;=0,0,'1. Inputs'!$B$27*'1. Inputs'!$B$5*MAX(0,$A37-'1. Inputs'!$C$27-('1. Inputs'!$B$30+'5. Diagnosing a miss'!$B$23)+1)^'1. Inputs'!$B$7/('1. Inputs'!$B$6^'1. Inputs'!$B$7+MAX(0,$A37-'1. Inputs'!$C$27-('1. Inputs'!$B$30+'5. Diagnosing a miss'!$B$23)+1)^'1. Inputs'!$B$7)*('1. Inputs'!$B$9+'1. Inputs'!$B$10*MAX(0,$A37-'1. Inputs'!$C$27-('1. Inputs'!$B$30+'5. Diagnosing a miss'!$B$23)+1)/(MAX(0,$A37-'1. Inputs'!$C$27-('1. Inputs'!$B$30+'5. Diagnosing a miss'!$B$23)+1)+'1. Inputs'!$B$11))*'1. Inputs'!$B$13*(1+'1. Inputs'!$B$14*MIN(MAX(0,$A37-'1. Inputs'!$C$27-('1. Inputs'!$B$30+'5. Diagnosing a miss'!$B$23)+1),'1. Inputs'!$B$15))*'1. Inputs'!$B$31)</f>
        <v>1118382.35294118</v>
      </c>
      <c r="AG37" s="22" t="n">
        <f aca="false">SUM(AC37:AF37)</f>
        <v>10879519.8346608</v>
      </c>
      <c r="AH37" s="22" t="n">
        <f aca="false">IF($A37=MAX('1. Inputs'!$B$17,1),'1. Inputs'!$B$3,0)+IF($A37-'1. Inputs'!$B$17&gt;=1,INDEX(AG$3:AG$86,$A37-'1. Inputs'!$B$17),0)</f>
        <v>4891612.18644535</v>
      </c>
      <c r="AI37" s="22" t="n">
        <f aca="false">AI36*(1-'1. Inputs'!$B$18)+AH37</f>
        <v>143790704.120261</v>
      </c>
      <c r="AJ37" s="22" t="n">
        <f aca="false">AI37*'1. Inputs'!$B$18</f>
        <v>1437907.04120261</v>
      </c>
      <c r="AK37" s="22" t="n">
        <f aca="false">AK36+AG37-AJ37</f>
        <v>245069501.709875</v>
      </c>
    </row>
    <row r="38" customFormat="false" ht="15" hidden="false" customHeight="false" outlineLevel="0" collapsed="false">
      <c r="A38" s="7" t="n">
        <v>36</v>
      </c>
      <c r="B38" s="22" t="n">
        <f aca="false">IF(MAX(0,$A38-'1. Inputs'!$C$24-'1. Inputs'!$B$30+1)&lt;=0,0,'1. Inputs'!$B$24*'1. Inputs'!$B$5*MAX(0,$A38-'1. Inputs'!$C$24-'1. Inputs'!$B$30+1)^'1. Inputs'!$B$7/('1. Inputs'!$B$6^'1. Inputs'!$B$7+MAX(0,$A38-'1. Inputs'!$C$24-'1. Inputs'!$B$30+1)^'1. Inputs'!$B$7)*('1. Inputs'!$B$9+'1. Inputs'!$B$10*MAX(0,$A38-'1. Inputs'!$C$24-'1. Inputs'!$B$30+1)/(MAX(0,$A38-'1. Inputs'!$C$24-'1. Inputs'!$B$30+1)+'1. Inputs'!$B$11))*'1. Inputs'!$B$13*(1+'1. Inputs'!$B$14*MIN(MAX(0,$A38-'1. Inputs'!$C$24-'1. Inputs'!$B$30+1),'1. Inputs'!$B$15))*'1. Inputs'!$B$31)</f>
        <v>3773064.22018349</v>
      </c>
      <c r="C38" s="22" t="n">
        <f aca="false">IF(MAX(0,$A38-'1. Inputs'!$C$25-'1. Inputs'!$B$30+1)&lt;=0,0,'1. Inputs'!$B$25*'1. Inputs'!$B$5*MAX(0,$A38-'1. Inputs'!$C$25-'1. Inputs'!$B$30+1)^'1. Inputs'!$B$7/('1. Inputs'!$B$6^'1. Inputs'!$B$7+MAX(0,$A38-'1. Inputs'!$C$25-'1. Inputs'!$B$30+1)^'1. Inputs'!$B$7)*('1. Inputs'!$B$9+'1. Inputs'!$B$10*MAX(0,$A38-'1. Inputs'!$C$25-'1. Inputs'!$B$30+1)/(MAX(0,$A38-'1. Inputs'!$C$25-'1. Inputs'!$B$30+1)+'1. Inputs'!$B$11))*'1. Inputs'!$B$13*(1+'1. Inputs'!$B$14*MIN(MAX(0,$A38-'1. Inputs'!$C$25-'1. Inputs'!$B$30+1),'1. Inputs'!$B$15))*'1. Inputs'!$B$31)</f>
        <v>4776094.30686283</v>
      </c>
      <c r="D38" s="22" t="n">
        <f aca="false">IF(MAX(0,$A38-'1. Inputs'!$C$26-'1. Inputs'!$B$30+1)&lt;=0,0,'1. Inputs'!$B$26*'1. Inputs'!$B$5*MAX(0,$A38-'1. Inputs'!$C$26-'1. Inputs'!$B$30+1)^'1. Inputs'!$B$7/('1. Inputs'!$B$6^'1. Inputs'!$B$7+MAX(0,$A38-'1. Inputs'!$C$26-'1. Inputs'!$B$30+1)^'1. Inputs'!$B$7)*('1. Inputs'!$B$9+'1. Inputs'!$B$10*MAX(0,$A38-'1. Inputs'!$C$26-'1. Inputs'!$B$30+1)/(MAX(0,$A38-'1. Inputs'!$C$26-'1. Inputs'!$B$30+1)+'1. Inputs'!$B$11))*'1. Inputs'!$B$13*(1+'1. Inputs'!$B$14*MIN(MAX(0,$A38-'1. Inputs'!$C$26-'1. Inputs'!$B$30+1),'1. Inputs'!$B$15))*'1. Inputs'!$B$31)</f>
        <v>1918311.2106189</v>
      </c>
      <c r="E38" s="22" t="n">
        <f aca="false">IF(MAX(0,$A38-'1. Inputs'!$C$27-'1. Inputs'!$B$30+1)&lt;=0,0,'1. Inputs'!$B$27*'1. Inputs'!$B$5*MAX(0,$A38-'1. Inputs'!$C$27-'1. Inputs'!$B$30+1)^'1. Inputs'!$B$7/('1. Inputs'!$B$6^'1. Inputs'!$B$7+MAX(0,$A38-'1. Inputs'!$C$27-'1. Inputs'!$B$30+1)^'1. Inputs'!$B$7)*('1. Inputs'!$B$9+'1. Inputs'!$B$10*MAX(0,$A38-'1. Inputs'!$C$27-'1. Inputs'!$B$30+1)/(MAX(0,$A38-'1. Inputs'!$C$27-'1. Inputs'!$B$30+1)+'1. Inputs'!$B$11))*'1. Inputs'!$B$13*(1+'1. Inputs'!$B$14*MIN(MAX(0,$A38-'1. Inputs'!$C$27-'1. Inputs'!$B$30+1),'1. Inputs'!$B$15))*'1. Inputs'!$B$31)</f>
        <v>1337988.18461538</v>
      </c>
      <c r="F38" s="22" t="n">
        <f aca="false">SUM(B38:E38)</f>
        <v>11805457.9222806</v>
      </c>
      <c r="G38" s="22" t="n">
        <f aca="false">IF($A38=MAX('1. Inputs'!$B$17,1),'1. Inputs'!$B$3,0)+IF($A38-'1. Inputs'!$B$17&gt;=1,INDEX(F$3:F$86,$A38-'1. Inputs'!$B$17),0)</f>
        <v>7459489.15191031</v>
      </c>
      <c r="H38" s="22" t="n">
        <f aca="false">H37*(1-'1. Inputs'!$B$18)+G38</f>
        <v>167303821.088811</v>
      </c>
      <c r="I38" s="22" t="n">
        <f aca="false">H38*'1. Inputs'!$B$18</f>
        <v>1673038.21088811</v>
      </c>
      <c r="J38" s="22" t="n">
        <f aca="false">J37+F38-I38</f>
        <v>288314958.41622</v>
      </c>
      <c r="K38" s="22" t="n">
        <f aca="false">IF(MAX(0,$A38-'1. Inputs'!$C$24-'1. Inputs'!$B$30+1)&lt;=0,0,'1. Inputs'!$B$24*('1. Inputs'!$B$5-'5. Diagnosing a miss'!$B$21)*MAX(0,$A38-'1. Inputs'!$C$24-'1. Inputs'!$B$30+1)^'1. Inputs'!$B$7/('1. Inputs'!$B$6^'1. Inputs'!$B$7+MAX(0,$A38-'1. Inputs'!$C$24-'1. Inputs'!$B$30+1)^'1. Inputs'!$B$7)*('1. Inputs'!$B$9+'1. Inputs'!$B$10*MAX(0,$A38-'1. Inputs'!$C$24-'1. Inputs'!$B$30+1)/(MAX(0,$A38-'1. Inputs'!$C$24-'1. Inputs'!$B$30+1)+'1. Inputs'!$B$11))*'1. Inputs'!$B$13*(1+'1. Inputs'!$B$14*MIN(MAX(0,$A38-'1. Inputs'!$C$24-'1. Inputs'!$B$30+1),'1. Inputs'!$B$15))*'1. Inputs'!$B$31)</f>
        <v>3353834.86238532</v>
      </c>
      <c r="L38" s="22" t="n">
        <f aca="false">IF(MAX(0,$A38-'1. Inputs'!$C$25-'1. Inputs'!$B$30+1)&lt;=0,0,'1. Inputs'!$B$25*('1. Inputs'!$B$5-'5. Diagnosing a miss'!$B$21)*MAX(0,$A38-'1. Inputs'!$C$25-'1. Inputs'!$B$30+1)^'1. Inputs'!$B$7/('1. Inputs'!$B$6^'1. Inputs'!$B$7+MAX(0,$A38-'1. Inputs'!$C$25-'1. Inputs'!$B$30+1)^'1. Inputs'!$B$7)*('1. Inputs'!$B$9+'1. Inputs'!$B$10*MAX(0,$A38-'1. Inputs'!$C$25-'1. Inputs'!$B$30+1)/(MAX(0,$A38-'1. Inputs'!$C$25-'1. Inputs'!$B$30+1)+'1. Inputs'!$B$11))*'1. Inputs'!$B$13*(1+'1. Inputs'!$B$14*MIN(MAX(0,$A38-'1. Inputs'!$C$25-'1. Inputs'!$B$30+1),'1. Inputs'!$B$15))*'1. Inputs'!$B$31)</f>
        <v>4245417.16165585</v>
      </c>
      <c r="M38" s="22" t="n">
        <f aca="false">IF(MAX(0,$A38-'1. Inputs'!$C$26-'1. Inputs'!$B$30+1)&lt;=0,0,'1. Inputs'!$B$26*('1. Inputs'!$B$5-'5. Diagnosing a miss'!$B$21)*MAX(0,$A38-'1. Inputs'!$C$26-'1. Inputs'!$B$30+1)^'1. Inputs'!$B$7/('1. Inputs'!$B$6^'1. Inputs'!$B$7+MAX(0,$A38-'1. Inputs'!$C$26-'1. Inputs'!$B$30+1)^'1. Inputs'!$B$7)*('1. Inputs'!$B$9+'1. Inputs'!$B$10*MAX(0,$A38-'1. Inputs'!$C$26-'1. Inputs'!$B$30+1)/(MAX(0,$A38-'1. Inputs'!$C$26-'1. Inputs'!$B$30+1)+'1. Inputs'!$B$11))*'1. Inputs'!$B$13*(1+'1. Inputs'!$B$14*MIN(MAX(0,$A38-'1. Inputs'!$C$26-'1. Inputs'!$B$30+1),'1. Inputs'!$B$15))*'1. Inputs'!$B$31)</f>
        <v>1705165.52055014</v>
      </c>
      <c r="N38" s="22" t="n">
        <f aca="false">IF(MAX(0,$A38-'1. Inputs'!$C$27-'1. Inputs'!$B$30+1)&lt;=0,0,'1. Inputs'!$B$27*('1. Inputs'!$B$5-'5. Diagnosing a miss'!$B$21)*MAX(0,$A38-'1. Inputs'!$C$27-'1. Inputs'!$B$30+1)^'1. Inputs'!$B$7/('1. Inputs'!$B$6^'1. Inputs'!$B$7+MAX(0,$A38-'1. Inputs'!$C$27-'1. Inputs'!$B$30+1)^'1. Inputs'!$B$7)*('1. Inputs'!$B$9+'1. Inputs'!$B$10*MAX(0,$A38-'1. Inputs'!$C$27-'1. Inputs'!$B$30+1)/(MAX(0,$A38-'1. Inputs'!$C$27-'1. Inputs'!$B$30+1)+'1. Inputs'!$B$11))*'1. Inputs'!$B$13*(1+'1. Inputs'!$B$14*MIN(MAX(0,$A38-'1. Inputs'!$C$27-'1. Inputs'!$B$30+1),'1. Inputs'!$B$15))*'1. Inputs'!$B$31)</f>
        <v>1189322.83076923</v>
      </c>
      <c r="O38" s="22" t="n">
        <f aca="false">SUM(K38:N38)</f>
        <v>10493740.3753605</v>
      </c>
      <c r="P38" s="22" t="n">
        <f aca="false">IF($A38=MAX('1. Inputs'!$B$17,1),'1. Inputs'!$B$3,0)+IF($A38-'1. Inputs'!$B$17&gt;=1,INDEX(O$3:O$86,$A38-'1. Inputs'!$B$17),0)</f>
        <v>6630657.02392027</v>
      </c>
      <c r="Q38" s="22" t="n">
        <f aca="false">Q37*(1-'1. Inputs'!$B$18)+P38</f>
        <v>161809143.314619</v>
      </c>
      <c r="R38" s="22" t="n">
        <f aca="false">Q38*'1. Inputs'!$B$18</f>
        <v>1618091.43314619</v>
      </c>
      <c r="S38" s="22" t="n">
        <f aca="false">S37+O38-R38</f>
        <v>269243652.359959</v>
      </c>
      <c r="T38" s="22" t="n">
        <f aca="false">IF(MAX(0,$A38-'1. Inputs'!$C$24-'1. Inputs'!$B$30+1)&lt;=0,0,'1. Inputs'!$B$24*'1. Inputs'!$B$5*MAX(0,$A38-'1. Inputs'!$C$24-'1. Inputs'!$B$30+1)^'1. Inputs'!$B$7/('1. Inputs'!$B$6^'1. Inputs'!$B$7+MAX(0,$A38-'1. Inputs'!$C$24-'1. Inputs'!$B$30+1)^'1. Inputs'!$B$7)*('1. Inputs'!$B$9+'1. Inputs'!$B$10*MAX(0,$A38-'1. Inputs'!$C$24-'1. Inputs'!$B$30+1)/(MAX(0,$A38-'1. Inputs'!$C$24-'1. Inputs'!$B$30+1)+'1. Inputs'!$B$11))*'1. Inputs'!$B$13*(1+'1. Inputs'!$B$14*MIN(MAX(0,$A38-'1. Inputs'!$C$24-'1. Inputs'!$B$30+1),'1. Inputs'!$B$15))*('1. Inputs'!$B$31*'5. Diagnosing a miss'!$B$22))</f>
        <v>3395757.79816514</v>
      </c>
      <c r="U38" s="22" t="n">
        <f aca="false">IF(MAX(0,$A38-'1. Inputs'!$C$25-'1. Inputs'!$B$30+1)&lt;=0,0,'1. Inputs'!$B$25*'1. Inputs'!$B$5*MAX(0,$A38-'1. Inputs'!$C$25-'1. Inputs'!$B$30+1)^'1. Inputs'!$B$7/('1. Inputs'!$B$6^'1. Inputs'!$B$7+MAX(0,$A38-'1. Inputs'!$C$25-'1. Inputs'!$B$30+1)^'1. Inputs'!$B$7)*('1. Inputs'!$B$9+'1. Inputs'!$B$10*MAX(0,$A38-'1. Inputs'!$C$25-'1. Inputs'!$B$30+1)/(MAX(0,$A38-'1. Inputs'!$C$25-'1. Inputs'!$B$30+1)+'1. Inputs'!$B$11))*'1. Inputs'!$B$13*(1+'1. Inputs'!$B$14*MIN(MAX(0,$A38-'1. Inputs'!$C$25-'1. Inputs'!$B$30+1),'1. Inputs'!$B$15))*('1. Inputs'!$B$31*'5. Diagnosing a miss'!$B$22))</f>
        <v>4298484.87617655</v>
      </c>
      <c r="V38" s="22" t="n">
        <f aca="false">IF(MAX(0,$A38-'1. Inputs'!$C$26-'1. Inputs'!$B$30+1)&lt;=0,0,'1. Inputs'!$B$26*'1. Inputs'!$B$5*MAX(0,$A38-'1. Inputs'!$C$26-'1. Inputs'!$B$30+1)^'1. Inputs'!$B$7/('1. Inputs'!$B$6^'1. Inputs'!$B$7+MAX(0,$A38-'1. Inputs'!$C$26-'1. Inputs'!$B$30+1)^'1. Inputs'!$B$7)*('1. Inputs'!$B$9+'1. Inputs'!$B$10*MAX(0,$A38-'1. Inputs'!$C$26-'1. Inputs'!$B$30+1)/(MAX(0,$A38-'1. Inputs'!$C$26-'1. Inputs'!$B$30+1)+'1. Inputs'!$B$11))*'1. Inputs'!$B$13*(1+'1. Inputs'!$B$14*MIN(MAX(0,$A38-'1. Inputs'!$C$26-'1. Inputs'!$B$30+1),'1. Inputs'!$B$15))*('1. Inputs'!$B$31*'5. Diagnosing a miss'!$B$22))</f>
        <v>1726480.08955701</v>
      </c>
      <c r="W38" s="22" t="n">
        <f aca="false">IF(MAX(0,$A38-'1. Inputs'!$C$27-'1. Inputs'!$B$30+1)&lt;=0,0,'1. Inputs'!$B$27*'1. Inputs'!$B$5*MAX(0,$A38-'1. Inputs'!$C$27-'1. Inputs'!$B$30+1)^'1. Inputs'!$B$7/('1. Inputs'!$B$6^'1. Inputs'!$B$7+MAX(0,$A38-'1. Inputs'!$C$27-'1. Inputs'!$B$30+1)^'1. Inputs'!$B$7)*('1. Inputs'!$B$9+'1. Inputs'!$B$10*MAX(0,$A38-'1. Inputs'!$C$27-'1. Inputs'!$B$30+1)/(MAX(0,$A38-'1. Inputs'!$C$27-'1. Inputs'!$B$30+1)+'1. Inputs'!$B$11))*'1. Inputs'!$B$13*(1+'1. Inputs'!$B$14*MIN(MAX(0,$A38-'1. Inputs'!$C$27-'1. Inputs'!$B$30+1),'1. Inputs'!$B$15))*('1. Inputs'!$B$31*'5. Diagnosing a miss'!$B$22))</f>
        <v>1204189.36615385</v>
      </c>
      <c r="X38" s="22" t="n">
        <f aca="false">SUM(T38:W38)</f>
        <v>10624912.1300525</v>
      </c>
      <c r="Y38" s="22" t="n">
        <f aca="false">IF($A38=MAX('1. Inputs'!$B$17,1),'1. Inputs'!$B$3,0)+IF($A38-'1. Inputs'!$B$17&gt;=1,INDEX(X$3:X$86,$A38-'1. Inputs'!$B$17),0)</f>
        <v>6713540.23671928</v>
      </c>
      <c r="Z38" s="22" t="n">
        <f aca="false">Z37*(1-'1. Inputs'!$B$18)+Y38</f>
        <v>162358611.092038</v>
      </c>
      <c r="AA38" s="22" t="n">
        <f aca="false">Z38*'1. Inputs'!$B$18</f>
        <v>1623586.11092038</v>
      </c>
      <c r="AB38" s="22" t="n">
        <f aca="false">AB37+X38-AA38</f>
        <v>271150782.965585</v>
      </c>
      <c r="AC38" s="22" t="n">
        <f aca="false">IF(MAX(0,$A38-'1. Inputs'!$C$24-('1. Inputs'!$B$30+'5. Diagnosing a miss'!$B$23)+1)&lt;=0,0,'1. Inputs'!$B$24*'1. Inputs'!$B$5*MAX(0,$A38-'1. Inputs'!$C$24-('1. Inputs'!$B$30+'5. Diagnosing a miss'!$B$23)+1)^'1. Inputs'!$B$7/('1. Inputs'!$B$6^'1. Inputs'!$B$7+MAX(0,$A38-'1. Inputs'!$C$24-('1. Inputs'!$B$30+'5. Diagnosing a miss'!$B$23)+1)^'1. Inputs'!$B$7)*('1. Inputs'!$B$9+'1. Inputs'!$B$10*MAX(0,$A38-'1. Inputs'!$C$24-('1. Inputs'!$B$30+'5. Diagnosing a miss'!$B$23)+1)/(MAX(0,$A38-'1. Inputs'!$C$24-('1. Inputs'!$B$30+'5. Diagnosing a miss'!$B$23)+1)+'1. Inputs'!$B$11))*'1. Inputs'!$B$13*(1+'1. Inputs'!$B$14*MIN(MAX(0,$A38-'1. Inputs'!$C$24-('1. Inputs'!$B$30+'5. Diagnosing a miss'!$B$23)+1),'1. Inputs'!$B$15))*'1. Inputs'!$B$31)</f>
        <v>3667727.12727273</v>
      </c>
      <c r="AD38" s="22" t="n">
        <f aca="false">IF(MAX(0,$A38-'1. Inputs'!$C$25-('1. Inputs'!$B$30+'5. Diagnosing a miss'!$B$23)+1)&lt;=0,0,'1. Inputs'!$B$25*'1. Inputs'!$B$5*MAX(0,$A38-'1. Inputs'!$C$25-('1. Inputs'!$B$30+'5. Diagnosing a miss'!$B$23)+1)^'1. Inputs'!$B$7/('1. Inputs'!$B$6^'1. Inputs'!$B$7+MAX(0,$A38-'1. Inputs'!$C$25-('1. Inputs'!$B$30+'5. Diagnosing a miss'!$B$23)+1)^'1. Inputs'!$B$7)*('1. Inputs'!$B$9+'1. Inputs'!$B$10*MAX(0,$A38-'1. Inputs'!$C$25-('1. Inputs'!$B$30+'5. Diagnosing a miss'!$B$23)+1)/(MAX(0,$A38-'1. Inputs'!$C$25-('1. Inputs'!$B$30+'5. Diagnosing a miss'!$B$23)+1)+'1. Inputs'!$B$11))*'1. Inputs'!$B$13*(1+'1. Inputs'!$B$14*MIN(MAX(0,$A38-'1. Inputs'!$C$25-('1. Inputs'!$B$30+'5. Diagnosing a miss'!$B$23)+1),'1. Inputs'!$B$15))*'1. Inputs'!$B$31)</f>
        <v>4563175.98584071</v>
      </c>
      <c r="AE38" s="22" t="n">
        <f aca="false">IF(MAX(0,$A38-'1. Inputs'!$C$26-('1. Inputs'!$B$30+'5. Diagnosing a miss'!$B$23)+1)&lt;=0,0,'1. Inputs'!$B$26*'1. Inputs'!$B$5*MAX(0,$A38-'1. Inputs'!$C$26-('1. Inputs'!$B$30+'5. Diagnosing a miss'!$B$23)+1)^'1. Inputs'!$B$7/('1. Inputs'!$B$6^'1. Inputs'!$B$7+MAX(0,$A38-'1. Inputs'!$C$26-('1. Inputs'!$B$30+'5. Diagnosing a miss'!$B$23)+1)^'1. Inputs'!$B$7)*('1. Inputs'!$B$9+'1. Inputs'!$B$10*MAX(0,$A38-'1. Inputs'!$C$26-('1. Inputs'!$B$30+'5. Diagnosing a miss'!$B$23)+1)/(MAX(0,$A38-'1. Inputs'!$C$26-('1. Inputs'!$B$30+'5. Diagnosing a miss'!$B$23)+1)+'1. Inputs'!$B$11))*'1. Inputs'!$B$13*(1+'1. Inputs'!$B$14*MIN(MAX(0,$A38-'1. Inputs'!$C$26-('1. Inputs'!$B$30+'5. Diagnosing a miss'!$B$23)+1),'1. Inputs'!$B$15))*'1. Inputs'!$B$31)</f>
        <v>1741932.79529965</v>
      </c>
      <c r="AF38" s="22" t="n">
        <f aca="false">IF(MAX(0,$A38-'1. Inputs'!$C$27-('1. Inputs'!$B$30+'5. Diagnosing a miss'!$B$23)+1)&lt;=0,0,'1. Inputs'!$B$27*'1. Inputs'!$B$5*MAX(0,$A38-'1. Inputs'!$C$27-('1. Inputs'!$B$30+'5. Diagnosing a miss'!$B$23)+1)^'1. Inputs'!$B$7/('1. Inputs'!$B$6^'1. Inputs'!$B$7+MAX(0,$A38-'1. Inputs'!$C$27-('1. Inputs'!$B$30+'5. Diagnosing a miss'!$B$23)+1)^'1. Inputs'!$B$7)*('1. Inputs'!$B$9+'1. Inputs'!$B$10*MAX(0,$A38-'1. Inputs'!$C$27-('1. Inputs'!$B$30+'5. Diagnosing a miss'!$B$23)+1)/(MAX(0,$A38-'1. Inputs'!$C$27-('1. Inputs'!$B$30+'5. Diagnosing a miss'!$B$23)+1)+'1. Inputs'!$B$11))*'1. Inputs'!$B$13*(1+'1. Inputs'!$B$14*MIN(MAX(0,$A38-'1. Inputs'!$C$27-('1. Inputs'!$B$30+'5. Diagnosing a miss'!$B$23)+1),'1. Inputs'!$B$15))*'1. Inputs'!$B$31)</f>
        <v>1183039.0504451</v>
      </c>
      <c r="AG38" s="22" t="n">
        <f aca="false">SUM(AC38:AF38)</f>
        <v>11155874.9588582</v>
      </c>
      <c r="AH38" s="22" t="n">
        <f aca="false">IF($A38=MAX('1. Inputs'!$B$17,1),'1. Inputs'!$B$3,0)+IF($A38-'1. Inputs'!$B$17&gt;=1,INDEX(AG$3:AG$86,$A38-'1. Inputs'!$B$17),0)</f>
        <v>5542857.02058828</v>
      </c>
      <c r="AI38" s="22" t="n">
        <f aca="false">AI37*(1-'1. Inputs'!$B$18)+AH38</f>
        <v>147895654.099647</v>
      </c>
      <c r="AJ38" s="22" t="n">
        <f aca="false">AI38*'1. Inputs'!$B$18</f>
        <v>1478956.54099647</v>
      </c>
      <c r="AK38" s="22" t="n">
        <f aca="false">AK37+AG38-AJ38</f>
        <v>254746420.127737</v>
      </c>
    </row>
    <row r="39" customFormat="false" ht="15" hidden="false" customHeight="false" outlineLevel="0" collapsed="false">
      <c r="A39" s="7" t="n">
        <v>37</v>
      </c>
      <c r="B39" s="22" t="n">
        <f aca="false">IF(MAX(0,$A39-'1. Inputs'!$C$24-'1. Inputs'!$B$30+1)&lt;=0,0,'1. Inputs'!$B$24*'1. Inputs'!$B$5*MAX(0,$A39-'1. Inputs'!$C$24-'1. Inputs'!$B$30+1)^'1. Inputs'!$B$7/('1. Inputs'!$B$6^'1. Inputs'!$B$7+MAX(0,$A39-'1. Inputs'!$C$24-'1. Inputs'!$B$30+1)^'1. Inputs'!$B$7)*('1. Inputs'!$B$9+'1. Inputs'!$B$10*MAX(0,$A39-'1. Inputs'!$C$24-'1. Inputs'!$B$30+1)/(MAX(0,$A39-'1. Inputs'!$C$24-'1. Inputs'!$B$30+1)+'1. Inputs'!$B$11))*'1. Inputs'!$B$13*(1+'1. Inputs'!$B$14*MIN(MAX(0,$A39-'1. Inputs'!$C$24-'1. Inputs'!$B$30+1),'1. Inputs'!$B$15))*'1. Inputs'!$B$31)</f>
        <v>3803194.61492971</v>
      </c>
      <c r="C39" s="22" t="n">
        <f aca="false">IF(MAX(0,$A39-'1. Inputs'!$C$25-'1. Inputs'!$B$30+1)&lt;=0,0,'1. Inputs'!$B$25*'1. Inputs'!$B$5*MAX(0,$A39-'1. Inputs'!$C$25-'1. Inputs'!$B$30+1)^'1. Inputs'!$B$7/('1. Inputs'!$B$6^'1. Inputs'!$B$7+MAX(0,$A39-'1. Inputs'!$C$25-'1. Inputs'!$B$30+1)^'1. Inputs'!$B$7)*('1. Inputs'!$B$9+'1. Inputs'!$B$10*MAX(0,$A39-'1. Inputs'!$C$25-'1. Inputs'!$B$30+1)/(MAX(0,$A39-'1. Inputs'!$C$25-'1. Inputs'!$B$30+1)+'1. Inputs'!$B$11))*'1. Inputs'!$B$13*(1+'1. Inputs'!$B$14*MIN(MAX(0,$A39-'1. Inputs'!$C$25-'1. Inputs'!$B$30+1),'1. Inputs'!$B$15))*'1. Inputs'!$B$31)</f>
        <v>4835566.41479525</v>
      </c>
      <c r="D39" s="22" t="n">
        <f aca="false">IF(MAX(0,$A39-'1. Inputs'!$C$26-'1. Inputs'!$B$30+1)&lt;=0,0,'1. Inputs'!$B$26*'1. Inputs'!$B$5*MAX(0,$A39-'1. Inputs'!$C$26-'1. Inputs'!$B$30+1)^'1. Inputs'!$B$7/('1. Inputs'!$B$6^'1. Inputs'!$B$7+MAX(0,$A39-'1. Inputs'!$C$26-'1. Inputs'!$B$30+1)^'1. Inputs'!$B$7)*('1. Inputs'!$B$9+'1. Inputs'!$B$10*MAX(0,$A39-'1. Inputs'!$C$26-'1. Inputs'!$B$30+1)/(MAX(0,$A39-'1. Inputs'!$C$26-'1. Inputs'!$B$30+1)+'1. Inputs'!$B$11))*'1. Inputs'!$B$13*(1+'1. Inputs'!$B$14*MIN(MAX(0,$A39-'1. Inputs'!$C$26-'1. Inputs'!$B$30+1),'1. Inputs'!$B$15))*'1. Inputs'!$B$31)</f>
        <v>1959216</v>
      </c>
      <c r="E39" s="22" t="n">
        <f aca="false">IF(MAX(0,$A39-'1. Inputs'!$C$27-'1. Inputs'!$B$30+1)&lt;=0,0,'1. Inputs'!$B$27*'1. Inputs'!$B$5*MAX(0,$A39-'1. Inputs'!$C$27-'1. Inputs'!$B$30+1)^'1. Inputs'!$B$7/('1. Inputs'!$B$6^'1. Inputs'!$B$7+MAX(0,$A39-'1. Inputs'!$C$27-'1. Inputs'!$B$30+1)^'1. Inputs'!$B$7)*('1. Inputs'!$B$9+'1. Inputs'!$B$10*MAX(0,$A39-'1. Inputs'!$C$27-'1. Inputs'!$B$30+1)/(MAX(0,$A39-'1. Inputs'!$C$27-'1. Inputs'!$B$30+1)+'1. Inputs'!$B$11))*'1. Inputs'!$B$13*(1+'1. Inputs'!$B$14*MIN(MAX(0,$A39-'1. Inputs'!$C$27-'1. Inputs'!$B$30+1),'1. Inputs'!$B$15))*'1. Inputs'!$B$31)</f>
        <v>1370222.29329922</v>
      </c>
      <c r="F39" s="22" t="n">
        <f aca="false">SUM(B39:E39)</f>
        <v>11968199.3230242</v>
      </c>
      <c r="G39" s="22" t="n">
        <f aca="false">IF($A39=MAX('1. Inputs'!$B$17,1),'1. Inputs'!$B$3,0)+IF($A39-'1. Inputs'!$B$17&gt;=1,INDEX(F$3:F$86,$A39-'1. Inputs'!$B$17),0)</f>
        <v>8009623.78170508</v>
      </c>
      <c r="H39" s="22" t="n">
        <f aca="false">H38*(1-'1. Inputs'!$B$18)+G39</f>
        <v>173640406.659628</v>
      </c>
      <c r="I39" s="22" t="n">
        <f aca="false">H39*'1. Inputs'!$B$18</f>
        <v>1736404.06659628</v>
      </c>
      <c r="J39" s="22" t="n">
        <f aca="false">J38+F39-I39</f>
        <v>298546753.672648</v>
      </c>
      <c r="K39" s="22" t="n">
        <f aca="false">IF(MAX(0,$A39-'1. Inputs'!$C$24-'1. Inputs'!$B$30+1)&lt;=0,0,'1. Inputs'!$B$24*('1. Inputs'!$B$5-'5. Diagnosing a miss'!$B$21)*MAX(0,$A39-'1. Inputs'!$C$24-'1. Inputs'!$B$30+1)^'1. Inputs'!$B$7/('1. Inputs'!$B$6^'1. Inputs'!$B$7+MAX(0,$A39-'1. Inputs'!$C$24-'1. Inputs'!$B$30+1)^'1. Inputs'!$B$7)*('1. Inputs'!$B$9+'1. Inputs'!$B$10*MAX(0,$A39-'1. Inputs'!$C$24-'1. Inputs'!$B$30+1)/(MAX(0,$A39-'1. Inputs'!$C$24-'1. Inputs'!$B$30+1)+'1. Inputs'!$B$11))*'1. Inputs'!$B$13*(1+'1. Inputs'!$B$14*MIN(MAX(0,$A39-'1. Inputs'!$C$24-'1. Inputs'!$B$30+1),'1. Inputs'!$B$15))*'1. Inputs'!$B$31)</f>
        <v>3380617.43549308</v>
      </c>
      <c r="L39" s="22" t="n">
        <f aca="false">IF(MAX(0,$A39-'1. Inputs'!$C$25-'1. Inputs'!$B$30+1)&lt;=0,0,'1. Inputs'!$B$25*('1. Inputs'!$B$5-'5. Diagnosing a miss'!$B$21)*MAX(0,$A39-'1. Inputs'!$C$25-'1. Inputs'!$B$30+1)^'1. Inputs'!$B$7/('1. Inputs'!$B$6^'1. Inputs'!$B$7+MAX(0,$A39-'1. Inputs'!$C$25-'1. Inputs'!$B$30+1)^'1. Inputs'!$B$7)*('1. Inputs'!$B$9+'1. Inputs'!$B$10*MAX(0,$A39-'1. Inputs'!$C$25-'1. Inputs'!$B$30+1)/(MAX(0,$A39-'1. Inputs'!$C$25-'1. Inputs'!$B$30+1)+'1. Inputs'!$B$11))*'1. Inputs'!$B$13*(1+'1. Inputs'!$B$14*MIN(MAX(0,$A39-'1. Inputs'!$C$25-'1. Inputs'!$B$30+1),'1. Inputs'!$B$15))*'1. Inputs'!$B$31)</f>
        <v>4298281.25759577</v>
      </c>
      <c r="M39" s="22" t="n">
        <f aca="false">IF(MAX(0,$A39-'1. Inputs'!$C$26-'1. Inputs'!$B$30+1)&lt;=0,0,'1. Inputs'!$B$26*('1. Inputs'!$B$5-'5. Diagnosing a miss'!$B$21)*MAX(0,$A39-'1. Inputs'!$C$26-'1. Inputs'!$B$30+1)^'1. Inputs'!$B$7/('1. Inputs'!$B$6^'1. Inputs'!$B$7+MAX(0,$A39-'1. Inputs'!$C$26-'1. Inputs'!$B$30+1)^'1. Inputs'!$B$7)*('1. Inputs'!$B$9+'1. Inputs'!$B$10*MAX(0,$A39-'1. Inputs'!$C$26-'1. Inputs'!$B$30+1)/(MAX(0,$A39-'1. Inputs'!$C$26-'1. Inputs'!$B$30+1)+'1. Inputs'!$B$11))*'1. Inputs'!$B$13*(1+'1. Inputs'!$B$14*MIN(MAX(0,$A39-'1. Inputs'!$C$26-'1. Inputs'!$B$30+1),'1. Inputs'!$B$15))*'1. Inputs'!$B$31)</f>
        <v>1741525.33333333</v>
      </c>
      <c r="N39" s="22" t="n">
        <f aca="false">IF(MAX(0,$A39-'1. Inputs'!$C$27-'1. Inputs'!$B$30+1)&lt;=0,0,'1. Inputs'!$B$27*('1. Inputs'!$B$5-'5. Diagnosing a miss'!$B$21)*MAX(0,$A39-'1. Inputs'!$C$27-'1. Inputs'!$B$30+1)^'1. Inputs'!$B$7/('1. Inputs'!$B$6^'1. Inputs'!$B$7+MAX(0,$A39-'1. Inputs'!$C$27-'1. Inputs'!$B$30+1)^'1. Inputs'!$B$7)*('1. Inputs'!$B$9+'1. Inputs'!$B$10*MAX(0,$A39-'1. Inputs'!$C$27-'1. Inputs'!$B$30+1)/(MAX(0,$A39-'1. Inputs'!$C$27-'1. Inputs'!$B$30+1)+'1. Inputs'!$B$11))*'1. Inputs'!$B$13*(1+'1. Inputs'!$B$14*MIN(MAX(0,$A39-'1. Inputs'!$C$27-'1. Inputs'!$B$30+1),'1. Inputs'!$B$15))*'1. Inputs'!$B$31)</f>
        <v>1217975.37182153</v>
      </c>
      <c r="O39" s="22" t="n">
        <f aca="false">SUM(K39:N39)</f>
        <v>10638399.3982437</v>
      </c>
      <c r="P39" s="22" t="n">
        <f aca="false">IF($A39=MAX('1. Inputs'!$B$17,1),'1. Inputs'!$B$3,0)+IF($A39-'1. Inputs'!$B$17&gt;=1,INDEX(O$3:O$86,$A39-'1. Inputs'!$B$17),0)</f>
        <v>7119665.58373785</v>
      </c>
      <c r="Q39" s="22" t="n">
        <f aca="false">Q38*(1-'1. Inputs'!$B$18)+P39</f>
        <v>167310717.46521</v>
      </c>
      <c r="R39" s="22" t="n">
        <f aca="false">Q39*'1. Inputs'!$B$18</f>
        <v>1673107.1746521</v>
      </c>
      <c r="S39" s="22" t="n">
        <f aca="false">S38+O39-R39</f>
        <v>278208944.58355</v>
      </c>
      <c r="T39" s="22" t="n">
        <f aca="false">IF(MAX(0,$A39-'1. Inputs'!$C$24-'1. Inputs'!$B$30+1)&lt;=0,0,'1. Inputs'!$B$24*'1. Inputs'!$B$5*MAX(0,$A39-'1. Inputs'!$C$24-'1. Inputs'!$B$30+1)^'1. Inputs'!$B$7/('1. Inputs'!$B$6^'1. Inputs'!$B$7+MAX(0,$A39-'1. Inputs'!$C$24-'1. Inputs'!$B$30+1)^'1. Inputs'!$B$7)*('1. Inputs'!$B$9+'1. Inputs'!$B$10*MAX(0,$A39-'1. Inputs'!$C$24-'1. Inputs'!$B$30+1)/(MAX(0,$A39-'1. Inputs'!$C$24-'1. Inputs'!$B$30+1)+'1. Inputs'!$B$11))*'1. Inputs'!$B$13*(1+'1. Inputs'!$B$14*MIN(MAX(0,$A39-'1. Inputs'!$C$24-'1. Inputs'!$B$30+1),'1. Inputs'!$B$15))*('1. Inputs'!$B$31*'5. Diagnosing a miss'!$B$22))</f>
        <v>3422875.15343674</v>
      </c>
      <c r="U39" s="22" t="n">
        <f aca="false">IF(MAX(0,$A39-'1. Inputs'!$C$25-'1. Inputs'!$B$30+1)&lt;=0,0,'1. Inputs'!$B$25*'1. Inputs'!$B$5*MAX(0,$A39-'1. Inputs'!$C$25-'1. Inputs'!$B$30+1)^'1. Inputs'!$B$7/('1. Inputs'!$B$6^'1. Inputs'!$B$7+MAX(0,$A39-'1. Inputs'!$C$25-'1. Inputs'!$B$30+1)^'1. Inputs'!$B$7)*('1. Inputs'!$B$9+'1. Inputs'!$B$10*MAX(0,$A39-'1. Inputs'!$C$25-'1. Inputs'!$B$30+1)/(MAX(0,$A39-'1. Inputs'!$C$25-'1. Inputs'!$B$30+1)+'1. Inputs'!$B$11))*'1. Inputs'!$B$13*(1+'1. Inputs'!$B$14*MIN(MAX(0,$A39-'1. Inputs'!$C$25-'1. Inputs'!$B$30+1),'1. Inputs'!$B$15))*('1. Inputs'!$B$31*'5. Diagnosing a miss'!$B$22))</f>
        <v>4352009.77331572</v>
      </c>
      <c r="V39" s="22" t="n">
        <f aca="false">IF(MAX(0,$A39-'1. Inputs'!$C$26-'1. Inputs'!$B$30+1)&lt;=0,0,'1. Inputs'!$B$26*'1. Inputs'!$B$5*MAX(0,$A39-'1. Inputs'!$C$26-'1. Inputs'!$B$30+1)^'1. Inputs'!$B$7/('1. Inputs'!$B$6^'1. Inputs'!$B$7+MAX(0,$A39-'1. Inputs'!$C$26-'1. Inputs'!$B$30+1)^'1. Inputs'!$B$7)*('1. Inputs'!$B$9+'1. Inputs'!$B$10*MAX(0,$A39-'1. Inputs'!$C$26-'1. Inputs'!$B$30+1)/(MAX(0,$A39-'1. Inputs'!$C$26-'1. Inputs'!$B$30+1)+'1. Inputs'!$B$11))*'1. Inputs'!$B$13*(1+'1. Inputs'!$B$14*MIN(MAX(0,$A39-'1. Inputs'!$C$26-'1. Inputs'!$B$30+1),'1. Inputs'!$B$15))*('1. Inputs'!$B$31*'5. Diagnosing a miss'!$B$22))</f>
        <v>1763294.4</v>
      </c>
      <c r="W39" s="22" t="n">
        <f aca="false">IF(MAX(0,$A39-'1. Inputs'!$C$27-'1. Inputs'!$B$30+1)&lt;=0,0,'1. Inputs'!$B$27*'1. Inputs'!$B$5*MAX(0,$A39-'1. Inputs'!$C$27-'1. Inputs'!$B$30+1)^'1. Inputs'!$B$7/('1. Inputs'!$B$6^'1. Inputs'!$B$7+MAX(0,$A39-'1. Inputs'!$C$27-'1. Inputs'!$B$30+1)^'1. Inputs'!$B$7)*('1. Inputs'!$B$9+'1. Inputs'!$B$10*MAX(0,$A39-'1. Inputs'!$C$27-'1. Inputs'!$B$30+1)/(MAX(0,$A39-'1. Inputs'!$C$27-'1. Inputs'!$B$30+1)+'1. Inputs'!$B$11))*'1. Inputs'!$B$13*(1+'1. Inputs'!$B$14*MIN(MAX(0,$A39-'1. Inputs'!$C$27-'1. Inputs'!$B$30+1),'1. Inputs'!$B$15))*('1. Inputs'!$B$31*'5. Diagnosing a miss'!$B$22))</f>
        <v>1233200.06396929</v>
      </c>
      <c r="X39" s="22" t="n">
        <f aca="false">SUM(T39:W39)</f>
        <v>10771379.3907218</v>
      </c>
      <c r="Y39" s="22" t="n">
        <f aca="false">IF($A39=MAX('1. Inputs'!$B$17,1),'1. Inputs'!$B$3,0)+IF($A39-'1. Inputs'!$B$17&gt;=1,INDEX(X$3:X$86,$A39-'1. Inputs'!$B$17),0)</f>
        <v>7208661.40353457</v>
      </c>
      <c r="Z39" s="22" t="n">
        <f aca="false">Z38*(1-'1. Inputs'!$B$18)+Y39</f>
        <v>167943686.384652</v>
      </c>
      <c r="AA39" s="22" t="n">
        <f aca="false">Z39*'1. Inputs'!$B$18</f>
        <v>1679436.86384652</v>
      </c>
      <c r="AB39" s="22" t="n">
        <f aca="false">AB38+X39-AA39</f>
        <v>280242725.49246</v>
      </c>
      <c r="AC39" s="22" t="n">
        <f aca="false">IF(MAX(0,$A39-'1. Inputs'!$C$24-('1. Inputs'!$B$30+'5. Diagnosing a miss'!$B$23)+1)&lt;=0,0,'1. Inputs'!$B$24*'1. Inputs'!$B$5*MAX(0,$A39-'1. Inputs'!$C$24-('1. Inputs'!$B$30+'5. Diagnosing a miss'!$B$23)+1)^'1. Inputs'!$B$7/('1. Inputs'!$B$6^'1. Inputs'!$B$7+MAX(0,$A39-'1. Inputs'!$C$24-('1. Inputs'!$B$30+'5. Diagnosing a miss'!$B$23)+1)^'1. Inputs'!$B$7)*('1. Inputs'!$B$9+'1. Inputs'!$B$10*MAX(0,$A39-'1. Inputs'!$C$24-('1. Inputs'!$B$30+'5. Diagnosing a miss'!$B$23)+1)/(MAX(0,$A39-'1. Inputs'!$C$24-('1. Inputs'!$B$30+'5. Diagnosing a miss'!$B$23)+1)+'1. Inputs'!$B$11))*'1. Inputs'!$B$13*(1+'1. Inputs'!$B$14*MIN(MAX(0,$A39-'1. Inputs'!$C$24-('1. Inputs'!$B$30+'5. Diagnosing a miss'!$B$23)+1),'1. Inputs'!$B$15))*'1. Inputs'!$B$31)</f>
        <v>3705599.11213873</v>
      </c>
      <c r="AD39" s="22" t="n">
        <f aca="false">IF(MAX(0,$A39-'1. Inputs'!$C$25-('1. Inputs'!$B$30+'5. Diagnosing a miss'!$B$23)+1)&lt;=0,0,'1. Inputs'!$B$25*'1. Inputs'!$B$5*MAX(0,$A39-'1. Inputs'!$C$25-('1. Inputs'!$B$30+'5. Diagnosing a miss'!$B$23)+1)^'1. Inputs'!$B$7/('1. Inputs'!$B$6^'1. Inputs'!$B$7+MAX(0,$A39-'1. Inputs'!$C$25-('1. Inputs'!$B$30+'5. Diagnosing a miss'!$B$23)+1)^'1. Inputs'!$B$7)*('1. Inputs'!$B$9+'1. Inputs'!$B$10*MAX(0,$A39-'1. Inputs'!$C$25-('1. Inputs'!$B$30+'5. Diagnosing a miss'!$B$23)+1)/(MAX(0,$A39-'1. Inputs'!$C$25-('1. Inputs'!$B$30+'5. Diagnosing a miss'!$B$23)+1)+'1. Inputs'!$B$11))*'1. Inputs'!$B$13*(1+'1. Inputs'!$B$14*MIN(MAX(0,$A39-'1. Inputs'!$C$25-('1. Inputs'!$B$30+'5. Diagnosing a miss'!$B$23)+1),'1. Inputs'!$B$15))*'1. Inputs'!$B$31)</f>
        <v>4640595.41345393</v>
      </c>
      <c r="AE39" s="22" t="n">
        <f aca="false">IF(MAX(0,$A39-'1. Inputs'!$C$26-('1. Inputs'!$B$30+'5. Diagnosing a miss'!$B$23)+1)&lt;=0,0,'1. Inputs'!$B$26*'1. Inputs'!$B$5*MAX(0,$A39-'1. Inputs'!$C$26-('1. Inputs'!$B$30+'5. Diagnosing a miss'!$B$23)+1)^'1. Inputs'!$B$7/('1. Inputs'!$B$6^'1. Inputs'!$B$7+MAX(0,$A39-'1. Inputs'!$C$26-('1. Inputs'!$B$30+'5. Diagnosing a miss'!$B$23)+1)^'1. Inputs'!$B$7)*('1. Inputs'!$B$9+'1. Inputs'!$B$10*MAX(0,$A39-'1. Inputs'!$C$26-('1. Inputs'!$B$30+'5. Diagnosing a miss'!$B$23)+1)/(MAX(0,$A39-'1. Inputs'!$C$26-('1. Inputs'!$B$30+'5. Diagnosing a miss'!$B$23)+1)+'1. Inputs'!$B$11))*'1. Inputs'!$B$13*(1+'1. Inputs'!$B$14*MIN(MAX(0,$A39-'1. Inputs'!$C$26-('1. Inputs'!$B$30+'5. Diagnosing a miss'!$B$23)+1),'1. Inputs'!$B$15))*'1. Inputs'!$B$31)</f>
        <v>1823270.4</v>
      </c>
      <c r="AF39" s="22" t="n">
        <f aca="false">IF(MAX(0,$A39-'1. Inputs'!$C$27-('1. Inputs'!$B$30+'5. Diagnosing a miss'!$B$23)+1)&lt;=0,0,'1. Inputs'!$B$27*'1. Inputs'!$B$5*MAX(0,$A39-'1. Inputs'!$C$27-('1. Inputs'!$B$30+'5. Diagnosing a miss'!$B$23)+1)^'1. Inputs'!$B$7/('1. Inputs'!$B$6^'1. Inputs'!$B$7+MAX(0,$A39-'1. Inputs'!$C$27-('1. Inputs'!$B$30+'5. Diagnosing a miss'!$B$23)+1)^'1. Inputs'!$B$7)*('1. Inputs'!$B$9+'1. Inputs'!$B$10*MAX(0,$A39-'1. Inputs'!$C$27-('1. Inputs'!$B$30+'5. Diagnosing a miss'!$B$23)+1)/(MAX(0,$A39-'1. Inputs'!$C$27-('1. Inputs'!$B$30+'5. Diagnosing a miss'!$B$23)+1)+'1. Inputs'!$B$11))*'1. Inputs'!$B$13*(1+'1. Inputs'!$B$14*MIN(MAX(0,$A39-'1. Inputs'!$C$27-('1. Inputs'!$B$30+'5. Diagnosing a miss'!$B$23)+1),'1. Inputs'!$B$15))*'1. Inputs'!$B$31)</f>
        <v>1244237.71092832</v>
      </c>
      <c r="AG39" s="22" t="n">
        <f aca="false">SUM(AC39:AF39)</f>
        <v>11413702.636521</v>
      </c>
      <c r="AH39" s="22" t="n">
        <f aca="false">IF($A39=MAX('1. Inputs'!$B$17,1),'1. Inputs'!$B$3,0)+IF($A39-'1. Inputs'!$B$17&gt;=1,INDEX(AG$3:AG$86,$A39-'1. Inputs'!$B$17),0)</f>
        <v>6195442.25127375</v>
      </c>
      <c r="AI39" s="22" t="n">
        <f aca="false">AI38*(1-'1. Inputs'!$B$18)+AH39</f>
        <v>152612139.809924</v>
      </c>
      <c r="AJ39" s="22" t="n">
        <f aca="false">AI39*'1. Inputs'!$B$18</f>
        <v>1526121.39809924</v>
      </c>
      <c r="AK39" s="22" t="n">
        <f aca="false">AK38+AG39-AJ39</f>
        <v>264634001.366159</v>
      </c>
    </row>
    <row r="40" customFormat="false" ht="15" hidden="false" customHeight="false" outlineLevel="0" collapsed="false">
      <c r="A40" s="7" t="n">
        <v>38</v>
      </c>
      <c r="B40" s="22" t="n">
        <f aca="false">IF(MAX(0,$A40-'1. Inputs'!$C$24-'1. Inputs'!$B$30+1)&lt;=0,0,'1. Inputs'!$B$24*'1. Inputs'!$B$5*MAX(0,$A40-'1. Inputs'!$C$24-'1. Inputs'!$B$30+1)^'1. Inputs'!$B$7/('1. Inputs'!$B$6^'1. Inputs'!$B$7+MAX(0,$A40-'1. Inputs'!$C$24-'1. Inputs'!$B$30+1)^'1. Inputs'!$B$7)*('1. Inputs'!$B$9+'1. Inputs'!$B$10*MAX(0,$A40-'1. Inputs'!$C$24-'1. Inputs'!$B$30+1)/(MAX(0,$A40-'1. Inputs'!$C$24-'1. Inputs'!$B$30+1)+'1. Inputs'!$B$11))*'1. Inputs'!$B$13*(1+'1. Inputs'!$B$14*MIN(MAX(0,$A40-'1. Inputs'!$C$24-'1. Inputs'!$B$30+1),'1. Inputs'!$B$15))*'1. Inputs'!$B$31)</f>
        <v>3831229.2534413</v>
      </c>
      <c r="C40" s="22" t="n">
        <f aca="false">IF(MAX(0,$A40-'1. Inputs'!$C$25-'1. Inputs'!$B$30+1)&lt;=0,0,'1. Inputs'!$B$25*'1. Inputs'!$B$5*MAX(0,$A40-'1. Inputs'!$C$25-'1. Inputs'!$B$30+1)^'1. Inputs'!$B$7/('1. Inputs'!$B$6^'1. Inputs'!$B$7+MAX(0,$A40-'1. Inputs'!$C$25-'1. Inputs'!$B$30+1)^'1. Inputs'!$B$7)*('1. Inputs'!$B$9+'1. Inputs'!$B$10*MAX(0,$A40-'1. Inputs'!$C$25-'1. Inputs'!$B$30+1)/(MAX(0,$A40-'1. Inputs'!$C$25-'1. Inputs'!$B$30+1)+'1. Inputs'!$B$11))*'1. Inputs'!$B$13*(1+'1. Inputs'!$B$14*MIN(MAX(0,$A40-'1. Inputs'!$C$25-'1. Inputs'!$B$30+1),'1. Inputs'!$B$15))*'1. Inputs'!$B$31)</f>
        <v>4890302.83636364</v>
      </c>
      <c r="D40" s="22" t="n">
        <f aca="false">IF(MAX(0,$A40-'1. Inputs'!$C$26-'1. Inputs'!$B$30+1)&lt;=0,0,'1. Inputs'!$B$26*'1. Inputs'!$B$5*MAX(0,$A40-'1. Inputs'!$C$26-'1. Inputs'!$B$30+1)^'1. Inputs'!$B$7/('1. Inputs'!$B$6^'1. Inputs'!$B$7+MAX(0,$A40-'1. Inputs'!$C$26-'1. Inputs'!$B$30+1)^'1. Inputs'!$B$7)*('1. Inputs'!$B$9+'1. Inputs'!$B$10*MAX(0,$A40-'1. Inputs'!$C$26-'1. Inputs'!$B$30+1)/(MAX(0,$A40-'1. Inputs'!$C$26-'1. Inputs'!$B$30+1)+'1. Inputs'!$B$11))*'1. Inputs'!$B$13*(1+'1. Inputs'!$B$14*MIN(MAX(0,$A40-'1. Inputs'!$C$26-'1. Inputs'!$B$30+1),'1. Inputs'!$B$15))*'1. Inputs'!$B$31)</f>
        <v>1996389.49380531</v>
      </c>
      <c r="E40" s="22" t="n">
        <f aca="false">IF(MAX(0,$A40-'1. Inputs'!$C$27-'1. Inputs'!$B$30+1)&lt;=0,0,'1. Inputs'!$B$27*'1. Inputs'!$B$5*MAX(0,$A40-'1. Inputs'!$C$27-'1. Inputs'!$B$30+1)^'1. Inputs'!$B$7/('1. Inputs'!$B$6^'1. Inputs'!$B$7+MAX(0,$A40-'1. Inputs'!$C$27-'1. Inputs'!$B$30+1)^'1. Inputs'!$B$7)*('1. Inputs'!$B$9+'1. Inputs'!$B$10*MAX(0,$A40-'1. Inputs'!$C$27-'1. Inputs'!$B$30+1)/(MAX(0,$A40-'1. Inputs'!$C$27-'1. Inputs'!$B$30+1)+'1. Inputs'!$B$11))*'1. Inputs'!$B$13*(1+'1. Inputs'!$B$14*MIN(MAX(0,$A40-'1. Inputs'!$C$27-'1. Inputs'!$B$30+1),'1. Inputs'!$B$15))*'1. Inputs'!$B$31)</f>
        <v>1399440</v>
      </c>
      <c r="F40" s="22" t="n">
        <f aca="false">SUM(B40:E40)</f>
        <v>12117361.5836102</v>
      </c>
      <c r="G40" s="22" t="n">
        <f aca="false">IF($A40=MAX('1. Inputs'!$B$17,1),'1. Inputs'!$B$3,0)+IF($A40-'1. Inputs'!$B$17&gt;=1,INDEX(F$3:F$86,$A40-'1. Inputs'!$B$17),0)</f>
        <v>8529995.95045696</v>
      </c>
      <c r="H40" s="22" t="n">
        <f aca="false">H39*(1-'1. Inputs'!$B$18)+G40</f>
        <v>180433998.543488</v>
      </c>
      <c r="I40" s="22" t="n">
        <f aca="false">H40*'1. Inputs'!$B$18</f>
        <v>1804339.98543488</v>
      </c>
      <c r="J40" s="22" t="n">
        <f aca="false">J39+F40-I40</f>
        <v>308859775.270823</v>
      </c>
      <c r="K40" s="22" t="n">
        <f aca="false">IF(MAX(0,$A40-'1. Inputs'!$C$24-'1. Inputs'!$B$30+1)&lt;=0,0,'1. Inputs'!$B$24*('1. Inputs'!$B$5-'5. Diagnosing a miss'!$B$21)*MAX(0,$A40-'1. Inputs'!$C$24-'1. Inputs'!$B$30+1)^'1. Inputs'!$B$7/('1. Inputs'!$B$6^'1. Inputs'!$B$7+MAX(0,$A40-'1. Inputs'!$C$24-'1. Inputs'!$B$30+1)^'1. Inputs'!$B$7)*('1. Inputs'!$B$9+'1. Inputs'!$B$10*MAX(0,$A40-'1. Inputs'!$C$24-'1. Inputs'!$B$30+1)/(MAX(0,$A40-'1. Inputs'!$C$24-'1. Inputs'!$B$30+1)+'1. Inputs'!$B$11))*'1. Inputs'!$B$13*(1+'1. Inputs'!$B$14*MIN(MAX(0,$A40-'1. Inputs'!$C$24-'1. Inputs'!$B$30+1),'1. Inputs'!$B$15))*'1. Inputs'!$B$31)</f>
        <v>3405537.11417004</v>
      </c>
      <c r="L40" s="22" t="n">
        <f aca="false">IF(MAX(0,$A40-'1. Inputs'!$C$25-'1. Inputs'!$B$30+1)&lt;=0,0,'1. Inputs'!$B$25*('1. Inputs'!$B$5-'5. Diagnosing a miss'!$B$21)*MAX(0,$A40-'1. Inputs'!$C$25-'1. Inputs'!$B$30+1)^'1. Inputs'!$B$7/('1. Inputs'!$B$6^'1. Inputs'!$B$7+MAX(0,$A40-'1. Inputs'!$C$25-'1. Inputs'!$B$30+1)^'1. Inputs'!$B$7)*('1. Inputs'!$B$9+'1. Inputs'!$B$10*MAX(0,$A40-'1. Inputs'!$C$25-'1. Inputs'!$B$30+1)/(MAX(0,$A40-'1. Inputs'!$C$25-'1. Inputs'!$B$30+1)+'1. Inputs'!$B$11))*'1. Inputs'!$B$13*(1+'1. Inputs'!$B$14*MIN(MAX(0,$A40-'1. Inputs'!$C$25-'1. Inputs'!$B$30+1),'1. Inputs'!$B$15))*'1. Inputs'!$B$31)</f>
        <v>4346935.85454545</v>
      </c>
      <c r="M40" s="22" t="n">
        <f aca="false">IF(MAX(0,$A40-'1. Inputs'!$C$26-'1. Inputs'!$B$30+1)&lt;=0,0,'1. Inputs'!$B$26*('1. Inputs'!$B$5-'5. Diagnosing a miss'!$B$21)*MAX(0,$A40-'1. Inputs'!$C$26-'1. Inputs'!$B$30+1)^'1. Inputs'!$B$7/('1. Inputs'!$B$6^'1. Inputs'!$B$7+MAX(0,$A40-'1. Inputs'!$C$26-'1. Inputs'!$B$30+1)^'1. Inputs'!$B$7)*('1. Inputs'!$B$9+'1. Inputs'!$B$10*MAX(0,$A40-'1. Inputs'!$C$26-'1. Inputs'!$B$30+1)/(MAX(0,$A40-'1. Inputs'!$C$26-'1. Inputs'!$B$30+1)+'1. Inputs'!$B$11))*'1. Inputs'!$B$13*(1+'1. Inputs'!$B$14*MIN(MAX(0,$A40-'1. Inputs'!$C$26-'1. Inputs'!$B$30+1),'1. Inputs'!$B$15))*'1. Inputs'!$B$31)</f>
        <v>1774568.43893805</v>
      </c>
      <c r="N40" s="22" t="n">
        <f aca="false">IF(MAX(0,$A40-'1. Inputs'!$C$27-'1. Inputs'!$B$30+1)&lt;=0,0,'1. Inputs'!$B$27*('1. Inputs'!$B$5-'5. Diagnosing a miss'!$B$21)*MAX(0,$A40-'1. Inputs'!$C$27-'1. Inputs'!$B$30+1)^'1. Inputs'!$B$7/('1. Inputs'!$B$6^'1. Inputs'!$B$7+MAX(0,$A40-'1. Inputs'!$C$27-'1. Inputs'!$B$30+1)^'1. Inputs'!$B$7)*('1. Inputs'!$B$9+'1. Inputs'!$B$10*MAX(0,$A40-'1. Inputs'!$C$27-'1. Inputs'!$B$30+1)/(MAX(0,$A40-'1. Inputs'!$C$27-'1. Inputs'!$B$30+1)+'1. Inputs'!$B$11))*'1. Inputs'!$B$13*(1+'1. Inputs'!$B$14*MIN(MAX(0,$A40-'1. Inputs'!$C$27-'1. Inputs'!$B$30+1),'1. Inputs'!$B$15))*'1. Inputs'!$B$31)</f>
        <v>1243946.66666667</v>
      </c>
      <c r="O40" s="22" t="n">
        <f aca="false">SUM(K40:N40)</f>
        <v>10770988.0743202</v>
      </c>
      <c r="P40" s="22" t="n">
        <f aca="false">IF($A40=MAX('1. Inputs'!$B$17,1),'1. Inputs'!$B$3,0)+IF($A40-'1. Inputs'!$B$17&gt;=1,INDEX(O$3:O$86,$A40-'1. Inputs'!$B$17),0)</f>
        <v>7582218.62262841</v>
      </c>
      <c r="Q40" s="22" t="n">
        <f aca="false">Q39*(1-'1. Inputs'!$B$18)+P40</f>
        <v>173219828.913187</v>
      </c>
      <c r="R40" s="22" t="n">
        <f aca="false">Q40*'1. Inputs'!$B$18</f>
        <v>1732198.28913187</v>
      </c>
      <c r="S40" s="22" t="n">
        <f aca="false">S39+O40-R40</f>
        <v>287247734.368739</v>
      </c>
      <c r="T40" s="22" t="n">
        <f aca="false">IF(MAX(0,$A40-'1. Inputs'!$C$24-'1. Inputs'!$B$30+1)&lt;=0,0,'1. Inputs'!$B$24*'1. Inputs'!$B$5*MAX(0,$A40-'1. Inputs'!$C$24-'1. Inputs'!$B$30+1)^'1. Inputs'!$B$7/('1. Inputs'!$B$6^'1. Inputs'!$B$7+MAX(0,$A40-'1. Inputs'!$C$24-'1. Inputs'!$B$30+1)^'1. Inputs'!$B$7)*('1. Inputs'!$B$9+'1. Inputs'!$B$10*MAX(0,$A40-'1. Inputs'!$C$24-'1. Inputs'!$B$30+1)/(MAX(0,$A40-'1. Inputs'!$C$24-'1. Inputs'!$B$30+1)+'1. Inputs'!$B$11))*'1. Inputs'!$B$13*(1+'1. Inputs'!$B$14*MIN(MAX(0,$A40-'1. Inputs'!$C$24-'1. Inputs'!$B$30+1),'1. Inputs'!$B$15))*('1. Inputs'!$B$31*'5. Diagnosing a miss'!$B$22))</f>
        <v>3448106.32809717</v>
      </c>
      <c r="U40" s="22" t="n">
        <f aca="false">IF(MAX(0,$A40-'1. Inputs'!$C$25-'1. Inputs'!$B$30+1)&lt;=0,0,'1. Inputs'!$B$25*'1. Inputs'!$B$5*MAX(0,$A40-'1. Inputs'!$C$25-'1. Inputs'!$B$30+1)^'1. Inputs'!$B$7/('1. Inputs'!$B$6^'1. Inputs'!$B$7+MAX(0,$A40-'1. Inputs'!$C$25-'1. Inputs'!$B$30+1)^'1. Inputs'!$B$7)*('1. Inputs'!$B$9+'1. Inputs'!$B$10*MAX(0,$A40-'1. Inputs'!$C$25-'1. Inputs'!$B$30+1)/(MAX(0,$A40-'1. Inputs'!$C$25-'1. Inputs'!$B$30+1)+'1. Inputs'!$B$11))*'1. Inputs'!$B$13*(1+'1. Inputs'!$B$14*MIN(MAX(0,$A40-'1. Inputs'!$C$25-'1. Inputs'!$B$30+1),'1. Inputs'!$B$15))*('1. Inputs'!$B$31*'5. Diagnosing a miss'!$B$22))</f>
        <v>4401272.55272727</v>
      </c>
      <c r="V40" s="22" t="n">
        <f aca="false">IF(MAX(0,$A40-'1. Inputs'!$C$26-'1. Inputs'!$B$30+1)&lt;=0,0,'1. Inputs'!$B$26*'1. Inputs'!$B$5*MAX(0,$A40-'1. Inputs'!$C$26-'1. Inputs'!$B$30+1)^'1. Inputs'!$B$7/('1. Inputs'!$B$6^'1. Inputs'!$B$7+MAX(0,$A40-'1. Inputs'!$C$26-'1. Inputs'!$B$30+1)^'1. Inputs'!$B$7)*('1. Inputs'!$B$9+'1. Inputs'!$B$10*MAX(0,$A40-'1. Inputs'!$C$26-'1. Inputs'!$B$30+1)/(MAX(0,$A40-'1. Inputs'!$C$26-'1. Inputs'!$B$30+1)+'1. Inputs'!$B$11))*'1. Inputs'!$B$13*(1+'1. Inputs'!$B$14*MIN(MAX(0,$A40-'1. Inputs'!$C$26-'1. Inputs'!$B$30+1),'1. Inputs'!$B$15))*('1. Inputs'!$B$31*'5. Diagnosing a miss'!$B$22))</f>
        <v>1796750.54442478</v>
      </c>
      <c r="W40" s="22" t="n">
        <f aca="false">IF(MAX(0,$A40-'1. Inputs'!$C$27-'1. Inputs'!$B$30+1)&lt;=0,0,'1. Inputs'!$B$27*'1. Inputs'!$B$5*MAX(0,$A40-'1. Inputs'!$C$27-'1. Inputs'!$B$30+1)^'1. Inputs'!$B$7/('1. Inputs'!$B$6^'1. Inputs'!$B$7+MAX(0,$A40-'1. Inputs'!$C$27-'1. Inputs'!$B$30+1)^'1. Inputs'!$B$7)*('1. Inputs'!$B$9+'1. Inputs'!$B$10*MAX(0,$A40-'1. Inputs'!$C$27-'1. Inputs'!$B$30+1)/(MAX(0,$A40-'1. Inputs'!$C$27-'1. Inputs'!$B$30+1)+'1. Inputs'!$B$11))*'1. Inputs'!$B$13*(1+'1. Inputs'!$B$14*MIN(MAX(0,$A40-'1. Inputs'!$C$27-'1. Inputs'!$B$30+1),'1. Inputs'!$B$15))*('1. Inputs'!$B$31*'5. Diagnosing a miss'!$B$22))</f>
        <v>1259496</v>
      </c>
      <c r="X40" s="22" t="n">
        <f aca="false">SUM(T40:W40)</f>
        <v>10905625.4252492</v>
      </c>
      <c r="Y40" s="22" t="n">
        <f aca="false">IF($A40=MAX('1. Inputs'!$B$17,1),'1. Inputs'!$B$3,0)+IF($A40-'1. Inputs'!$B$17&gt;=1,INDEX(X$3:X$86,$A40-'1. Inputs'!$B$17),0)</f>
        <v>7676996.35541126</v>
      </c>
      <c r="Z40" s="22" t="n">
        <f aca="false">Z39*(1-'1. Inputs'!$B$18)+Y40</f>
        <v>173941245.876217</v>
      </c>
      <c r="AA40" s="22" t="n">
        <f aca="false">Z40*'1. Inputs'!$B$18</f>
        <v>1739412.45876217</v>
      </c>
      <c r="AB40" s="22" t="n">
        <f aca="false">AB39+X40-AA40</f>
        <v>289408938.458947</v>
      </c>
      <c r="AC40" s="22" t="n">
        <f aca="false">IF(MAX(0,$A40-'1. Inputs'!$C$24-('1. Inputs'!$B$30+'5. Diagnosing a miss'!$B$23)+1)&lt;=0,0,'1. Inputs'!$B$24*'1. Inputs'!$B$5*MAX(0,$A40-'1. Inputs'!$C$24-('1. Inputs'!$B$30+'5. Diagnosing a miss'!$B$23)+1)^'1. Inputs'!$B$7/('1. Inputs'!$B$6^'1. Inputs'!$B$7+MAX(0,$A40-'1. Inputs'!$C$24-('1. Inputs'!$B$30+'5. Diagnosing a miss'!$B$23)+1)^'1. Inputs'!$B$7)*('1. Inputs'!$B$9+'1. Inputs'!$B$10*MAX(0,$A40-'1. Inputs'!$C$24-('1. Inputs'!$B$30+'5. Diagnosing a miss'!$B$23)+1)/(MAX(0,$A40-'1. Inputs'!$C$24-('1. Inputs'!$B$30+'5. Diagnosing a miss'!$B$23)+1)+'1. Inputs'!$B$11))*'1. Inputs'!$B$13*(1+'1. Inputs'!$B$14*MIN(MAX(0,$A40-'1. Inputs'!$C$24-('1. Inputs'!$B$30+'5. Diagnosing a miss'!$B$23)+1),'1. Inputs'!$B$15))*'1. Inputs'!$B$31)</f>
        <v>3740616.2186551</v>
      </c>
      <c r="AD40" s="22" t="n">
        <f aca="false">IF(MAX(0,$A40-'1. Inputs'!$C$25-('1. Inputs'!$B$30+'5. Diagnosing a miss'!$B$23)+1)&lt;=0,0,'1. Inputs'!$B$25*'1. Inputs'!$B$5*MAX(0,$A40-'1. Inputs'!$C$25-('1. Inputs'!$B$30+'5. Diagnosing a miss'!$B$23)+1)^'1. Inputs'!$B$7/('1. Inputs'!$B$6^'1. Inputs'!$B$7+MAX(0,$A40-'1. Inputs'!$C$25-('1. Inputs'!$B$30+'5. Diagnosing a miss'!$B$23)+1)^'1. Inputs'!$B$7)*('1. Inputs'!$B$9+'1. Inputs'!$B$10*MAX(0,$A40-'1. Inputs'!$C$25-('1. Inputs'!$B$30+'5. Diagnosing a miss'!$B$23)+1)/(MAX(0,$A40-'1. Inputs'!$C$25-('1. Inputs'!$B$30+'5. Diagnosing a miss'!$B$23)+1)+'1. Inputs'!$B$11))*'1. Inputs'!$B$13*(1+'1. Inputs'!$B$14*MIN(MAX(0,$A40-'1. Inputs'!$C$25-('1. Inputs'!$B$30+'5. Diagnosing a miss'!$B$23)+1),'1. Inputs'!$B$15))*'1. Inputs'!$B$31)</f>
        <v>4711320.19726027</v>
      </c>
      <c r="AE40" s="22" t="n">
        <f aca="false">IF(MAX(0,$A40-'1. Inputs'!$C$26-('1. Inputs'!$B$30+'5. Diagnosing a miss'!$B$23)+1)&lt;=0,0,'1. Inputs'!$B$26*'1. Inputs'!$B$5*MAX(0,$A40-'1. Inputs'!$C$26-('1. Inputs'!$B$30+'5. Diagnosing a miss'!$B$23)+1)^'1. Inputs'!$B$7/('1. Inputs'!$B$6^'1. Inputs'!$B$7+MAX(0,$A40-'1. Inputs'!$C$26-('1. Inputs'!$B$30+'5. Diagnosing a miss'!$B$23)+1)^'1. Inputs'!$B$7)*('1. Inputs'!$B$9+'1. Inputs'!$B$10*MAX(0,$A40-'1. Inputs'!$C$26-('1. Inputs'!$B$30+'5. Diagnosing a miss'!$B$23)+1)/(MAX(0,$A40-'1. Inputs'!$C$26-('1. Inputs'!$B$30+'5. Diagnosing a miss'!$B$23)+1)+'1. Inputs'!$B$11))*'1. Inputs'!$B$13*(1+'1. Inputs'!$B$14*MIN(MAX(0,$A40-'1. Inputs'!$C$26-('1. Inputs'!$B$30+'5. Diagnosing a miss'!$B$23)+1),'1. Inputs'!$B$15))*'1. Inputs'!$B$31)</f>
        <v>1873183.45846154</v>
      </c>
      <c r="AF40" s="22" t="n">
        <f aca="false">IF(MAX(0,$A40-'1. Inputs'!$C$27-('1. Inputs'!$B$30+'5. Diagnosing a miss'!$B$23)+1)&lt;=0,0,'1. Inputs'!$B$27*'1. Inputs'!$B$5*MAX(0,$A40-'1. Inputs'!$C$27-('1. Inputs'!$B$30+'5. Diagnosing a miss'!$B$23)+1)^'1. Inputs'!$B$7/('1. Inputs'!$B$6^'1. Inputs'!$B$7+MAX(0,$A40-'1. Inputs'!$C$27-('1. Inputs'!$B$30+'5. Diagnosing a miss'!$B$23)+1)^'1. Inputs'!$B$7)*('1. Inputs'!$B$9+'1. Inputs'!$B$10*MAX(0,$A40-'1. Inputs'!$C$27-('1. Inputs'!$B$30+'5. Diagnosing a miss'!$B$23)+1)/(MAX(0,$A40-'1. Inputs'!$C$27-('1. Inputs'!$B$30+'5. Diagnosing a miss'!$B$23)+1)+'1. Inputs'!$B$11))*'1. Inputs'!$B$13*(1+'1. Inputs'!$B$14*MIN(MAX(0,$A40-'1. Inputs'!$C$27-('1. Inputs'!$B$30+'5. Diagnosing a miss'!$B$23)+1),'1. Inputs'!$B$15))*'1. Inputs'!$B$31)</f>
        <v>1302336</v>
      </c>
      <c r="AG40" s="22" t="n">
        <f aca="false">SUM(AC40:AF40)</f>
        <v>11627455.8743769</v>
      </c>
      <c r="AH40" s="22" t="n">
        <f aca="false">IF($A40=MAX('1. Inputs'!$B$17,1),'1. Inputs'!$B$3,0)+IF($A40-'1. Inputs'!$B$17&gt;=1,INDEX(AG$3:AG$86,$A40-'1. Inputs'!$B$17),0)</f>
        <v>6837232.06078418</v>
      </c>
      <c r="AI40" s="22" t="n">
        <f aca="false">AI39*(1-'1. Inputs'!$B$18)+AH40</f>
        <v>157923250.472609</v>
      </c>
      <c r="AJ40" s="22" t="n">
        <f aca="false">AI40*'1. Inputs'!$B$18</f>
        <v>1579232.50472609</v>
      </c>
      <c r="AK40" s="22" t="n">
        <f aca="false">AK39+AG40-AJ40</f>
        <v>274682224.73581</v>
      </c>
    </row>
    <row r="41" customFormat="false" ht="15" hidden="false" customHeight="false" outlineLevel="0" collapsed="false">
      <c r="A41" s="7" t="n">
        <v>39</v>
      </c>
      <c r="B41" s="22" t="n">
        <f aca="false">IF(MAX(0,$A41-'1. Inputs'!$C$24-'1. Inputs'!$B$30+1)&lt;=0,0,'1. Inputs'!$B$24*'1. Inputs'!$B$5*MAX(0,$A41-'1. Inputs'!$C$24-'1. Inputs'!$B$30+1)^'1. Inputs'!$B$7/('1. Inputs'!$B$6^'1. Inputs'!$B$7+MAX(0,$A41-'1. Inputs'!$C$24-'1. Inputs'!$B$30+1)^'1. Inputs'!$B$7)*('1. Inputs'!$B$9+'1. Inputs'!$B$10*MAX(0,$A41-'1. Inputs'!$C$24-'1. Inputs'!$B$30+1)/(MAX(0,$A41-'1. Inputs'!$C$24-'1. Inputs'!$B$30+1)+'1. Inputs'!$B$11))*'1. Inputs'!$B$13*(1+'1. Inputs'!$B$14*MIN(MAX(0,$A41-'1. Inputs'!$C$24-'1. Inputs'!$B$30+1),'1. Inputs'!$B$15))*'1. Inputs'!$B$31)</f>
        <v>3857364.29822485</v>
      </c>
      <c r="C41" s="22" t="n">
        <f aca="false">IF(MAX(0,$A41-'1. Inputs'!$C$25-'1. Inputs'!$B$30+1)&lt;=0,0,'1. Inputs'!$B$25*'1. Inputs'!$B$5*MAX(0,$A41-'1. Inputs'!$C$25-'1. Inputs'!$B$30+1)^'1. Inputs'!$B$7/('1. Inputs'!$B$6^'1. Inputs'!$B$7+MAX(0,$A41-'1. Inputs'!$C$25-'1. Inputs'!$B$30+1)^'1. Inputs'!$B$7)*('1. Inputs'!$B$9+'1. Inputs'!$B$10*MAX(0,$A41-'1. Inputs'!$C$25-'1. Inputs'!$B$30+1)/(MAX(0,$A41-'1. Inputs'!$C$25-'1. Inputs'!$B$30+1)+'1. Inputs'!$B$11))*'1. Inputs'!$B$13*(1+'1. Inputs'!$B$14*MIN(MAX(0,$A41-'1. Inputs'!$C$25-'1. Inputs'!$B$30+1),'1. Inputs'!$B$15))*'1. Inputs'!$B$31)</f>
        <v>4940798.81618497</v>
      </c>
      <c r="D41" s="22" t="n">
        <f aca="false">IF(MAX(0,$A41-'1. Inputs'!$C$26-'1. Inputs'!$B$30+1)&lt;=0,0,'1. Inputs'!$B$26*'1. Inputs'!$B$5*MAX(0,$A41-'1. Inputs'!$C$26-'1. Inputs'!$B$30+1)^'1. Inputs'!$B$7/('1. Inputs'!$B$6^'1. Inputs'!$B$7+MAX(0,$A41-'1. Inputs'!$C$26-'1. Inputs'!$B$30+1)^'1. Inputs'!$B$7)*('1. Inputs'!$B$9+'1. Inputs'!$B$10*MAX(0,$A41-'1. Inputs'!$C$26-'1. Inputs'!$B$30+1)/(MAX(0,$A41-'1. Inputs'!$C$26-'1. Inputs'!$B$30+1)+'1. Inputs'!$B$11))*'1. Inputs'!$B$13*(1+'1. Inputs'!$B$14*MIN(MAX(0,$A41-'1. Inputs'!$C$26-'1. Inputs'!$B$30+1),'1. Inputs'!$B$15))*'1. Inputs'!$B$31)</f>
        <v>2030260.49338609</v>
      </c>
      <c r="E41" s="22" t="n">
        <f aca="false">IF(MAX(0,$A41-'1. Inputs'!$C$27-'1. Inputs'!$B$30+1)&lt;=0,0,'1. Inputs'!$B$27*'1. Inputs'!$B$5*MAX(0,$A41-'1. Inputs'!$C$27-'1. Inputs'!$B$30+1)^'1. Inputs'!$B$7/('1. Inputs'!$B$6^'1. Inputs'!$B$7+MAX(0,$A41-'1. Inputs'!$C$27-'1. Inputs'!$B$30+1)^'1. Inputs'!$B$7)*('1. Inputs'!$B$9+'1. Inputs'!$B$10*MAX(0,$A41-'1. Inputs'!$C$27-'1. Inputs'!$B$30+1)/(MAX(0,$A41-'1. Inputs'!$C$27-'1. Inputs'!$B$30+1)+'1. Inputs'!$B$11))*'1. Inputs'!$B$13*(1+'1. Inputs'!$B$14*MIN(MAX(0,$A41-'1. Inputs'!$C$27-'1. Inputs'!$B$30+1),'1. Inputs'!$B$15))*'1. Inputs'!$B$31)</f>
        <v>1425992.49557522</v>
      </c>
      <c r="F41" s="22" t="n">
        <f aca="false">SUM(B41:E41)</f>
        <v>12254416.1033711</v>
      </c>
      <c r="G41" s="22" t="n">
        <f aca="false">IF($A41=MAX('1. Inputs'!$B$17,1),'1. Inputs'!$B$3,0)+IF($A41-'1. Inputs'!$B$17&gt;=1,INDEX(F$3:F$86,$A41-'1. Inputs'!$B$17),0)</f>
        <v>9020359.60786213</v>
      </c>
      <c r="H41" s="22" t="n">
        <f aca="false">H40*(1-'1. Inputs'!$B$18)+G41</f>
        <v>187650018.165916</v>
      </c>
      <c r="I41" s="22" t="n">
        <f aca="false">H41*'1. Inputs'!$B$18</f>
        <v>1876500.18165916</v>
      </c>
      <c r="J41" s="22" t="n">
        <f aca="false">J40+F41-I41</f>
        <v>319237691.192535</v>
      </c>
      <c r="K41" s="22" t="n">
        <f aca="false">IF(MAX(0,$A41-'1. Inputs'!$C$24-'1. Inputs'!$B$30+1)&lt;=0,0,'1. Inputs'!$B$24*('1. Inputs'!$B$5-'5. Diagnosing a miss'!$B$21)*MAX(0,$A41-'1. Inputs'!$C$24-'1. Inputs'!$B$30+1)^'1. Inputs'!$B$7/('1. Inputs'!$B$6^'1. Inputs'!$B$7+MAX(0,$A41-'1. Inputs'!$C$24-'1. Inputs'!$B$30+1)^'1. Inputs'!$B$7)*('1. Inputs'!$B$9+'1. Inputs'!$B$10*MAX(0,$A41-'1. Inputs'!$C$24-'1. Inputs'!$B$30+1)/(MAX(0,$A41-'1. Inputs'!$C$24-'1. Inputs'!$B$30+1)+'1. Inputs'!$B$11))*'1. Inputs'!$B$13*(1+'1. Inputs'!$B$14*MIN(MAX(0,$A41-'1. Inputs'!$C$24-'1. Inputs'!$B$30+1),'1. Inputs'!$B$15))*'1. Inputs'!$B$31)</f>
        <v>3428768.26508876</v>
      </c>
      <c r="L41" s="22" t="n">
        <f aca="false">IF(MAX(0,$A41-'1. Inputs'!$C$25-'1. Inputs'!$B$30+1)&lt;=0,0,'1. Inputs'!$B$25*('1. Inputs'!$B$5-'5. Diagnosing a miss'!$B$21)*MAX(0,$A41-'1. Inputs'!$C$25-'1. Inputs'!$B$30+1)^'1. Inputs'!$B$7/('1. Inputs'!$B$6^'1. Inputs'!$B$7+MAX(0,$A41-'1. Inputs'!$C$25-'1. Inputs'!$B$30+1)^'1. Inputs'!$B$7)*('1. Inputs'!$B$9+'1. Inputs'!$B$10*MAX(0,$A41-'1. Inputs'!$C$25-'1. Inputs'!$B$30+1)/(MAX(0,$A41-'1. Inputs'!$C$25-'1. Inputs'!$B$30+1)+'1. Inputs'!$B$11))*'1. Inputs'!$B$13*(1+'1. Inputs'!$B$14*MIN(MAX(0,$A41-'1. Inputs'!$C$25-'1. Inputs'!$B$30+1),'1. Inputs'!$B$15))*'1. Inputs'!$B$31)</f>
        <v>4391821.1699422</v>
      </c>
      <c r="M41" s="22" t="n">
        <f aca="false">IF(MAX(0,$A41-'1. Inputs'!$C$26-'1. Inputs'!$B$30+1)&lt;=0,0,'1. Inputs'!$B$26*('1. Inputs'!$B$5-'5. Diagnosing a miss'!$B$21)*MAX(0,$A41-'1. Inputs'!$C$26-'1. Inputs'!$B$30+1)^'1. Inputs'!$B$7/('1. Inputs'!$B$6^'1. Inputs'!$B$7+MAX(0,$A41-'1. Inputs'!$C$26-'1. Inputs'!$B$30+1)^'1. Inputs'!$B$7)*('1. Inputs'!$B$9+'1. Inputs'!$B$10*MAX(0,$A41-'1. Inputs'!$C$26-'1. Inputs'!$B$30+1)/(MAX(0,$A41-'1. Inputs'!$C$26-'1. Inputs'!$B$30+1)+'1. Inputs'!$B$11))*'1. Inputs'!$B$13*(1+'1. Inputs'!$B$14*MIN(MAX(0,$A41-'1. Inputs'!$C$26-'1. Inputs'!$B$30+1),'1. Inputs'!$B$15))*'1. Inputs'!$B$31)</f>
        <v>1804675.99412097</v>
      </c>
      <c r="N41" s="22" t="n">
        <f aca="false">IF(MAX(0,$A41-'1. Inputs'!$C$27-'1. Inputs'!$B$30+1)&lt;=0,0,'1. Inputs'!$B$27*('1. Inputs'!$B$5-'5. Diagnosing a miss'!$B$21)*MAX(0,$A41-'1. Inputs'!$C$27-'1. Inputs'!$B$30+1)^'1. Inputs'!$B$7/('1. Inputs'!$B$6^'1. Inputs'!$B$7+MAX(0,$A41-'1. Inputs'!$C$27-'1. Inputs'!$B$30+1)^'1. Inputs'!$B$7)*('1. Inputs'!$B$9+'1. Inputs'!$B$10*MAX(0,$A41-'1. Inputs'!$C$27-'1. Inputs'!$B$30+1)/(MAX(0,$A41-'1. Inputs'!$C$27-'1. Inputs'!$B$30+1)+'1. Inputs'!$B$11))*'1. Inputs'!$B$13*(1+'1. Inputs'!$B$14*MIN(MAX(0,$A41-'1. Inputs'!$C$27-'1. Inputs'!$B$30+1),'1. Inputs'!$B$15))*'1. Inputs'!$B$31)</f>
        <v>1267548.88495575</v>
      </c>
      <c r="O41" s="22" t="n">
        <f aca="false">SUM(K41:N41)</f>
        <v>10892814.3141077</v>
      </c>
      <c r="P41" s="22" t="n">
        <f aca="false">IF($A41=MAX('1. Inputs'!$B$17,1),'1. Inputs'!$B$3,0)+IF($A41-'1. Inputs'!$B$17&gt;=1,INDEX(O$3:O$86,$A41-'1. Inputs'!$B$17),0)</f>
        <v>8018097.42921078</v>
      </c>
      <c r="Q41" s="22" t="n">
        <f aca="false">Q40*(1-'1. Inputs'!$B$18)+P41</f>
        <v>179505728.053265</v>
      </c>
      <c r="R41" s="22" t="n">
        <f aca="false">Q41*'1. Inputs'!$B$18</f>
        <v>1795057.28053265</v>
      </c>
      <c r="S41" s="22" t="n">
        <f aca="false">S40+O41-R41</f>
        <v>296345491.402314</v>
      </c>
      <c r="T41" s="22" t="n">
        <f aca="false">IF(MAX(0,$A41-'1. Inputs'!$C$24-'1. Inputs'!$B$30+1)&lt;=0,0,'1. Inputs'!$B$24*'1. Inputs'!$B$5*MAX(0,$A41-'1. Inputs'!$C$24-'1. Inputs'!$B$30+1)^'1. Inputs'!$B$7/('1. Inputs'!$B$6^'1. Inputs'!$B$7+MAX(0,$A41-'1. Inputs'!$C$24-'1. Inputs'!$B$30+1)^'1. Inputs'!$B$7)*('1. Inputs'!$B$9+'1. Inputs'!$B$10*MAX(0,$A41-'1. Inputs'!$C$24-'1. Inputs'!$B$30+1)/(MAX(0,$A41-'1. Inputs'!$C$24-'1. Inputs'!$B$30+1)+'1. Inputs'!$B$11))*'1. Inputs'!$B$13*(1+'1. Inputs'!$B$14*MIN(MAX(0,$A41-'1. Inputs'!$C$24-'1. Inputs'!$B$30+1),'1. Inputs'!$B$15))*('1. Inputs'!$B$31*'5. Diagnosing a miss'!$B$22))</f>
        <v>3471627.86840237</v>
      </c>
      <c r="U41" s="22" t="n">
        <f aca="false">IF(MAX(0,$A41-'1. Inputs'!$C$25-'1. Inputs'!$B$30+1)&lt;=0,0,'1. Inputs'!$B$25*'1. Inputs'!$B$5*MAX(0,$A41-'1. Inputs'!$C$25-'1. Inputs'!$B$30+1)^'1. Inputs'!$B$7/('1. Inputs'!$B$6^'1. Inputs'!$B$7+MAX(0,$A41-'1. Inputs'!$C$25-'1. Inputs'!$B$30+1)^'1. Inputs'!$B$7)*('1. Inputs'!$B$9+'1. Inputs'!$B$10*MAX(0,$A41-'1. Inputs'!$C$25-'1. Inputs'!$B$30+1)/(MAX(0,$A41-'1. Inputs'!$C$25-'1. Inputs'!$B$30+1)+'1. Inputs'!$B$11))*'1. Inputs'!$B$13*(1+'1. Inputs'!$B$14*MIN(MAX(0,$A41-'1. Inputs'!$C$25-'1. Inputs'!$B$30+1),'1. Inputs'!$B$15))*('1. Inputs'!$B$31*'5. Diagnosing a miss'!$B$22))</f>
        <v>4446718.93456647</v>
      </c>
      <c r="V41" s="22" t="n">
        <f aca="false">IF(MAX(0,$A41-'1. Inputs'!$C$26-'1. Inputs'!$B$30+1)&lt;=0,0,'1. Inputs'!$B$26*'1. Inputs'!$B$5*MAX(0,$A41-'1. Inputs'!$C$26-'1. Inputs'!$B$30+1)^'1. Inputs'!$B$7/('1. Inputs'!$B$6^'1. Inputs'!$B$7+MAX(0,$A41-'1. Inputs'!$C$26-'1. Inputs'!$B$30+1)^'1. Inputs'!$B$7)*('1. Inputs'!$B$9+'1. Inputs'!$B$10*MAX(0,$A41-'1. Inputs'!$C$26-'1. Inputs'!$B$30+1)/(MAX(0,$A41-'1. Inputs'!$C$26-'1. Inputs'!$B$30+1)+'1. Inputs'!$B$11))*'1. Inputs'!$B$13*(1+'1. Inputs'!$B$14*MIN(MAX(0,$A41-'1. Inputs'!$C$26-'1. Inputs'!$B$30+1),'1. Inputs'!$B$15))*('1. Inputs'!$B$31*'5. Diagnosing a miss'!$B$22))</f>
        <v>1827234.44404748</v>
      </c>
      <c r="W41" s="22" t="n">
        <f aca="false">IF(MAX(0,$A41-'1. Inputs'!$C$27-'1. Inputs'!$B$30+1)&lt;=0,0,'1. Inputs'!$B$27*'1. Inputs'!$B$5*MAX(0,$A41-'1. Inputs'!$C$27-'1. Inputs'!$B$30+1)^'1. Inputs'!$B$7/('1. Inputs'!$B$6^'1. Inputs'!$B$7+MAX(0,$A41-'1. Inputs'!$C$27-'1. Inputs'!$B$30+1)^'1. Inputs'!$B$7)*('1. Inputs'!$B$9+'1. Inputs'!$B$10*MAX(0,$A41-'1. Inputs'!$C$27-'1. Inputs'!$B$30+1)/(MAX(0,$A41-'1. Inputs'!$C$27-'1. Inputs'!$B$30+1)+'1. Inputs'!$B$11))*'1. Inputs'!$B$13*(1+'1. Inputs'!$B$14*MIN(MAX(0,$A41-'1. Inputs'!$C$27-'1. Inputs'!$B$30+1),'1. Inputs'!$B$15))*('1. Inputs'!$B$31*'5. Diagnosing a miss'!$B$22))</f>
        <v>1283393.2460177</v>
      </c>
      <c r="X41" s="22" t="n">
        <f aca="false">SUM(T41:W41)</f>
        <v>11028974.493034</v>
      </c>
      <c r="Y41" s="22" t="n">
        <f aca="false">IF($A41=MAX('1. Inputs'!$B$17,1),'1. Inputs'!$B$3,0)+IF($A41-'1. Inputs'!$B$17&gt;=1,INDEX(X$3:X$86,$A41-'1. Inputs'!$B$17),0)</f>
        <v>8118323.64707592</v>
      </c>
      <c r="Z41" s="22" t="n">
        <f aca="false">Z40*(1-'1. Inputs'!$B$18)+Y41</f>
        <v>180320157.064531</v>
      </c>
      <c r="AA41" s="22" t="n">
        <f aca="false">Z41*'1. Inputs'!$B$18</f>
        <v>1803201.5706453</v>
      </c>
      <c r="AB41" s="22" t="n">
        <f aca="false">AB40+X41-AA41</f>
        <v>298634711.381336</v>
      </c>
      <c r="AC41" s="22" t="n">
        <f aca="false">IF(MAX(0,$A41-'1. Inputs'!$C$24-('1. Inputs'!$B$30+'5. Diagnosing a miss'!$B$23)+1)&lt;=0,0,'1. Inputs'!$B$24*'1. Inputs'!$B$5*MAX(0,$A41-'1. Inputs'!$C$24-('1. Inputs'!$B$30+'5. Diagnosing a miss'!$B$23)+1)^'1. Inputs'!$B$7/('1. Inputs'!$B$6^'1. Inputs'!$B$7+MAX(0,$A41-'1. Inputs'!$C$24-('1. Inputs'!$B$30+'5. Diagnosing a miss'!$B$23)+1)^'1. Inputs'!$B$7)*('1. Inputs'!$B$9+'1. Inputs'!$B$10*MAX(0,$A41-'1. Inputs'!$C$24-('1. Inputs'!$B$30+'5. Diagnosing a miss'!$B$23)+1)/(MAX(0,$A41-'1. Inputs'!$C$24-('1. Inputs'!$B$30+'5. Diagnosing a miss'!$B$23)+1)+'1. Inputs'!$B$11))*'1. Inputs'!$B$13*(1+'1. Inputs'!$B$14*MIN(MAX(0,$A41-'1. Inputs'!$C$24-('1. Inputs'!$B$30+'5. Diagnosing a miss'!$B$23)+1),'1. Inputs'!$B$15))*'1. Inputs'!$B$31)</f>
        <v>3773064.22018349</v>
      </c>
      <c r="AD41" s="22" t="n">
        <f aca="false">IF(MAX(0,$A41-'1. Inputs'!$C$25-('1. Inputs'!$B$30+'5. Diagnosing a miss'!$B$23)+1)&lt;=0,0,'1. Inputs'!$B$25*'1. Inputs'!$B$5*MAX(0,$A41-'1. Inputs'!$C$25-('1. Inputs'!$B$30+'5. Diagnosing a miss'!$B$23)+1)^'1. Inputs'!$B$7/('1. Inputs'!$B$6^'1. Inputs'!$B$7+MAX(0,$A41-'1. Inputs'!$C$25-('1. Inputs'!$B$30+'5. Diagnosing a miss'!$B$23)+1)^'1. Inputs'!$B$7)*('1. Inputs'!$B$9+'1. Inputs'!$B$10*MAX(0,$A41-'1. Inputs'!$C$25-('1. Inputs'!$B$30+'5. Diagnosing a miss'!$B$23)+1)/(MAX(0,$A41-'1. Inputs'!$C$25-('1. Inputs'!$B$30+'5. Diagnosing a miss'!$B$23)+1)+'1. Inputs'!$B$11))*'1. Inputs'!$B$13*(1+'1. Inputs'!$B$14*MIN(MAX(0,$A41-'1. Inputs'!$C$25-('1. Inputs'!$B$30+'5. Diagnosing a miss'!$B$23)+1),'1. Inputs'!$B$15))*'1. Inputs'!$B$31)</f>
        <v>4776094.30686283</v>
      </c>
      <c r="AE41" s="22" t="n">
        <f aca="false">IF(MAX(0,$A41-'1. Inputs'!$C$26-('1. Inputs'!$B$30+'5. Diagnosing a miss'!$B$23)+1)&lt;=0,0,'1. Inputs'!$B$26*'1. Inputs'!$B$5*MAX(0,$A41-'1. Inputs'!$C$26-('1. Inputs'!$B$30+'5. Diagnosing a miss'!$B$23)+1)^'1. Inputs'!$B$7/('1. Inputs'!$B$6^'1. Inputs'!$B$7+MAX(0,$A41-'1. Inputs'!$C$26-('1. Inputs'!$B$30+'5. Diagnosing a miss'!$B$23)+1)^'1. Inputs'!$B$7)*('1. Inputs'!$B$9+'1. Inputs'!$B$10*MAX(0,$A41-'1. Inputs'!$C$26-('1. Inputs'!$B$30+'5. Diagnosing a miss'!$B$23)+1)/(MAX(0,$A41-'1. Inputs'!$C$26-('1. Inputs'!$B$30+'5. Diagnosing a miss'!$B$23)+1)+'1. Inputs'!$B$11))*'1. Inputs'!$B$13*(1+'1. Inputs'!$B$14*MIN(MAX(0,$A41-'1. Inputs'!$C$26-('1. Inputs'!$B$30+'5. Diagnosing a miss'!$B$23)+1),'1. Inputs'!$B$15))*'1. Inputs'!$B$31)</f>
        <v>1918311.2106189</v>
      </c>
      <c r="AF41" s="22" t="n">
        <f aca="false">IF(MAX(0,$A41-'1. Inputs'!$C$27-('1. Inputs'!$B$30+'5. Diagnosing a miss'!$B$23)+1)&lt;=0,0,'1. Inputs'!$B$27*'1. Inputs'!$B$5*MAX(0,$A41-'1. Inputs'!$C$27-('1. Inputs'!$B$30+'5. Diagnosing a miss'!$B$23)+1)^'1. Inputs'!$B$7/('1. Inputs'!$B$6^'1. Inputs'!$B$7+MAX(0,$A41-'1. Inputs'!$C$27-('1. Inputs'!$B$30+'5. Diagnosing a miss'!$B$23)+1)^'1. Inputs'!$B$7)*('1. Inputs'!$B$9+'1. Inputs'!$B$10*MAX(0,$A41-'1. Inputs'!$C$27-('1. Inputs'!$B$30+'5. Diagnosing a miss'!$B$23)+1)/(MAX(0,$A41-'1. Inputs'!$C$27-('1. Inputs'!$B$30+'5. Diagnosing a miss'!$B$23)+1)+'1. Inputs'!$B$11))*'1. Inputs'!$B$13*(1+'1. Inputs'!$B$14*MIN(MAX(0,$A41-'1. Inputs'!$C$27-('1. Inputs'!$B$30+'5. Diagnosing a miss'!$B$23)+1),'1. Inputs'!$B$15))*'1. Inputs'!$B$31)</f>
        <v>1337988.18461538</v>
      </c>
      <c r="AG41" s="22" t="n">
        <f aca="false">SUM(AC41:AF41)</f>
        <v>11805457.9222806</v>
      </c>
      <c r="AH41" s="22" t="n">
        <f aca="false">IF($A41=MAX('1. Inputs'!$B$17,1),'1. Inputs'!$B$3,0)+IF($A41-'1. Inputs'!$B$17&gt;=1,INDEX(AG$3:AG$86,$A41-'1. Inputs'!$B$17),0)</f>
        <v>7459489.15191031</v>
      </c>
      <c r="AI41" s="22" t="n">
        <f aca="false">AI40*(1-'1. Inputs'!$B$18)+AH41</f>
        <v>163803507.119793</v>
      </c>
      <c r="AJ41" s="22" t="n">
        <f aca="false">AI41*'1. Inputs'!$B$18</f>
        <v>1638035.07119793</v>
      </c>
      <c r="AK41" s="22" t="n">
        <f aca="false">AK40+AG41-AJ41</f>
        <v>284849647.586892</v>
      </c>
    </row>
    <row r="42" customFormat="false" ht="15" hidden="false" customHeight="false" outlineLevel="0" collapsed="false">
      <c r="A42" s="7" t="n">
        <v>40</v>
      </c>
      <c r="B42" s="22" t="n">
        <f aca="false">IF(MAX(0,$A42-'1. Inputs'!$C$24-'1. Inputs'!$B$30+1)&lt;=0,0,'1. Inputs'!$B$24*'1. Inputs'!$B$5*MAX(0,$A42-'1. Inputs'!$C$24-'1. Inputs'!$B$30+1)^'1. Inputs'!$B$7/('1. Inputs'!$B$6^'1. Inputs'!$B$7+MAX(0,$A42-'1. Inputs'!$C$24-'1. Inputs'!$B$30+1)^'1. Inputs'!$B$7)*('1. Inputs'!$B$9+'1. Inputs'!$B$10*MAX(0,$A42-'1. Inputs'!$C$24-'1. Inputs'!$B$30+1)/(MAX(0,$A42-'1. Inputs'!$C$24-'1. Inputs'!$B$30+1)+'1. Inputs'!$B$11))*'1. Inputs'!$B$13*(1+'1. Inputs'!$B$14*MIN(MAX(0,$A42-'1. Inputs'!$C$24-'1. Inputs'!$B$30+1),'1. Inputs'!$B$15))*'1. Inputs'!$B$31)</f>
        <v>3881773.61228779</v>
      </c>
      <c r="C42" s="22" t="n">
        <f aca="false">IF(MAX(0,$A42-'1. Inputs'!$C$25-'1. Inputs'!$B$30+1)&lt;=0,0,'1. Inputs'!$B$25*'1. Inputs'!$B$5*MAX(0,$A42-'1. Inputs'!$C$25-'1. Inputs'!$B$30+1)^'1. Inputs'!$B$7/('1. Inputs'!$B$6^'1. Inputs'!$B$7+MAX(0,$A42-'1. Inputs'!$C$25-'1. Inputs'!$B$30+1)^'1. Inputs'!$B$7)*('1. Inputs'!$B$9+'1. Inputs'!$B$10*MAX(0,$A42-'1. Inputs'!$C$25-'1. Inputs'!$B$30+1)/(MAX(0,$A42-'1. Inputs'!$C$25-'1. Inputs'!$B$30+1)+'1. Inputs'!$B$11))*'1. Inputs'!$B$13*(1+'1. Inputs'!$B$14*MIN(MAX(0,$A42-'1. Inputs'!$C$25-'1. Inputs'!$B$30+1),'1. Inputs'!$B$15))*'1. Inputs'!$B$31)</f>
        <v>4987488.29154013</v>
      </c>
      <c r="D42" s="22" t="n">
        <f aca="false">IF(MAX(0,$A42-'1. Inputs'!$C$26-'1. Inputs'!$B$30+1)&lt;=0,0,'1. Inputs'!$B$26*'1. Inputs'!$B$5*MAX(0,$A42-'1. Inputs'!$C$26-'1. Inputs'!$B$30+1)^'1. Inputs'!$B$7/('1. Inputs'!$B$6^'1. Inputs'!$B$7+MAX(0,$A42-'1. Inputs'!$C$26-'1. Inputs'!$B$30+1)^'1. Inputs'!$B$7)*('1. Inputs'!$B$9+'1. Inputs'!$B$10*MAX(0,$A42-'1. Inputs'!$C$26-'1. Inputs'!$B$30+1)/(MAX(0,$A42-'1. Inputs'!$C$26-'1. Inputs'!$B$30+1)+'1. Inputs'!$B$11))*'1. Inputs'!$B$13*(1+'1. Inputs'!$B$14*MIN(MAX(0,$A42-'1. Inputs'!$C$26-'1. Inputs'!$B$30+1),'1. Inputs'!$B$15))*'1. Inputs'!$B$31)</f>
        <v>2061202.58630137</v>
      </c>
      <c r="E42" s="22" t="n">
        <f aca="false">IF(MAX(0,$A42-'1. Inputs'!$C$27-'1. Inputs'!$B$30+1)&lt;=0,0,'1. Inputs'!$B$27*'1. Inputs'!$B$5*MAX(0,$A42-'1. Inputs'!$C$27-'1. Inputs'!$B$30+1)^'1. Inputs'!$B$7/('1. Inputs'!$B$6^'1. Inputs'!$B$7+MAX(0,$A42-'1. Inputs'!$C$27-'1. Inputs'!$B$30+1)^'1. Inputs'!$B$7)*('1. Inputs'!$B$9+'1. Inputs'!$B$10*MAX(0,$A42-'1. Inputs'!$C$27-'1. Inputs'!$B$30+1)/(MAX(0,$A42-'1. Inputs'!$C$27-'1. Inputs'!$B$30+1)+'1. Inputs'!$B$11))*'1. Inputs'!$B$13*(1+'1. Inputs'!$B$14*MIN(MAX(0,$A42-'1. Inputs'!$C$27-'1. Inputs'!$B$30+1),'1. Inputs'!$B$15))*'1. Inputs'!$B$31)</f>
        <v>1450186.06670435</v>
      </c>
      <c r="F42" s="22" t="n">
        <f aca="false">SUM(B42:E42)</f>
        <v>12380650.5568336</v>
      </c>
      <c r="G42" s="22" t="n">
        <f aca="false">IF($A42=MAX('1. Inputs'!$B$17,1),'1. Inputs'!$B$3,0)+IF($A42-'1. Inputs'!$B$17&gt;=1,INDEX(F$3:F$86,$A42-'1. Inputs'!$B$17),0)</f>
        <v>9481747.32429291</v>
      </c>
      <c r="H42" s="22" t="n">
        <f aca="false">H41*(1-'1. Inputs'!$B$18)+G42</f>
        <v>195255265.308549</v>
      </c>
      <c r="I42" s="22" t="n">
        <f aca="false">H42*'1. Inputs'!$B$18</f>
        <v>1952552.65308549</v>
      </c>
      <c r="J42" s="22" t="n">
        <f aca="false">J41+F42-I42</f>
        <v>329665789.096283</v>
      </c>
      <c r="K42" s="22" t="n">
        <f aca="false">IF(MAX(0,$A42-'1. Inputs'!$C$24-'1. Inputs'!$B$30+1)&lt;=0,0,'1. Inputs'!$B$24*('1. Inputs'!$B$5-'5. Diagnosing a miss'!$B$21)*MAX(0,$A42-'1. Inputs'!$C$24-'1. Inputs'!$B$30+1)^'1. Inputs'!$B$7/('1. Inputs'!$B$6^'1. Inputs'!$B$7+MAX(0,$A42-'1. Inputs'!$C$24-'1. Inputs'!$B$30+1)^'1. Inputs'!$B$7)*('1. Inputs'!$B$9+'1. Inputs'!$B$10*MAX(0,$A42-'1. Inputs'!$C$24-'1. Inputs'!$B$30+1)/(MAX(0,$A42-'1. Inputs'!$C$24-'1. Inputs'!$B$30+1)+'1. Inputs'!$B$11))*'1. Inputs'!$B$13*(1+'1. Inputs'!$B$14*MIN(MAX(0,$A42-'1. Inputs'!$C$24-'1. Inputs'!$B$30+1),'1. Inputs'!$B$15))*'1. Inputs'!$B$31)</f>
        <v>3450465.43314471</v>
      </c>
      <c r="L42" s="22" t="n">
        <f aca="false">IF(MAX(0,$A42-'1. Inputs'!$C$25-'1. Inputs'!$B$30+1)&lt;=0,0,'1. Inputs'!$B$25*('1. Inputs'!$B$5-'5. Diagnosing a miss'!$B$21)*MAX(0,$A42-'1. Inputs'!$C$25-'1. Inputs'!$B$30+1)^'1. Inputs'!$B$7/('1. Inputs'!$B$6^'1. Inputs'!$B$7+MAX(0,$A42-'1. Inputs'!$C$25-'1. Inputs'!$B$30+1)^'1. Inputs'!$B$7)*('1. Inputs'!$B$9+'1. Inputs'!$B$10*MAX(0,$A42-'1. Inputs'!$C$25-'1. Inputs'!$B$30+1)/(MAX(0,$A42-'1. Inputs'!$C$25-'1. Inputs'!$B$30+1)+'1. Inputs'!$B$11))*'1. Inputs'!$B$13*(1+'1. Inputs'!$B$14*MIN(MAX(0,$A42-'1. Inputs'!$C$25-'1. Inputs'!$B$30+1),'1. Inputs'!$B$15))*'1. Inputs'!$B$31)</f>
        <v>4433322.92581345</v>
      </c>
      <c r="M42" s="22" t="n">
        <f aca="false">IF(MAX(0,$A42-'1. Inputs'!$C$26-'1. Inputs'!$B$30+1)&lt;=0,0,'1. Inputs'!$B$26*('1. Inputs'!$B$5-'5. Diagnosing a miss'!$B$21)*MAX(0,$A42-'1. Inputs'!$C$26-'1. Inputs'!$B$30+1)^'1. Inputs'!$B$7/('1. Inputs'!$B$6^'1. Inputs'!$B$7+MAX(0,$A42-'1. Inputs'!$C$26-'1. Inputs'!$B$30+1)^'1. Inputs'!$B$7)*('1. Inputs'!$B$9+'1. Inputs'!$B$10*MAX(0,$A42-'1. Inputs'!$C$26-'1. Inputs'!$B$30+1)/(MAX(0,$A42-'1. Inputs'!$C$26-'1. Inputs'!$B$30+1)+'1. Inputs'!$B$11))*'1. Inputs'!$B$13*(1+'1. Inputs'!$B$14*MIN(MAX(0,$A42-'1. Inputs'!$C$26-'1. Inputs'!$B$30+1),'1. Inputs'!$B$15))*'1. Inputs'!$B$31)</f>
        <v>1832180.07671233</v>
      </c>
      <c r="N42" s="22" t="n">
        <f aca="false">IF(MAX(0,$A42-'1. Inputs'!$C$27-'1. Inputs'!$B$30+1)&lt;=0,0,'1. Inputs'!$B$27*('1. Inputs'!$B$5-'5. Diagnosing a miss'!$B$21)*MAX(0,$A42-'1. Inputs'!$C$27-'1. Inputs'!$B$30+1)^'1. Inputs'!$B$7/('1. Inputs'!$B$6^'1. Inputs'!$B$7+MAX(0,$A42-'1. Inputs'!$C$27-'1. Inputs'!$B$30+1)^'1. Inputs'!$B$7)*('1. Inputs'!$B$9+'1. Inputs'!$B$10*MAX(0,$A42-'1. Inputs'!$C$27-'1. Inputs'!$B$30+1)/(MAX(0,$A42-'1. Inputs'!$C$27-'1. Inputs'!$B$30+1)+'1. Inputs'!$B$11))*'1. Inputs'!$B$13*(1+'1. Inputs'!$B$14*MIN(MAX(0,$A42-'1. Inputs'!$C$27-'1. Inputs'!$B$30+1),'1. Inputs'!$B$15))*'1. Inputs'!$B$31)</f>
        <v>1289054.28151498</v>
      </c>
      <c r="O42" s="22" t="n">
        <f aca="false">SUM(K42:N42)</f>
        <v>11005022.7171855</v>
      </c>
      <c r="P42" s="22" t="n">
        <f aca="false">IF($A42=MAX('1. Inputs'!$B$17,1),'1. Inputs'!$B$3,0)+IF($A42-'1. Inputs'!$B$17&gt;=1,INDEX(O$3:O$86,$A42-'1. Inputs'!$B$17),0)</f>
        <v>8428219.84381592</v>
      </c>
      <c r="Q42" s="22" t="n">
        <f aca="false">Q41*(1-'1. Inputs'!$B$18)+P42</f>
        <v>186138890.616549</v>
      </c>
      <c r="R42" s="22" t="n">
        <f aca="false">Q42*'1. Inputs'!$B$18</f>
        <v>1861388.90616549</v>
      </c>
      <c r="S42" s="22" t="n">
        <f aca="false">S41+O42-R42</f>
        <v>305489125.213334</v>
      </c>
      <c r="T42" s="22" t="n">
        <f aca="false">IF(MAX(0,$A42-'1. Inputs'!$C$24-'1. Inputs'!$B$30+1)&lt;=0,0,'1. Inputs'!$B$24*'1. Inputs'!$B$5*MAX(0,$A42-'1. Inputs'!$C$24-'1. Inputs'!$B$30+1)^'1. Inputs'!$B$7/('1. Inputs'!$B$6^'1. Inputs'!$B$7+MAX(0,$A42-'1. Inputs'!$C$24-'1. Inputs'!$B$30+1)^'1. Inputs'!$B$7)*('1. Inputs'!$B$9+'1. Inputs'!$B$10*MAX(0,$A42-'1. Inputs'!$C$24-'1. Inputs'!$B$30+1)/(MAX(0,$A42-'1. Inputs'!$C$24-'1. Inputs'!$B$30+1)+'1. Inputs'!$B$11))*'1. Inputs'!$B$13*(1+'1. Inputs'!$B$14*MIN(MAX(0,$A42-'1. Inputs'!$C$24-'1. Inputs'!$B$30+1),'1. Inputs'!$B$15))*('1. Inputs'!$B$31*'5. Diagnosing a miss'!$B$22))</f>
        <v>3493596.25105901</v>
      </c>
      <c r="U42" s="22" t="n">
        <f aca="false">IF(MAX(0,$A42-'1. Inputs'!$C$25-'1. Inputs'!$B$30+1)&lt;=0,0,'1. Inputs'!$B$25*'1. Inputs'!$B$5*MAX(0,$A42-'1. Inputs'!$C$25-'1. Inputs'!$B$30+1)^'1. Inputs'!$B$7/('1. Inputs'!$B$6^'1. Inputs'!$B$7+MAX(0,$A42-'1. Inputs'!$C$25-'1. Inputs'!$B$30+1)^'1. Inputs'!$B$7)*('1. Inputs'!$B$9+'1. Inputs'!$B$10*MAX(0,$A42-'1. Inputs'!$C$25-'1. Inputs'!$B$30+1)/(MAX(0,$A42-'1. Inputs'!$C$25-'1. Inputs'!$B$30+1)+'1. Inputs'!$B$11))*'1. Inputs'!$B$13*(1+'1. Inputs'!$B$14*MIN(MAX(0,$A42-'1. Inputs'!$C$25-'1. Inputs'!$B$30+1),'1. Inputs'!$B$15))*('1. Inputs'!$B$31*'5. Diagnosing a miss'!$B$22))</f>
        <v>4488739.46238612</v>
      </c>
      <c r="V42" s="22" t="n">
        <f aca="false">IF(MAX(0,$A42-'1. Inputs'!$C$26-'1. Inputs'!$B$30+1)&lt;=0,0,'1. Inputs'!$B$26*'1. Inputs'!$B$5*MAX(0,$A42-'1. Inputs'!$C$26-'1. Inputs'!$B$30+1)^'1. Inputs'!$B$7/('1. Inputs'!$B$6^'1. Inputs'!$B$7+MAX(0,$A42-'1. Inputs'!$C$26-'1. Inputs'!$B$30+1)^'1. Inputs'!$B$7)*('1. Inputs'!$B$9+'1. Inputs'!$B$10*MAX(0,$A42-'1. Inputs'!$C$26-'1. Inputs'!$B$30+1)/(MAX(0,$A42-'1. Inputs'!$C$26-'1. Inputs'!$B$30+1)+'1. Inputs'!$B$11))*'1. Inputs'!$B$13*(1+'1. Inputs'!$B$14*MIN(MAX(0,$A42-'1. Inputs'!$C$26-'1. Inputs'!$B$30+1),'1. Inputs'!$B$15))*('1. Inputs'!$B$31*'5. Diagnosing a miss'!$B$22))</f>
        <v>1855082.32767123</v>
      </c>
      <c r="W42" s="22" t="n">
        <f aca="false">IF(MAX(0,$A42-'1. Inputs'!$C$27-'1. Inputs'!$B$30+1)&lt;=0,0,'1. Inputs'!$B$27*'1. Inputs'!$B$5*MAX(0,$A42-'1. Inputs'!$C$27-'1. Inputs'!$B$30+1)^'1. Inputs'!$B$7/('1. Inputs'!$B$6^'1. Inputs'!$B$7+MAX(0,$A42-'1. Inputs'!$C$27-'1. Inputs'!$B$30+1)^'1. Inputs'!$B$7)*('1. Inputs'!$B$9+'1. Inputs'!$B$10*MAX(0,$A42-'1. Inputs'!$C$27-'1. Inputs'!$B$30+1)/(MAX(0,$A42-'1. Inputs'!$C$27-'1. Inputs'!$B$30+1)+'1. Inputs'!$B$11))*'1. Inputs'!$B$13*(1+'1. Inputs'!$B$14*MIN(MAX(0,$A42-'1. Inputs'!$C$27-'1. Inputs'!$B$30+1),'1. Inputs'!$B$15))*('1. Inputs'!$B$31*'5. Diagnosing a miss'!$B$22))</f>
        <v>1305167.46003392</v>
      </c>
      <c r="X42" s="22" t="n">
        <f aca="false">SUM(T42:W42)</f>
        <v>11142585.5011503</v>
      </c>
      <c r="Y42" s="22" t="n">
        <f aca="false">IF($A42=MAX('1. Inputs'!$B$17,1),'1. Inputs'!$B$3,0)+IF($A42-'1. Inputs'!$B$17&gt;=1,INDEX(X$3:X$86,$A42-'1. Inputs'!$B$17),0)</f>
        <v>8533572.59186362</v>
      </c>
      <c r="Z42" s="22" t="n">
        <f aca="false">Z41*(1-'1. Inputs'!$B$18)+Y42</f>
        <v>187050528.085749</v>
      </c>
      <c r="AA42" s="22" t="n">
        <f aca="false">Z42*'1. Inputs'!$B$18</f>
        <v>1870505.28085749</v>
      </c>
      <c r="AB42" s="22" t="n">
        <f aca="false">AB41+X42-AA42</f>
        <v>307906791.601629</v>
      </c>
      <c r="AC42" s="22" t="n">
        <f aca="false">IF(MAX(0,$A42-'1. Inputs'!$C$24-('1. Inputs'!$B$30+'5. Diagnosing a miss'!$B$23)+1)&lt;=0,0,'1. Inputs'!$B$24*'1. Inputs'!$B$5*MAX(0,$A42-'1. Inputs'!$C$24-('1. Inputs'!$B$30+'5. Diagnosing a miss'!$B$23)+1)^'1. Inputs'!$B$7/('1. Inputs'!$B$6^'1. Inputs'!$B$7+MAX(0,$A42-'1. Inputs'!$C$24-('1. Inputs'!$B$30+'5. Diagnosing a miss'!$B$23)+1)^'1. Inputs'!$B$7)*('1. Inputs'!$B$9+'1. Inputs'!$B$10*MAX(0,$A42-'1. Inputs'!$C$24-('1. Inputs'!$B$30+'5. Diagnosing a miss'!$B$23)+1)/(MAX(0,$A42-'1. Inputs'!$C$24-('1. Inputs'!$B$30+'5. Diagnosing a miss'!$B$23)+1)+'1. Inputs'!$B$11))*'1. Inputs'!$B$13*(1+'1. Inputs'!$B$14*MIN(MAX(0,$A42-'1. Inputs'!$C$24-('1. Inputs'!$B$30+'5. Diagnosing a miss'!$B$23)+1),'1. Inputs'!$B$15))*'1. Inputs'!$B$31)</f>
        <v>3803194.61492971</v>
      </c>
      <c r="AD42" s="22" t="n">
        <f aca="false">IF(MAX(0,$A42-'1. Inputs'!$C$25-('1. Inputs'!$B$30+'5. Diagnosing a miss'!$B$23)+1)&lt;=0,0,'1. Inputs'!$B$25*'1. Inputs'!$B$5*MAX(0,$A42-'1. Inputs'!$C$25-('1. Inputs'!$B$30+'5. Diagnosing a miss'!$B$23)+1)^'1. Inputs'!$B$7/('1. Inputs'!$B$6^'1. Inputs'!$B$7+MAX(0,$A42-'1. Inputs'!$C$25-('1. Inputs'!$B$30+'5. Diagnosing a miss'!$B$23)+1)^'1. Inputs'!$B$7)*('1. Inputs'!$B$9+'1. Inputs'!$B$10*MAX(0,$A42-'1. Inputs'!$C$25-('1. Inputs'!$B$30+'5. Diagnosing a miss'!$B$23)+1)/(MAX(0,$A42-'1. Inputs'!$C$25-('1. Inputs'!$B$30+'5. Diagnosing a miss'!$B$23)+1)+'1. Inputs'!$B$11))*'1. Inputs'!$B$13*(1+'1. Inputs'!$B$14*MIN(MAX(0,$A42-'1. Inputs'!$C$25-('1. Inputs'!$B$30+'5. Diagnosing a miss'!$B$23)+1),'1. Inputs'!$B$15))*'1. Inputs'!$B$31)</f>
        <v>4835566.41479525</v>
      </c>
      <c r="AE42" s="22" t="n">
        <f aca="false">IF(MAX(0,$A42-'1. Inputs'!$C$26-('1. Inputs'!$B$30+'5. Diagnosing a miss'!$B$23)+1)&lt;=0,0,'1. Inputs'!$B$26*'1. Inputs'!$B$5*MAX(0,$A42-'1. Inputs'!$C$26-('1. Inputs'!$B$30+'5. Diagnosing a miss'!$B$23)+1)^'1. Inputs'!$B$7/('1. Inputs'!$B$6^'1. Inputs'!$B$7+MAX(0,$A42-'1. Inputs'!$C$26-('1. Inputs'!$B$30+'5. Diagnosing a miss'!$B$23)+1)^'1. Inputs'!$B$7)*('1. Inputs'!$B$9+'1. Inputs'!$B$10*MAX(0,$A42-'1. Inputs'!$C$26-('1. Inputs'!$B$30+'5. Diagnosing a miss'!$B$23)+1)/(MAX(0,$A42-'1. Inputs'!$C$26-('1. Inputs'!$B$30+'5. Diagnosing a miss'!$B$23)+1)+'1. Inputs'!$B$11))*'1. Inputs'!$B$13*(1+'1. Inputs'!$B$14*MIN(MAX(0,$A42-'1. Inputs'!$C$26-('1. Inputs'!$B$30+'5. Diagnosing a miss'!$B$23)+1),'1. Inputs'!$B$15))*'1. Inputs'!$B$31)</f>
        <v>1959216</v>
      </c>
      <c r="AF42" s="22" t="n">
        <f aca="false">IF(MAX(0,$A42-'1. Inputs'!$C$27-('1. Inputs'!$B$30+'5. Diagnosing a miss'!$B$23)+1)&lt;=0,0,'1. Inputs'!$B$27*'1. Inputs'!$B$5*MAX(0,$A42-'1. Inputs'!$C$27-('1. Inputs'!$B$30+'5. Diagnosing a miss'!$B$23)+1)^'1. Inputs'!$B$7/('1. Inputs'!$B$6^'1. Inputs'!$B$7+MAX(0,$A42-'1. Inputs'!$C$27-('1. Inputs'!$B$30+'5. Diagnosing a miss'!$B$23)+1)^'1. Inputs'!$B$7)*('1. Inputs'!$B$9+'1. Inputs'!$B$10*MAX(0,$A42-'1. Inputs'!$C$27-('1. Inputs'!$B$30+'5. Diagnosing a miss'!$B$23)+1)/(MAX(0,$A42-'1. Inputs'!$C$27-('1. Inputs'!$B$30+'5. Diagnosing a miss'!$B$23)+1)+'1. Inputs'!$B$11))*'1. Inputs'!$B$13*(1+'1. Inputs'!$B$14*MIN(MAX(0,$A42-'1. Inputs'!$C$27-('1. Inputs'!$B$30+'5. Diagnosing a miss'!$B$23)+1),'1. Inputs'!$B$15))*'1. Inputs'!$B$31)</f>
        <v>1370222.29329922</v>
      </c>
      <c r="AG42" s="22" t="n">
        <f aca="false">SUM(AC42:AF42)</f>
        <v>11968199.3230242</v>
      </c>
      <c r="AH42" s="22" t="n">
        <f aca="false">IF($A42=MAX('1. Inputs'!$B$17,1),'1. Inputs'!$B$3,0)+IF($A42-'1. Inputs'!$B$17&gt;=1,INDEX(AG$3:AG$86,$A42-'1. Inputs'!$B$17),0)</f>
        <v>8009623.78170508</v>
      </c>
      <c r="AI42" s="22" t="n">
        <f aca="false">AI41*(1-'1. Inputs'!$B$18)+AH42</f>
        <v>170175095.8303</v>
      </c>
      <c r="AJ42" s="22" t="n">
        <f aca="false">AI42*'1. Inputs'!$B$18</f>
        <v>1701750.958303</v>
      </c>
      <c r="AK42" s="22" t="n">
        <f aca="false">AK41+AG42-AJ42</f>
        <v>295116095.951614</v>
      </c>
    </row>
    <row r="43" customFormat="false" ht="15" hidden="false" customHeight="false" outlineLevel="0" collapsed="false">
      <c r="A43" s="7" t="n">
        <v>41</v>
      </c>
      <c r="B43" s="22" t="n">
        <f aca="false">IF(MAX(0,$A43-'1. Inputs'!$C$24-'1. Inputs'!$B$30+1)&lt;=0,0,'1. Inputs'!$B$24*'1. Inputs'!$B$5*MAX(0,$A43-'1. Inputs'!$C$24-'1. Inputs'!$B$30+1)^'1. Inputs'!$B$7/('1. Inputs'!$B$6^'1. Inputs'!$B$7+MAX(0,$A43-'1. Inputs'!$C$24-'1. Inputs'!$B$30+1)^'1. Inputs'!$B$7)*('1. Inputs'!$B$9+'1. Inputs'!$B$10*MAX(0,$A43-'1. Inputs'!$C$24-'1. Inputs'!$B$30+1)/(MAX(0,$A43-'1. Inputs'!$C$24-'1. Inputs'!$B$30+1)+'1. Inputs'!$B$11))*'1. Inputs'!$B$13*(1+'1. Inputs'!$B$14*MIN(MAX(0,$A43-'1. Inputs'!$C$24-'1. Inputs'!$B$30+1),'1. Inputs'!$B$15))*'1. Inputs'!$B$31)</f>
        <v>3904611.66100176</v>
      </c>
      <c r="C43" s="22" t="n">
        <f aca="false">IF(MAX(0,$A43-'1. Inputs'!$C$25-'1. Inputs'!$B$30+1)&lt;=0,0,'1. Inputs'!$B$25*'1. Inputs'!$B$5*MAX(0,$A43-'1. Inputs'!$C$25-'1. Inputs'!$B$30+1)^'1. Inputs'!$B$7/('1. Inputs'!$B$6^'1. Inputs'!$B$7+MAX(0,$A43-'1. Inputs'!$C$25-'1. Inputs'!$B$30+1)^'1. Inputs'!$B$7)*('1. Inputs'!$B$9+'1. Inputs'!$B$10*MAX(0,$A43-'1. Inputs'!$C$25-'1. Inputs'!$B$30+1)/(MAX(0,$A43-'1. Inputs'!$C$25-'1. Inputs'!$B$30+1)+'1. Inputs'!$B$11))*'1. Inputs'!$B$13*(1+'1. Inputs'!$B$14*MIN(MAX(0,$A43-'1. Inputs'!$C$25-'1. Inputs'!$B$30+1),'1. Inputs'!$B$15))*'1. Inputs'!$B$31)</f>
        <v>5030752.29357798</v>
      </c>
      <c r="D43" s="22" t="n">
        <f aca="false">IF(MAX(0,$A43-'1. Inputs'!$C$26-'1. Inputs'!$B$30+1)&lt;=0,0,'1. Inputs'!$B$26*'1. Inputs'!$B$5*MAX(0,$A43-'1. Inputs'!$C$26-'1. Inputs'!$B$30+1)^'1. Inputs'!$B$7/('1. Inputs'!$B$6^'1. Inputs'!$B$7+MAX(0,$A43-'1. Inputs'!$C$26-'1. Inputs'!$B$30+1)^'1. Inputs'!$B$7)*('1. Inputs'!$B$9+'1. Inputs'!$B$10*MAX(0,$A43-'1. Inputs'!$C$26-'1. Inputs'!$B$30+1)/(MAX(0,$A43-'1. Inputs'!$C$26-'1. Inputs'!$B$30+1)+'1. Inputs'!$B$11))*'1. Inputs'!$B$13*(1+'1. Inputs'!$B$14*MIN(MAX(0,$A43-'1. Inputs'!$C$26-'1. Inputs'!$B$30+1),'1. Inputs'!$B$15))*'1. Inputs'!$B$31)</f>
        <v>2089541.25925249</v>
      </c>
      <c r="E43" s="22" t="n">
        <f aca="false">IF(MAX(0,$A43-'1. Inputs'!$C$27-'1. Inputs'!$B$30+1)&lt;=0,0,'1. Inputs'!$B$27*'1. Inputs'!$B$5*MAX(0,$A43-'1. Inputs'!$C$27-'1. Inputs'!$B$30+1)^'1. Inputs'!$B$7/('1. Inputs'!$B$6^'1. Inputs'!$B$7+MAX(0,$A43-'1. Inputs'!$C$27-'1. Inputs'!$B$30+1)^'1. Inputs'!$B$7)*('1. Inputs'!$B$9+'1. Inputs'!$B$10*MAX(0,$A43-'1. Inputs'!$C$27-'1. Inputs'!$B$30+1)/(MAX(0,$A43-'1. Inputs'!$C$27-'1. Inputs'!$B$30+1)+'1. Inputs'!$B$11))*'1. Inputs'!$B$13*(1+'1. Inputs'!$B$14*MIN(MAX(0,$A43-'1. Inputs'!$C$27-'1. Inputs'!$B$30+1),'1. Inputs'!$B$15))*'1. Inputs'!$B$31)</f>
        <v>1472287.56164384</v>
      </c>
      <c r="F43" s="22" t="n">
        <f aca="false">SUM(B43:E43)</f>
        <v>12497192.7754761</v>
      </c>
      <c r="G43" s="22" t="n">
        <f aca="false">IF($A43=MAX('1. Inputs'!$B$17,1),'1. Inputs'!$B$3,0)+IF($A43-'1. Inputs'!$B$17&gt;=1,INDEX(F$3:F$86,$A43-'1. Inputs'!$B$17),0)</f>
        <v>9915934.17440624</v>
      </c>
      <c r="H43" s="22" t="n">
        <f aca="false">H42*(1-'1. Inputs'!$B$18)+G43</f>
        <v>203218646.82987</v>
      </c>
      <c r="I43" s="22" t="n">
        <f aca="false">H43*'1. Inputs'!$B$18</f>
        <v>2032186.4682987</v>
      </c>
      <c r="J43" s="22" t="n">
        <f aca="false">J42+F43-I43</f>
        <v>340130795.40346</v>
      </c>
      <c r="K43" s="22" t="n">
        <f aca="false">IF(MAX(0,$A43-'1. Inputs'!$C$24-'1. Inputs'!$B$30+1)&lt;=0,0,'1. Inputs'!$B$24*('1. Inputs'!$B$5-'5. Diagnosing a miss'!$B$21)*MAX(0,$A43-'1. Inputs'!$C$24-'1. Inputs'!$B$30+1)^'1. Inputs'!$B$7/('1. Inputs'!$B$6^'1. Inputs'!$B$7+MAX(0,$A43-'1. Inputs'!$C$24-'1. Inputs'!$B$30+1)^'1. Inputs'!$B$7)*('1. Inputs'!$B$9+'1. Inputs'!$B$10*MAX(0,$A43-'1. Inputs'!$C$24-'1. Inputs'!$B$30+1)/(MAX(0,$A43-'1. Inputs'!$C$24-'1. Inputs'!$B$30+1)+'1. Inputs'!$B$11))*'1. Inputs'!$B$13*(1+'1. Inputs'!$B$14*MIN(MAX(0,$A43-'1. Inputs'!$C$24-'1. Inputs'!$B$30+1),'1. Inputs'!$B$15))*'1. Inputs'!$B$31)</f>
        <v>3470765.92089045</v>
      </c>
      <c r="L43" s="22" t="n">
        <f aca="false">IF(MAX(0,$A43-'1. Inputs'!$C$25-'1. Inputs'!$B$30+1)&lt;=0,0,'1. Inputs'!$B$25*('1. Inputs'!$B$5-'5. Diagnosing a miss'!$B$21)*MAX(0,$A43-'1. Inputs'!$C$25-'1. Inputs'!$B$30+1)^'1. Inputs'!$B$7/('1. Inputs'!$B$6^'1. Inputs'!$B$7+MAX(0,$A43-'1. Inputs'!$C$25-'1. Inputs'!$B$30+1)^'1. Inputs'!$B$7)*('1. Inputs'!$B$9+'1. Inputs'!$B$10*MAX(0,$A43-'1. Inputs'!$C$25-'1. Inputs'!$B$30+1)/(MAX(0,$A43-'1. Inputs'!$C$25-'1. Inputs'!$B$30+1)+'1. Inputs'!$B$11))*'1. Inputs'!$B$13*(1+'1. Inputs'!$B$14*MIN(MAX(0,$A43-'1. Inputs'!$C$25-'1. Inputs'!$B$30+1),'1. Inputs'!$B$15))*'1. Inputs'!$B$31)</f>
        <v>4471779.81651376</v>
      </c>
      <c r="M43" s="22" t="n">
        <f aca="false">IF(MAX(0,$A43-'1. Inputs'!$C$26-'1. Inputs'!$B$30+1)&lt;=0,0,'1. Inputs'!$B$26*('1. Inputs'!$B$5-'5. Diagnosing a miss'!$B$21)*MAX(0,$A43-'1. Inputs'!$C$26-'1. Inputs'!$B$30+1)^'1. Inputs'!$B$7/('1. Inputs'!$B$6^'1. Inputs'!$B$7+MAX(0,$A43-'1. Inputs'!$C$26-'1. Inputs'!$B$30+1)^'1. Inputs'!$B$7)*('1. Inputs'!$B$9+'1. Inputs'!$B$10*MAX(0,$A43-'1. Inputs'!$C$26-'1. Inputs'!$B$30+1)/(MAX(0,$A43-'1. Inputs'!$C$26-'1. Inputs'!$B$30+1)+'1. Inputs'!$B$11))*'1. Inputs'!$B$13*(1+'1. Inputs'!$B$14*MIN(MAX(0,$A43-'1. Inputs'!$C$26-'1. Inputs'!$B$30+1),'1. Inputs'!$B$15))*'1. Inputs'!$B$31)</f>
        <v>1857370.00822444</v>
      </c>
      <c r="N43" s="22" t="n">
        <f aca="false">IF(MAX(0,$A43-'1. Inputs'!$C$27-'1. Inputs'!$B$30+1)&lt;=0,0,'1. Inputs'!$B$27*('1. Inputs'!$B$5-'5. Diagnosing a miss'!$B$21)*MAX(0,$A43-'1. Inputs'!$C$27-'1. Inputs'!$B$30+1)^'1. Inputs'!$B$7/('1. Inputs'!$B$6^'1. Inputs'!$B$7+MAX(0,$A43-'1. Inputs'!$C$27-'1. Inputs'!$B$30+1)^'1. Inputs'!$B$7)*('1. Inputs'!$B$9+'1. Inputs'!$B$10*MAX(0,$A43-'1. Inputs'!$C$27-'1. Inputs'!$B$30+1)/(MAX(0,$A43-'1. Inputs'!$C$27-'1. Inputs'!$B$30+1)+'1. Inputs'!$B$11))*'1. Inputs'!$B$13*(1+'1. Inputs'!$B$14*MIN(MAX(0,$A43-'1. Inputs'!$C$27-'1. Inputs'!$B$30+1),'1. Inputs'!$B$15))*'1. Inputs'!$B$31)</f>
        <v>1308700.05479452</v>
      </c>
      <c r="O43" s="22" t="n">
        <f aca="false">SUM(K43:N43)</f>
        <v>11108615.8004232</v>
      </c>
      <c r="P43" s="22" t="n">
        <f aca="false">IF($A43=MAX('1. Inputs'!$B$17,1),'1. Inputs'!$B$3,0)+IF($A43-'1. Inputs'!$B$17&gt;=1,INDEX(O$3:O$86,$A43-'1. Inputs'!$B$17),0)</f>
        <v>8814163.71058332</v>
      </c>
      <c r="Q43" s="22" t="n">
        <f aca="false">Q42*(1-'1. Inputs'!$B$18)+P43</f>
        <v>193091665.420967</v>
      </c>
      <c r="R43" s="22" t="n">
        <f aca="false">Q43*'1. Inputs'!$B$18</f>
        <v>1930916.65420967</v>
      </c>
      <c r="S43" s="22" t="n">
        <f aca="false">S42+O43-R43</f>
        <v>314666824.359547</v>
      </c>
      <c r="T43" s="22" t="n">
        <f aca="false">IF(MAX(0,$A43-'1. Inputs'!$C$24-'1. Inputs'!$B$30+1)&lt;=0,0,'1. Inputs'!$B$24*'1. Inputs'!$B$5*MAX(0,$A43-'1. Inputs'!$C$24-'1. Inputs'!$B$30+1)^'1. Inputs'!$B$7/('1. Inputs'!$B$6^'1. Inputs'!$B$7+MAX(0,$A43-'1. Inputs'!$C$24-'1. Inputs'!$B$30+1)^'1. Inputs'!$B$7)*('1. Inputs'!$B$9+'1. Inputs'!$B$10*MAX(0,$A43-'1. Inputs'!$C$24-'1. Inputs'!$B$30+1)/(MAX(0,$A43-'1. Inputs'!$C$24-'1. Inputs'!$B$30+1)+'1. Inputs'!$B$11))*'1. Inputs'!$B$13*(1+'1. Inputs'!$B$14*MIN(MAX(0,$A43-'1. Inputs'!$C$24-'1. Inputs'!$B$30+1),'1. Inputs'!$B$15))*('1. Inputs'!$B$31*'5. Diagnosing a miss'!$B$22))</f>
        <v>3514150.49490158</v>
      </c>
      <c r="U43" s="22" t="n">
        <f aca="false">IF(MAX(0,$A43-'1. Inputs'!$C$25-'1. Inputs'!$B$30+1)&lt;=0,0,'1. Inputs'!$B$25*'1. Inputs'!$B$5*MAX(0,$A43-'1. Inputs'!$C$25-'1. Inputs'!$B$30+1)^'1. Inputs'!$B$7/('1. Inputs'!$B$6^'1. Inputs'!$B$7+MAX(0,$A43-'1. Inputs'!$C$25-'1. Inputs'!$B$30+1)^'1. Inputs'!$B$7)*('1. Inputs'!$B$9+'1. Inputs'!$B$10*MAX(0,$A43-'1. Inputs'!$C$25-'1. Inputs'!$B$30+1)/(MAX(0,$A43-'1. Inputs'!$C$25-'1. Inputs'!$B$30+1)+'1. Inputs'!$B$11))*'1. Inputs'!$B$13*(1+'1. Inputs'!$B$14*MIN(MAX(0,$A43-'1. Inputs'!$C$25-'1. Inputs'!$B$30+1),'1. Inputs'!$B$15))*('1. Inputs'!$B$31*'5. Diagnosing a miss'!$B$22))</f>
        <v>4527677.06422018</v>
      </c>
      <c r="V43" s="22" t="n">
        <f aca="false">IF(MAX(0,$A43-'1. Inputs'!$C$26-'1. Inputs'!$B$30+1)&lt;=0,0,'1. Inputs'!$B$26*'1. Inputs'!$B$5*MAX(0,$A43-'1. Inputs'!$C$26-'1. Inputs'!$B$30+1)^'1. Inputs'!$B$7/('1. Inputs'!$B$6^'1. Inputs'!$B$7+MAX(0,$A43-'1. Inputs'!$C$26-'1. Inputs'!$B$30+1)^'1. Inputs'!$B$7)*('1. Inputs'!$B$9+'1. Inputs'!$B$10*MAX(0,$A43-'1. Inputs'!$C$26-'1. Inputs'!$B$30+1)/(MAX(0,$A43-'1. Inputs'!$C$26-'1. Inputs'!$B$30+1)+'1. Inputs'!$B$11))*'1. Inputs'!$B$13*(1+'1. Inputs'!$B$14*MIN(MAX(0,$A43-'1. Inputs'!$C$26-'1. Inputs'!$B$30+1),'1. Inputs'!$B$15))*('1. Inputs'!$B$31*'5. Diagnosing a miss'!$B$22))</f>
        <v>1880587.13332724</v>
      </c>
      <c r="W43" s="22" t="n">
        <f aca="false">IF(MAX(0,$A43-'1. Inputs'!$C$27-'1. Inputs'!$B$30+1)&lt;=0,0,'1. Inputs'!$B$27*'1. Inputs'!$B$5*MAX(0,$A43-'1. Inputs'!$C$27-'1. Inputs'!$B$30+1)^'1. Inputs'!$B$7/('1. Inputs'!$B$6^'1. Inputs'!$B$7+MAX(0,$A43-'1. Inputs'!$C$27-'1. Inputs'!$B$30+1)^'1. Inputs'!$B$7)*('1. Inputs'!$B$9+'1. Inputs'!$B$10*MAX(0,$A43-'1. Inputs'!$C$27-'1. Inputs'!$B$30+1)/(MAX(0,$A43-'1. Inputs'!$C$27-'1. Inputs'!$B$30+1)+'1. Inputs'!$B$11))*'1. Inputs'!$B$13*(1+'1. Inputs'!$B$14*MIN(MAX(0,$A43-'1. Inputs'!$C$27-'1. Inputs'!$B$30+1),'1. Inputs'!$B$15))*('1. Inputs'!$B$31*'5. Diagnosing a miss'!$B$22))</f>
        <v>1325058.80547945</v>
      </c>
      <c r="X43" s="22" t="n">
        <f aca="false">SUM(T43:W43)</f>
        <v>11247473.4979285</v>
      </c>
      <c r="Y43" s="22" t="n">
        <f aca="false">IF($A43=MAX('1. Inputs'!$B$17,1),'1. Inputs'!$B$3,0)+IF($A43-'1. Inputs'!$B$17&gt;=1,INDEX(X$3:X$86,$A43-'1. Inputs'!$B$17),0)</f>
        <v>8924340.75696561</v>
      </c>
      <c r="Z43" s="22" t="n">
        <f aca="false">Z42*(1-'1. Inputs'!$B$18)+Y43</f>
        <v>194104363.561857</v>
      </c>
      <c r="AA43" s="22" t="n">
        <f aca="false">Z43*'1. Inputs'!$B$18</f>
        <v>1941043.63561857</v>
      </c>
      <c r="AB43" s="22" t="n">
        <f aca="false">AB42+X43-AA43</f>
        <v>317213221.463938</v>
      </c>
      <c r="AC43" s="22" t="n">
        <f aca="false">IF(MAX(0,$A43-'1. Inputs'!$C$24-('1. Inputs'!$B$30+'5. Diagnosing a miss'!$B$23)+1)&lt;=0,0,'1. Inputs'!$B$24*'1. Inputs'!$B$5*MAX(0,$A43-'1. Inputs'!$C$24-('1. Inputs'!$B$30+'5. Diagnosing a miss'!$B$23)+1)^'1. Inputs'!$B$7/('1. Inputs'!$B$6^'1. Inputs'!$B$7+MAX(0,$A43-'1. Inputs'!$C$24-('1. Inputs'!$B$30+'5. Diagnosing a miss'!$B$23)+1)^'1. Inputs'!$B$7)*('1. Inputs'!$B$9+'1. Inputs'!$B$10*MAX(0,$A43-'1. Inputs'!$C$24-('1. Inputs'!$B$30+'5. Diagnosing a miss'!$B$23)+1)/(MAX(0,$A43-'1. Inputs'!$C$24-('1. Inputs'!$B$30+'5. Diagnosing a miss'!$B$23)+1)+'1. Inputs'!$B$11))*'1. Inputs'!$B$13*(1+'1. Inputs'!$B$14*MIN(MAX(0,$A43-'1. Inputs'!$C$24-('1. Inputs'!$B$30+'5. Diagnosing a miss'!$B$23)+1),'1. Inputs'!$B$15))*'1. Inputs'!$B$31)</f>
        <v>3831229.2534413</v>
      </c>
      <c r="AD43" s="22" t="n">
        <f aca="false">IF(MAX(0,$A43-'1. Inputs'!$C$25-('1. Inputs'!$B$30+'5. Diagnosing a miss'!$B$23)+1)&lt;=0,0,'1. Inputs'!$B$25*'1. Inputs'!$B$5*MAX(0,$A43-'1. Inputs'!$C$25-('1. Inputs'!$B$30+'5. Diagnosing a miss'!$B$23)+1)^'1. Inputs'!$B$7/('1. Inputs'!$B$6^'1. Inputs'!$B$7+MAX(0,$A43-'1. Inputs'!$C$25-('1. Inputs'!$B$30+'5. Diagnosing a miss'!$B$23)+1)^'1. Inputs'!$B$7)*('1. Inputs'!$B$9+'1. Inputs'!$B$10*MAX(0,$A43-'1. Inputs'!$C$25-('1. Inputs'!$B$30+'5. Diagnosing a miss'!$B$23)+1)/(MAX(0,$A43-'1. Inputs'!$C$25-('1. Inputs'!$B$30+'5. Diagnosing a miss'!$B$23)+1)+'1. Inputs'!$B$11))*'1. Inputs'!$B$13*(1+'1. Inputs'!$B$14*MIN(MAX(0,$A43-'1. Inputs'!$C$25-('1. Inputs'!$B$30+'5. Diagnosing a miss'!$B$23)+1),'1. Inputs'!$B$15))*'1. Inputs'!$B$31)</f>
        <v>4890302.83636364</v>
      </c>
      <c r="AE43" s="22" t="n">
        <f aca="false">IF(MAX(0,$A43-'1. Inputs'!$C$26-('1. Inputs'!$B$30+'5. Diagnosing a miss'!$B$23)+1)&lt;=0,0,'1. Inputs'!$B$26*'1. Inputs'!$B$5*MAX(0,$A43-'1. Inputs'!$C$26-('1. Inputs'!$B$30+'5. Diagnosing a miss'!$B$23)+1)^'1. Inputs'!$B$7/('1. Inputs'!$B$6^'1. Inputs'!$B$7+MAX(0,$A43-'1. Inputs'!$C$26-('1. Inputs'!$B$30+'5. Diagnosing a miss'!$B$23)+1)^'1. Inputs'!$B$7)*('1. Inputs'!$B$9+'1. Inputs'!$B$10*MAX(0,$A43-'1. Inputs'!$C$26-('1. Inputs'!$B$30+'5. Diagnosing a miss'!$B$23)+1)/(MAX(0,$A43-'1. Inputs'!$C$26-('1. Inputs'!$B$30+'5. Diagnosing a miss'!$B$23)+1)+'1. Inputs'!$B$11))*'1. Inputs'!$B$13*(1+'1. Inputs'!$B$14*MIN(MAX(0,$A43-'1. Inputs'!$C$26-('1. Inputs'!$B$30+'5. Diagnosing a miss'!$B$23)+1),'1. Inputs'!$B$15))*'1. Inputs'!$B$31)</f>
        <v>1996389.49380531</v>
      </c>
      <c r="AF43" s="22" t="n">
        <f aca="false">IF(MAX(0,$A43-'1. Inputs'!$C$27-('1. Inputs'!$B$30+'5. Diagnosing a miss'!$B$23)+1)&lt;=0,0,'1. Inputs'!$B$27*'1. Inputs'!$B$5*MAX(0,$A43-'1. Inputs'!$C$27-('1. Inputs'!$B$30+'5. Diagnosing a miss'!$B$23)+1)^'1. Inputs'!$B$7/('1. Inputs'!$B$6^'1. Inputs'!$B$7+MAX(0,$A43-'1. Inputs'!$C$27-('1. Inputs'!$B$30+'5. Diagnosing a miss'!$B$23)+1)^'1. Inputs'!$B$7)*('1. Inputs'!$B$9+'1. Inputs'!$B$10*MAX(0,$A43-'1. Inputs'!$C$27-('1. Inputs'!$B$30+'5. Diagnosing a miss'!$B$23)+1)/(MAX(0,$A43-'1. Inputs'!$C$27-('1. Inputs'!$B$30+'5. Diagnosing a miss'!$B$23)+1)+'1. Inputs'!$B$11))*'1. Inputs'!$B$13*(1+'1. Inputs'!$B$14*MIN(MAX(0,$A43-'1. Inputs'!$C$27-('1. Inputs'!$B$30+'5. Diagnosing a miss'!$B$23)+1),'1. Inputs'!$B$15))*'1. Inputs'!$B$31)</f>
        <v>1399440</v>
      </c>
      <c r="AG43" s="22" t="n">
        <f aca="false">SUM(AC43:AF43)</f>
        <v>12117361.5836102</v>
      </c>
      <c r="AH43" s="22" t="n">
        <f aca="false">IF($A43=MAX('1. Inputs'!$B$17,1),'1. Inputs'!$B$3,0)+IF($A43-'1. Inputs'!$B$17&gt;=1,INDEX(AG$3:AG$86,$A43-'1. Inputs'!$B$17),0)</f>
        <v>8529995.95045696</v>
      </c>
      <c r="AI43" s="22" t="n">
        <f aca="false">AI42*(1-'1. Inputs'!$B$18)+AH43</f>
        <v>177003340.822454</v>
      </c>
      <c r="AJ43" s="22" t="n">
        <f aca="false">AI43*'1. Inputs'!$B$18</f>
        <v>1770033.40822454</v>
      </c>
      <c r="AK43" s="22" t="n">
        <f aca="false">AK42+AG43-AJ43</f>
        <v>305463424.126999</v>
      </c>
    </row>
    <row r="44" customFormat="false" ht="15" hidden="false" customHeight="false" outlineLevel="0" collapsed="false">
      <c r="A44" s="7" t="n">
        <v>42</v>
      </c>
      <c r="B44" s="22" t="n">
        <f aca="false">IF(MAX(0,$A44-'1. Inputs'!$C$24-'1. Inputs'!$B$30+1)&lt;=0,0,'1. Inputs'!$B$24*'1. Inputs'!$B$5*MAX(0,$A44-'1. Inputs'!$C$24-'1. Inputs'!$B$30+1)^'1. Inputs'!$B$7/('1. Inputs'!$B$6^'1. Inputs'!$B$7+MAX(0,$A44-'1. Inputs'!$C$24-'1. Inputs'!$B$30+1)^'1. Inputs'!$B$7)*('1. Inputs'!$B$9+'1. Inputs'!$B$10*MAX(0,$A44-'1. Inputs'!$C$24-'1. Inputs'!$B$30+1)/(MAX(0,$A44-'1. Inputs'!$C$24-'1. Inputs'!$B$30+1)+'1. Inputs'!$B$11))*'1. Inputs'!$B$13*(1+'1. Inputs'!$B$14*MIN(MAX(0,$A44-'1. Inputs'!$C$24-'1. Inputs'!$B$30+1),'1. Inputs'!$B$15))*'1. Inputs'!$B$31)</f>
        <v>3926016</v>
      </c>
      <c r="C44" s="22" t="n">
        <f aca="false">IF(MAX(0,$A44-'1. Inputs'!$C$25-'1. Inputs'!$B$30+1)&lt;=0,0,'1. Inputs'!$B$25*'1. Inputs'!$B$5*MAX(0,$A44-'1. Inputs'!$C$25-'1. Inputs'!$B$30+1)^'1. Inputs'!$B$7/('1. Inputs'!$B$6^'1. Inputs'!$B$7+MAX(0,$A44-'1. Inputs'!$C$25-'1. Inputs'!$B$30+1)^'1. Inputs'!$B$7)*('1. Inputs'!$B$9+'1. Inputs'!$B$10*MAX(0,$A44-'1. Inputs'!$C$25-'1. Inputs'!$B$30+1)/(MAX(0,$A44-'1. Inputs'!$C$25-'1. Inputs'!$B$30+1)+'1. Inputs'!$B$11))*'1. Inputs'!$B$13*(1+'1. Inputs'!$B$14*MIN(MAX(0,$A44-'1. Inputs'!$C$25-'1. Inputs'!$B$30+1),'1. Inputs'!$B$15))*'1. Inputs'!$B$31)</f>
        <v>5070926.15323961</v>
      </c>
      <c r="D44" s="22" t="n">
        <f aca="false">IF(MAX(0,$A44-'1. Inputs'!$C$26-'1. Inputs'!$B$30+1)&lt;=0,0,'1. Inputs'!$B$26*'1. Inputs'!$B$5*MAX(0,$A44-'1. Inputs'!$C$26-'1. Inputs'!$B$30+1)^'1. Inputs'!$B$7/('1. Inputs'!$B$6^'1. Inputs'!$B$7+MAX(0,$A44-'1. Inputs'!$C$26-'1. Inputs'!$B$30+1)^'1. Inputs'!$B$7)*('1. Inputs'!$B$9+'1. Inputs'!$B$10*MAX(0,$A44-'1. Inputs'!$C$26-'1. Inputs'!$B$30+1)/(MAX(0,$A44-'1. Inputs'!$C$26-'1. Inputs'!$B$30+1)+'1. Inputs'!$B$11))*'1. Inputs'!$B$13*(1+'1. Inputs'!$B$14*MIN(MAX(0,$A44-'1. Inputs'!$C$26-'1. Inputs'!$B$30+1),'1. Inputs'!$B$15))*'1. Inputs'!$B$31)</f>
        <v>2115560.30647292</v>
      </c>
      <c r="E44" s="22" t="n">
        <f aca="false">IF(MAX(0,$A44-'1. Inputs'!$C$27-'1. Inputs'!$B$30+1)&lt;=0,0,'1. Inputs'!$B$27*'1. Inputs'!$B$5*MAX(0,$A44-'1. Inputs'!$C$27-'1. Inputs'!$B$30+1)^'1. Inputs'!$B$7/('1. Inputs'!$B$6^'1. Inputs'!$B$7+MAX(0,$A44-'1. Inputs'!$C$27-'1. Inputs'!$B$30+1)^'1. Inputs'!$B$7)*('1. Inputs'!$B$9+'1. Inputs'!$B$10*MAX(0,$A44-'1. Inputs'!$C$27-'1. Inputs'!$B$30+1)/(MAX(0,$A44-'1. Inputs'!$C$27-'1. Inputs'!$B$30+1)+'1. Inputs'!$B$11))*'1. Inputs'!$B$13*(1+'1. Inputs'!$B$14*MIN(MAX(0,$A44-'1. Inputs'!$C$27-'1. Inputs'!$B$30+1),'1. Inputs'!$B$15))*'1. Inputs'!$B$31)</f>
        <v>1492529.47089464</v>
      </c>
      <c r="F44" s="22" t="n">
        <f aca="false">SUM(B44:E44)</f>
        <v>12605031.9306072</v>
      </c>
      <c r="G44" s="22" t="n">
        <f aca="false">IF($A44=MAX('1. Inputs'!$B$17,1),'1. Inputs'!$B$3,0)+IF($A44-'1. Inputs'!$B$17&gt;=1,INDEX(F$3:F$86,$A44-'1. Inputs'!$B$17),0)</f>
        <v>10262094.0667327</v>
      </c>
      <c r="H44" s="22" t="n">
        <f aca="false">H43*(1-'1. Inputs'!$B$18)+G44</f>
        <v>211448554.428304</v>
      </c>
      <c r="I44" s="22" t="n">
        <f aca="false">H44*'1. Inputs'!$B$18</f>
        <v>2114485.54428304</v>
      </c>
      <c r="J44" s="22" t="n">
        <f aca="false">J43+F44-I44</f>
        <v>350621341.789784</v>
      </c>
      <c r="K44" s="22" t="n">
        <f aca="false">IF(MAX(0,$A44-'1. Inputs'!$C$24-'1. Inputs'!$B$30+1)&lt;=0,0,'1. Inputs'!$B$24*('1. Inputs'!$B$5-'5. Diagnosing a miss'!$B$21)*MAX(0,$A44-'1. Inputs'!$C$24-'1. Inputs'!$B$30+1)^'1. Inputs'!$B$7/('1. Inputs'!$B$6^'1. Inputs'!$B$7+MAX(0,$A44-'1. Inputs'!$C$24-'1. Inputs'!$B$30+1)^'1. Inputs'!$B$7)*('1. Inputs'!$B$9+'1. Inputs'!$B$10*MAX(0,$A44-'1. Inputs'!$C$24-'1. Inputs'!$B$30+1)/(MAX(0,$A44-'1. Inputs'!$C$24-'1. Inputs'!$B$30+1)+'1. Inputs'!$B$11))*'1. Inputs'!$B$13*(1+'1. Inputs'!$B$14*MIN(MAX(0,$A44-'1. Inputs'!$C$24-'1. Inputs'!$B$30+1),'1. Inputs'!$B$15))*'1. Inputs'!$B$31)</f>
        <v>3489792</v>
      </c>
      <c r="L44" s="22" t="n">
        <f aca="false">IF(MAX(0,$A44-'1. Inputs'!$C$25-'1. Inputs'!$B$30+1)&lt;=0,0,'1. Inputs'!$B$25*('1. Inputs'!$B$5-'5. Diagnosing a miss'!$B$21)*MAX(0,$A44-'1. Inputs'!$C$25-'1. Inputs'!$B$30+1)^'1. Inputs'!$B$7/('1. Inputs'!$B$6^'1. Inputs'!$B$7+MAX(0,$A44-'1. Inputs'!$C$25-'1. Inputs'!$B$30+1)^'1. Inputs'!$B$7)*('1. Inputs'!$B$9+'1. Inputs'!$B$10*MAX(0,$A44-'1. Inputs'!$C$25-'1. Inputs'!$B$30+1)/(MAX(0,$A44-'1. Inputs'!$C$25-'1. Inputs'!$B$30+1)+'1. Inputs'!$B$11))*'1. Inputs'!$B$13*(1+'1. Inputs'!$B$14*MIN(MAX(0,$A44-'1. Inputs'!$C$25-'1. Inputs'!$B$30+1),'1. Inputs'!$B$15))*'1. Inputs'!$B$31)</f>
        <v>4507489.91399077</v>
      </c>
      <c r="M44" s="22" t="n">
        <f aca="false">IF(MAX(0,$A44-'1. Inputs'!$C$26-'1. Inputs'!$B$30+1)&lt;=0,0,'1. Inputs'!$B$26*('1. Inputs'!$B$5-'5. Diagnosing a miss'!$B$21)*MAX(0,$A44-'1. Inputs'!$C$26-'1. Inputs'!$B$30+1)^'1. Inputs'!$B$7/('1. Inputs'!$B$6^'1. Inputs'!$B$7+MAX(0,$A44-'1. Inputs'!$C$26-'1. Inputs'!$B$30+1)^'1. Inputs'!$B$7)*('1. Inputs'!$B$9+'1. Inputs'!$B$10*MAX(0,$A44-'1. Inputs'!$C$26-'1. Inputs'!$B$30+1)/(MAX(0,$A44-'1. Inputs'!$C$26-'1. Inputs'!$B$30+1)+'1. Inputs'!$B$11))*'1. Inputs'!$B$13*(1+'1. Inputs'!$B$14*MIN(MAX(0,$A44-'1. Inputs'!$C$26-'1. Inputs'!$B$30+1),'1. Inputs'!$B$15))*'1. Inputs'!$B$31)</f>
        <v>1880498.05019815</v>
      </c>
      <c r="N44" s="22" t="n">
        <f aca="false">IF(MAX(0,$A44-'1. Inputs'!$C$27-'1. Inputs'!$B$30+1)&lt;=0,0,'1. Inputs'!$B$27*('1. Inputs'!$B$5-'5. Diagnosing a miss'!$B$21)*MAX(0,$A44-'1. Inputs'!$C$27-'1. Inputs'!$B$30+1)^'1. Inputs'!$B$7/('1. Inputs'!$B$6^'1. Inputs'!$B$7+MAX(0,$A44-'1. Inputs'!$C$27-'1. Inputs'!$B$30+1)^'1. Inputs'!$B$7)*('1. Inputs'!$B$9+'1. Inputs'!$B$10*MAX(0,$A44-'1. Inputs'!$C$27-'1. Inputs'!$B$30+1)/(MAX(0,$A44-'1. Inputs'!$C$27-'1. Inputs'!$B$30+1)+'1. Inputs'!$B$11))*'1. Inputs'!$B$13*(1+'1. Inputs'!$B$14*MIN(MAX(0,$A44-'1. Inputs'!$C$27-'1. Inputs'!$B$30+1),'1. Inputs'!$B$15))*'1. Inputs'!$B$31)</f>
        <v>1326692.86301745</v>
      </c>
      <c r="O44" s="22" t="n">
        <f aca="false">SUM(K44:N44)</f>
        <v>11204472.8272064</v>
      </c>
      <c r="P44" s="22" t="n">
        <f aca="false">IF($A44=MAX('1. Inputs'!$B$17,1),'1. Inputs'!$B$3,0)+IF($A44-'1. Inputs'!$B$17&gt;=1,INDEX(O$3:O$86,$A44-'1. Inputs'!$B$17),0)</f>
        <v>9121861.39265127</v>
      </c>
      <c r="Q44" s="22" t="n">
        <f aca="false">Q43*(1-'1. Inputs'!$B$18)+P44</f>
        <v>200282610.159408</v>
      </c>
      <c r="R44" s="22" t="n">
        <f aca="false">Q44*'1. Inputs'!$B$18</f>
        <v>2002826.10159408</v>
      </c>
      <c r="S44" s="22" t="n">
        <f aca="false">S43+O44-R44</f>
        <v>323868471.085159</v>
      </c>
      <c r="T44" s="22" t="n">
        <f aca="false">IF(MAX(0,$A44-'1. Inputs'!$C$24-'1. Inputs'!$B$30+1)&lt;=0,0,'1. Inputs'!$B$24*'1. Inputs'!$B$5*MAX(0,$A44-'1. Inputs'!$C$24-'1. Inputs'!$B$30+1)^'1. Inputs'!$B$7/('1. Inputs'!$B$6^'1. Inputs'!$B$7+MAX(0,$A44-'1. Inputs'!$C$24-'1. Inputs'!$B$30+1)^'1. Inputs'!$B$7)*('1. Inputs'!$B$9+'1. Inputs'!$B$10*MAX(0,$A44-'1. Inputs'!$C$24-'1. Inputs'!$B$30+1)/(MAX(0,$A44-'1. Inputs'!$C$24-'1. Inputs'!$B$30+1)+'1. Inputs'!$B$11))*'1. Inputs'!$B$13*(1+'1. Inputs'!$B$14*MIN(MAX(0,$A44-'1. Inputs'!$C$24-'1. Inputs'!$B$30+1),'1. Inputs'!$B$15))*('1. Inputs'!$B$31*'5. Diagnosing a miss'!$B$22))</f>
        <v>3533414.4</v>
      </c>
      <c r="U44" s="22" t="n">
        <f aca="false">IF(MAX(0,$A44-'1. Inputs'!$C$25-'1. Inputs'!$B$30+1)&lt;=0,0,'1. Inputs'!$B$25*'1. Inputs'!$B$5*MAX(0,$A44-'1. Inputs'!$C$25-'1. Inputs'!$B$30+1)^'1. Inputs'!$B$7/('1. Inputs'!$B$6^'1. Inputs'!$B$7+MAX(0,$A44-'1. Inputs'!$C$25-'1. Inputs'!$B$30+1)^'1. Inputs'!$B$7)*('1. Inputs'!$B$9+'1. Inputs'!$B$10*MAX(0,$A44-'1. Inputs'!$C$25-'1. Inputs'!$B$30+1)/(MAX(0,$A44-'1. Inputs'!$C$25-'1. Inputs'!$B$30+1)+'1. Inputs'!$B$11))*'1. Inputs'!$B$13*(1+'1. Inputs'!$B$14*MIN(MAX(0,$A44-'1. Inputs'!$C$25-'1. Inputs'!$B$30+1),'1. Inputs'!$B$15))*('1. Inputs'!$B$31*'5. Diagnosing a miss'!$B$22))</f>
        <v>4563833.53791565</v>
      </c>
      <c r="V44" s="22" t="n">
        <f aca="false">IF(MAX(0,$A44-'1. Inputs'!$C$26-'1. Inputs'!$B$30+1)&lt;=0,0,'1. Inputs'!$B$26*'1. Inputs'!$B$5*MAX(0,$A44-'1. Inputs'!$C$26-'1. Inputs'!$B$30+1)^'1. Inputs'!$B$7/('1. Inputs'!$B$6^'1. Inputs'!$B$7+MAX(0,$A44-'1. Inputs'!$C$26-'1. Inputs'!$B$30+1)^'1. Inputs'!$B$7)*('1. Inputs'!$B$9+'1. Inputs'!$B$10*MAX(0,$A44-'1. Inputs'!$C$26-'1. Inputs'!$B$30+1)/(MAX(0,$A44-'1. Inputs'!$C$26-'1. Inputs'!$B$30+1)+'1. Inputs'!$B$11))*'1. Inputs'!$B$13*(1+'1. Inputs'!$B$14*MIN(MAX(0,$A44-'1. Inputs'!$C$26-'1. Inputs'!$B$30+1),'1. Inputs'!$B$15))*('1. Inputs'!$B$31*'5. Diagnosing a miss'!$B$22))</f>
        <v>1904004.27582563</v>
      </c>
      <c r="W44" s="22" t="n">
        <f aca="false">IF(MAX(0,$A44-'1. Inputs'!$C$27-'1. Inputs'!$B$30+1)&lt;=0,0,'1. Inputs'!$B$27*'1. Inputs'!$B$5*MAX(0,$A44-'1. Inputs'!$C$27-'1. Inputs'!$B$30+1)^'1. Inputs'!$B$7/('1. Inputs'!$B$6^'1. Inputs'!$B$7+MAX(0,$A44-'1. Inputs'!$C$27-'1. Inputs'!$B$30+1)^'1. Inputs'!$B$7)*('1. Inputs'!$B$9+'1. Inputs'!$B$10*MAX(0,$A44-'1. Inputs'!$C$27-'1. Inputs'!$B$30+1)/(MAX(0,$A44-'1. Inputs'!$C$27-'1. Inputs'!$B$30+1)+'1. Inputs'!$B$11))*'1. Inputs'!$B$13*(1+'1. Inputs'!$B$14*MIN(MAX(0,$A44-'1. Inputs'!$C$27-'1. Inputs'!$B$30+1),'1. Inputs'!$B$15))*('1. Inputs'!$B$31*'5. Diagnosing a miss'!$B$22))</f>
        <v>1343276.52380517</v>
      </c>
      <c r="X44" s="22" t="n">
        <f aca="false">SUM(T44:W44)</f>
        <v>11344528.7375465</v>
      </c>
      <c r="Y44" s="22" t="n">
        <f aca="false">IF($A44=MAX('1. Inputs'!$B$17,1),'1. Inputs'!$B$3,0)+IF($A44-'1. Inputs'!$B$17&gt;=1,INDEX(X$3:X$86,$A44-'1. Inputs'!$B$17),0)</f>
        <v>9235884.66005941</v>
      </c>
      <c r="Z44" s="22" t="n">
        <f aca="false">Z43*(1-'1. Inputs'!$B$18)+Y44</f>
        <v>201399204.586298</v>
      </c>
      <c r="AA44" s="22" t="n">
        <f aca="false">Z44*'1. Inputs'!$B$18</f>
        <v>2013992.04586298</v>
      </c>
      <c r="AB44" s="22" t="n">
        <f aca="false">AB43+X44-AA44</f>
        <v>326543758.155622</v>
      </c>
      <c r="AC44" s="22" t="n">
        <f aca="false">IF(MAX(0,$A44-'1. Inputs'!$C$24-('1. Inputs'!$B$30+'5. Diagnosing a miss'!$B$23)+1)&lt;=0,0,'1. Inputs'!$B$24*'1. Inputs'!$B$5*MAX(0,$A44-'1. Inputs'!$C$24-('1. Inputs'!$B$30+'5. Diagnosing a miss'!$B$23)+1)^'1. Inputs'!$B$7/('1. Inputs'!$B$6^'1. Inputs'!$B$7+MAX(0,$A44-'1. Inputs'!$C$24-('1. Inputs'!$B$30+'5. Diagnosing a miss'!$B$23)+1)^'1. Inputs'!$B$7)*('1. Inputs'!$B$9+'1. Inputs'!$B$10*MAX(0,$A44-'1. Inputs'!$C$24-('1. Inputs'!$B$30+'5. Diagnosing a miss'!$B$23)+1)/(MAX(0,$A44-'1. Inputs'!$C$24-('1. Inputs'!$B$30+'5. Diagnosing a miss'!$B$23)+1)+'1. Inputs'!$B$11))*'1. Inputs'!$B$13*(1+'1. Inputs'!$B$14*MIN(MAX(0,$A44-'1. Inputs'!$C$24-('1. Inputs'!$B$30+'5. Diagnosing a miss'!$B$23)+1),'1. Inputs'!$B$15))*'1. Inputs'!$B$31)</f>
        <v>3857364.29822485</v>
      </c>
      <c r="AD44" s="22" t="n">
        <f aca="false">IF(MAX(0,$A44-'1. Inputs'!$C$25-('1. Inputs'!$B$30+'5. Diagnosing a miss'!$B$23)+1)&lt;=0,0,'1. Inputs'!$B$25*'1. Inputs'!$B$5*MAX(0,$A44-'1. Inputs'!$C$25-('1. Inputs'!$B$30+'5. Diagnosing a miss'!$B$23)+1)^'1. Inputs'!$B$7/('1. Inputs'!$B$6^'1. Inputs'!$B$7+MAX(0,$A44-'1. Inputs'!$C$25-('1. Inputs'!$B$30+'5. Diagnosing a miss'!$B$23)+1)^'1. Inputs'!$B$7)*('1. Inputs'!$B$9+'1. Inputs'!$B$10*MAX(0,$A44-'1. Inputs'!$C$25-('1. Inputs'!$B$30+'5. Diagnosing a miss'!$B$23)+1)/(MAX(0,$A44-'1. Inputs'!$C$25-('1. Inputs'!$B$30+'5. Diagnosing a miss'!$B$23)+1)+'1. Inputs'!$B$11))*'1. Inputs'!$B$13*(1+'1. Inputs'!$B$14*MIN(MAX(0,$A44-'1. Inputs'!$C$25-('1. Inputs'!$B$30+'5. Diagnosing a miss'!$B$23)+1),'1. Inputs'!$B$15))*'1. Inputs'!$B$31)</f>
        <v>4940798.81618497</v>
      </c>
      <c r="AE44" s="22" t="n">
        <f aca="false">IF(MAX(0,$A44-'1. Inputs'!$C$26-('1. Inputs'!$B$30+'5. Diagnosing a miss'!$B$23)+1)&lt;=0,0,'1. Inputs'!$B$26*'1. Inputs'!$B$5*MAX(0,$A44-'1. Inputs'!$C$26-('1. Inputs'!$B$30+'5. Diagnosing a miss'!$B$23)+1)^'1. Inputs'!$B$7/('1. Inputs'!$B$6^'1. Inputs'!$B$7+MAX(0,$A44-'1. Inputs'!$C$26-('1. Inputs'!$B$30+'5. Diagnosing a miss'!$B$23)+1)^'1. Inputs'!$B$7)*('1. Inputs'!$B$9+'1. Inputs'!$B$10*MAX(0,$A44-'1. Inputs'!$C$26-('1. Inputs'!$B$30+'5. Diagnosing a miss'!$B$23)+1)/(MAX(0,$A44-'1. Inputs'!$C$26-('1. Inputs'!$B$30+'5. Diagnosing a miss'!$B$23)+1)+'1. Inputs'!$B$11))*'1. Inputs'!$B$13*(1+'1. Inputs'!$B$14*MIN(MAX(0,$A44-'1. Inputs'!$C$26-('1. Inputs'!$B$30+'5. Diagnosing a miss'!$B$23)+1),'1. Inputs'!$B$15))*'1. Inputs'!$B$31)</f>
        <v>2030260.49338609</v>
      </c>
      <c r="AF44" s="22" t="n">
        <f aca="false">IF(MAX(0,$A44-'1. Inputs'!$C$27-('1. Inputs'!$B$30+'5. Diagnosing a miss'!$B$23)+1)&lt;=0,0,'1. Inputs'!$B$27*'1. Inputs'!$B$5*MAX(0,$A44-'1. Inputs'!$C$27-('1. Inputs'!$B$30+'5. Diagnosing a miss'!$B$23)+1)^'1. Inputs'!$B$7/('1. Inputs'!$B$6^'1. Inputs'!$B$7+MAX(0,$A44-'1. Inputs'!$C$27-('1. Inputs'!$B$30+'5. Diagnosing a miss'!$B$23)+1)^'1. Inputs'!$B$7)*('1. Inputs'!$B$9+'1. Inputs'!$B$10*MAX(0,$A44-'1. Inputs'!$C$27-('1. Inputs'!$B$30+'5. Diagnosing a miss'!$B$23)+1)/(MAX(0,$A44-'1. Inputs'!$C$27-('1. Inputs'!$B$30+'5. Diagnosing a miss'!$B$23)+1)+'1. Inputs'!$B$11))*'1. Inputs'!$B$13*(1+'1. Inputs'!$B$14*MIN(MAX(0,$A44-'1. Inputs'!$C$27-('1. Inputs'!$B$30+'5. Diagnosing a miss'!$B$23)+1),'1. Inputs'!$B$15))*'1. Inputs'!$B$31)</f>
        <v>1425992.49557522</v>
      </c>
      <c r="AG44" s="22" t="n">
        <f aca="false">SUM(AC44:AF44)</f>
        <v>12254416.1033711</v>
      </c>
      <c r="AH44" s="22" t="n">
        <f aca="false">IF($A44=MAX('1. Inputs'!$B$17,1),'1. Inputs'!$B$3,0)+IF($A44-'1. Inputs'!$B$17&gt;=1,INDEX(AG$3:AG$86,$A44-'1. Inputs'!$B$17),0)</f>
        <v>9020359.60786213</v>
      </c>
      <c r="AI44" s="22" t="n">
        <f aca="false">AI43*(1-'1. Inputs'!$B$18)+AH44</f>
        <v>184253667.022092</v>
      </c>
      <c r="AJ44" s="22" t="n">
        <f aca="false">AI44*'1. Inputs'!$B$18</f>
        <v>1842536.67022092</v>
      </c>
      <c r="AK44" s="22" t="n">
        <f aca="false">AK43+AG44-AJ44</f>
        <v>315875303.56015</v>
      </c>
    </row>
    <row r="45" customFormat="false" ht="15" hidden="false" customHeight="false" outlineLevel="0" collapsed="false">
      <c r="A45" s="7" t="n">
        <v>43</v>
      </c>
      <c r="B45" s="22" t="n">
        <f aca="false">IF(MAX(0,$A45-'1. Inputs'!$C$24-'1. Inputs'!$B$30+1)&lt;=0,0,'1. Inputs'!$B$24*'1. Inputs'!$B$5*MAX(0,$A45-'1. Inputs'!$C$24-'1. Inputs'!$B$30+1)^'1. Inputs'!$B$7/('1. Inputs'!$B$6^'1. Inputs'!$B$7+MAX(0,$A45-'1. Inputs'!$C$24-'1. Inputs'!$B$30+1)^'1. Inputs'!$B$7)*('1. Inputs'!$B$9+'1. Inputs'!$B$10*MAX(0,$A45-'1. Inputs'!$C$24-'1. Inputs'!$B$30+1)/(MAX(0,$A45-'1. Inputs'!$C$24-'1. Inputs'!$B$30+1)+'1. Inputs'!$B$11))*'1. Inputs'!$B$13*(1+'1. Inputs'!$B$14*MIN(MAX(0,$A45-'1. Inputs'!$C$24-'1. Inputs'!$B$30+1),'1. Inputs'!$B$15))*'1. Inputs'!$B$31)</f>
        <v>3946109.41125902</v>
      </c>
      <c r="C45" s="22" t="n">
        <f aca="false">IF(MAX(0,$A45-'1. Inputs'!$C$25-'1. Inputs'!$B$30+1)&lt;=0,0,'1. Inputs'!$B$25*'1. Inputs'!$B$5*MAX(0,$A45-'1. Inputs'!$C$25-'1. Inputs'!$B$30+1)^'1. Inputs'!$B$7/('1. Inputs'!$B$6^'1. Inputs'!$B$7+MAX(0,$A45-'1. Inputs'!$C$25-'1. Inputs'!$B$30+1)^'1. Inputs'!$B$7)*('1. Inputs'!$B$9+'1. Inputs'!$B$10*MAX(0,$A45-'1. Inputs'!$C$25-'1. Inputs'!$B$30+1)/(MAX(0,$A45-'1. Inputs'!$C$25-'1. Inputs'!$B$30+1)+'1. Inputs'!$B$11))*'1. Inputs'!$B$13*(1+'1. Inputs'!$B$14*MIN(MAX(0,$A45-'1. Inputs'!$C$25-'1. Inputs'!$B$30+1),'1. Inputs'!$B$15))*'1. Inputs'!$B$31)</f>
        <v>5108305.67125506</v>
      </c>
      <c r="D45" s="22" t="n">
        <f aca="false">IF(MAX(0,$A45-'1. Inputs'!$C$26-'1. Inputs'!$B$30+1)&lt;=0,0,'1. Inputs'!$B$26*'1. Inputs'!$B$5*MAX(0,$A45-'1. Inputs'!$C$26-'1. Inputs'!$B$30+1)^'1. Inputs'!$B$7/('1. Inputs'!$B$6^'1. Inputs'!$B$7+MAX(0,$A45-'1. Inputs'!$C$26-'1. Inputs'!$B$30+1)^'1. Inputs'!$B$7)*('1. Inputs'!$B$9+'1. Inputs'!$B$10*MAX(0,$A45-'1. Inputs'!$C$26-'1. Inputs'!$B$30+1)/(MAX(0,$A45-'1. Inputs'!$C$26-'1. Inputs'!$B$30+1)+'1. Inputs'!$B$11))*'1. Inputs'!$B$13*(1+'1. Inputs'!$B$14*MIN(MAX(0,$A45-'1. Inputs'!$C$26-'1. Inputs'!$B$30+1),'1. Inputs'!$B$15))*'1. Inputs'!$B$31)</f>
        <v>2139507.49090909</v>
      </c>
      <c r="E45" s="22" t="n">
        <f aca="false">IF(MAX(0,$A45-'1. Inputs'!$C$27-'1. Inputs'!$B$30+1)&lt;=0,0,'1. Inputs'!$B$27*'1. Inputs'!$B$5*MAX(0,$A45-'1. Inputs'!$C$27-'1. Inputs'!$B$30+1)^'1. Inputs'!$B$7/('1. Inputs'!$B$6^'1. Inputs'!$B$7+MAX(0,$A45-'1. Inputs'!$C$27-'1. Inputs'!$B$30+1)^'1. Inputs'!$B$7)*('1. Inputs'!$B$9+'1. Inputs'!$B$10*MAX(0,$A45-'1. Inputs'!$C$27-'1. Inputs'!$B$30+1)/(MAX(0,$A45-'1. Inputs'!$C$27-'1. Inputs'!$B$30+1)+'1. Inputs'!$B$11))*'1. Inputs'!$B$13*(1+'1. Inputs'!$B$14*MIN(MAX(0,$A45-'1. Inputs'!$C$27-'1. Inputs'!$B$30+1),'1. Inputs'!$B$15))*'1. Inputs'!$B$31)</f>
        <v>1511114.50462351</v>
      </c>
      <c r="F45" s="22" t="n">
        <f aca="false">SUM(B45:E45)</f>
        <v>12705037.0780467</v>
      </c>
      <c r="G45" s="22" t="n">
        <f aca="false">IF($A45=MAX('1. Inputs'!$B$17,1),'1. Inputs'!$B$3,0)+IF($A45-'1. Inputs'!$B$17&gt;=1,INDEX(F$3:F$86,$A45-'1. Inputs'!$B$17),0)</f>
        <v>10582409.4061436</v>
      </c>
      <c r="H45" s="22" t="n">
        <f aca="false">H44*(1-'1. Inputs'!$B$18)+G45</f>
        <v>219916478.290165</v>
      </c>
      <c r="I45" s="22" t="n">
        <f aca="false">H45*'1. Inputs'!$B$18</f>
        <v>2199164.78290165</v>
      </c>
      <c r="J45" s="22" t="n">
        <f aca="false">J44+F45-I45</f>
        <v>361127214.084929</v>
      </c>
      <c r="K45" s="22" t="n">
        <f aca="false">IF(MAX(0,$A45-'1. Inputs'!$C$24-'1. Inputs'!$B$30+1)&lt;=0,0,'1. Inputs'!$B$24*('1. Inputs'!$B$5-'5. Diagnosing a miss'!$B$21)*MAX(0,$A45-'1. Inputs'!$C$24-'1. Inputs'!$B$30+1)^'1. Inputs'!$B$7/('1. Inputs'!$B$6^'1. Inputs'!$B$7+MAX(0,$A45-'1. Inputs'!$C$24-'1. Inputs'!$B$30+1)^'1. Inputs'!$B$7)*('1. Inputs'!$B$9+'1. Inputs'!$B$10*MAX(0,$A45-'1. Inputs'!$C$24-'1. Inputs'!$B$30+1)/(MAX(0,$A45-'1. Inputs'!$C$24-'1. Inputs'!$B$30+1)+'1. Inputs'!$B$11))*'1. Inputs'!$B$13*(1+'1. Inputs'!$B$14*MIN(MAX(0,$A45-'1. Inputs'!$C$24-'1. Inputs'!$B$30+1),'1. Inputs'!$B$15))*'1. Inputs'!$B$31)</f>
        <v>3507652.81000802</v>
      </c>
      <c r="L45" s="22" t="n">
        <f aca="false">IF(MAX(0,$A45-'1. Inputs'!$C$25-'1. Inputs'!$B$30+1)&lt;=0,0,'1. Inputs'!$B$25*('1. Inputs'!$B$5-'5. Diagnosing a miss'!$B$21)*MAX(0,$A45-'1. Inputs'!$C$25-'1. Inputs'!$B$30+1)^'1. Inputs'!$B$7/('1. Inputs'!$B$6^'1. Inputs'!$B$7+MAX(0,$A45-'1. Inputs'!$C$25-'1. Inputs'!$B$30+1)^'1. Inputs'!$B$7)*('1. Inputs'!$B$9+'1. Inputs'!$B$10*MAX(0,$A45-'1. Inputs'!$C$25-'1. Inputs'!$B$30+1)/(MAX(0,$A45-'1. Inputs'!$C$25-'1. Inputs'!$B$30+1)+'1. Inputs'!$B$11))*'1. Inputs'!$B$13*(1+'1. Inputs'!$B$14*MIN(MAX(0,$A45-'1. Inputs'!$C$25-'1. Inputs'!$B$30+1),'1. Inputs'!$B$15))*'1. Inputs'!$B$31)</f>
        <v>4540716.15222672</v>
      </c>
      <c r="M45" s="22" t="n">
        <f aca="false">IF(MAX(0,$A45-'1. Inputs'!$C$26-'1. Inputs'!$B$30+1)&lt;=0,0,'1. Inputs'!$B$26*('1. Inputs'!$B$5-'5. Diagnosing a miss'!$B$21)*MAX(0,$A45-'1. Inputs'!$C$26-'1. Inputs'!$B$30+1)^'1. Inputs'!$B$7/('1. Inputs'!$B$6^'1. Inputs'!$B$7+MAX(0,$A45-'1. Inputs'!$C$26-'1. Inputs'!$B$30+1)^'1. Inputs'!$B$7)*('1. Inputs'!$B$9+'1. Inputs'!$B$10*MAX(0,$A45-'1. Inputs'!$C$26-'1. Inputs'!$B$30+1)/(MAX(0,$A45-'1. Inputs'!$C$26-'1. Inputs'!$B$30+1)+'1. Inputs'!$B$11))*'1. Inputs'!$B$13*(1+'1. Inputs'!$B$14*MIN(MAX(0,$A45-'1. Inputs'!$C$26-'1. Inputs'!$B$30+1),'1. Inputs'!$B$15))*'1. Inputs'!$B$31)</f>
        <v>1901784.43636364</v>
      </c>
      <c r="N45" s="22" t="n">
        <f aca="false">IF(MAX(0,$A45-'1. Inputs'!$C$27-'1. Inputs'!$B$30+1)&lt;=0,0,'1. Inputs'!$B$27*('1. Inputs'!$B$5-'5. Diagnosing a miss'!$B$21)*MAX(0,$A45-'1. Inputs'!$C$27-'1. Inputs'!$B$30+1)^'1. Inputs'!$B$7/('1. Inputs'!$B$6^'1. Inputs'!$B$7+MAX(0,$A45-'1. Inputs'!$C$27-'1. Inputs'!$B$30+1)^'1. Inputs'!$B$7)*('1. Inputs'!$B$9+'1. Inputs'!$B$10*MAX(0,$A45-'1. Inputs'!$C$27-'1. Inputs'!$B$30+1)/(MAX(0,$A45-'1. Inputs'!$C$27-'1. Inputs'!$B$30+1)+'1. Inputs'!$B$11))*'1. Inputs'!$B$13*(1+'1. Inputs'!$B$14*MIN(MAX(0,$A45-'1. Inputs'!$C$27-'1. Inputs'!$B$30+1),'1. Inputs'!$B$15))*'1. Inputs'!$B$31)</f>
        <v>1343212.89299868</v>
      </c>
      <c r="O45" s="22" t="n">
        <f aca="false">SUM(K45:N45)</f>
        <v>11293366.2915971</v>
      </c>
      <c r="P45" s="22" t="n">
        <f aca="false">IF($A45=MAX('1. Inputs'!$B$17,1),'1. Inputs'!$B$3,0)+IF($A45-'1. Inputs'!$B$17&gt;=1,INDEX(O$3:O$86,$A45-'1. Inputs'!$B$17),0)</f>
        <v>9406586.13879428</v>
      </c>
      <c r="Q45" s="22" t="n">
        <f aca="false">Q44*(1-'1. Inputs'!$B$18)+P45</f>
        <v>207686370.196608</v>
      </c>
      <c r="R45" s="22" t="n">
        <f aca="false">Q45*'1. Inputs'!$B$18</f>
        <v>2076863.70196608</v>
      </c>
      <c r="S45" s="22" t="n">
        <f aca="false">S44+O45-R45</f>
        <v>333084973.67479</v>
      </c>
      <c r="T45" s="22" t="n">
        <f aca="false">IF(MAX(0,$A45-'1. Inputs'!$C$24-'1. Inputs'!$B$30+1)&lt;=0,0,'1. Inputs'!$B$24*'1. Inputs'!$B$5*MAX(0,$A45-'1. Inputs'!$C$24-'1. Inputs'!$B$30+1)^'1. Inputs'!$B$7/('1. Inputs'!$B$6^'1. Inputs'!$B$7+MAX(0,$A45-'1. Inputs'!$C$24-'1. Inputs'!$B$30+1)^'1. Inputs'!$B$7)*('1. Inputs'!$B$9+'1. Inputs'!$B$10*MAX(0,$A45-'1. Inputs'!$C$24-'1. Inputs'!$B$30+1)/(MAX(0,$A45-'1. Inputs'!$C$24-'1. Inputs'!$B$30+1)+'1. Inputs'!$B$11))*'1. Inputs'!$B$13*(1+'1. Inputs'!$B$14*MIN(MAX(0,$A45-'1. Inputs'!$C$24-'1. Inputs'!$B$30+1),'1. Inputs'!$B$15))*('1. Inputs'!$B$31*'5. Diagnosing a miss'!$B$22))</f>
        <v>3551498.47013312</v>
      </c>
      <c r="U45" s="22" t="n">
        <f aca="false">IF(MAX(0,$A45-'1. Inputs'!$C$25-'1. Inputs'!$B$30+1)&lt;=0,0,'1. Inputs'!$B$25*'1. Inputs'!$B$5*MAX(0,$A45-'1. Inputs'!$C$25-'1. Inputs'!$B$30+1)^'1. Inputs'!$B$7/('1. Inputs'!$B$6^'1. Inputs'!$B$7+MAX(0,$A45-'1. Inputs'!$C$25-'1. Inputs'!$B$30+1)^'1. Inputs'!$B$7)*('1. Inputs'!$B$9+'1. Inputs'!$B$10*MAX(0,$A45-'1. Inputs'!$C$25-'1. Inputs'!$B$30+1)/(MAX(0,$A45-'1. Inputs'!$C$25-'1. Inputs'!$B$30+1)+'1. Inputs'!$B$11))*'1. Inputs'!$B$13*(1+'1. Inputs'!$B$14*MIN(MAX(0,$A45-'1. Inputs'!$C$25-'1. Inputs'!$B$30+1),'1. Inputs'!$B$15))*('1. Inputs'!$B$31*'5. Diagnosing a miss'!$B$22))</f>
        <v>4597475.10412956</v>
      </c>
      <c r="V45" s="22" t="n">
        <f aca="false">IF(MAX(0,$A45-'1. Inputs'!$C$26-'1. Inputs'!$B$30+1)&lt;=0,0,'1. Inputs'!$B$26*'1. Inputs'!$B$5*MAX(0,$A45-'1. Inputs'!$C$26-'1. Inputs'!$B$30+1)^'1. Inputs'!$B$7/('1. Inputs'!$B$6^'1. Inputs'!$B$7+MAX(0,$A45-'1. Inputs'!$C$26-'1. Inputs'!$B$30+1)^'1. Inputs'!$B$7)*('1. Inputs'!$B$9+'1. Inputs'!$B$10*MAX(0,$A45-'1. Inputs'!$C$26-'1. Inputs'!$B$30+1)/(MAX(0,$A45-'1. Inputs'!$C$26-'1. Inputs'!$B$30+1)+'1. Inputs'!$B$11))*'1. Inputs'!$B$13*(1+'1. Inputs'!$B$14*MIN(MAX(0,$A45-'1. Inputs'!$C$26-'1. Inputs'!$B$30+1),'1. Inputs'!$B$15))*('1. Inputs'!$B$31*'5. Diagnosing a miss'!$B$22))</f>
        <v>1925556.74181818</v>
      </c>
      <c r="W45" s="22" t="n">
        <f aca="false">IF(MAX(0,$A45-'1. Inputs'!$C$27-'1. Inputs'!$B$30+1)&lt;=0,0,'1. Inputs'!$B$27*'1. Inputs'!$B$5*MAX(0,$A45-'1. Inputs'!$C$27-'1. Inputs'!$B$30+1)^'1. Inputs'!$B$7/('1. Inputs'!$B$6^'1. Inputs'!$B$7+MAX(0,$A45-'1. Inputs'!$C$27-'1. Inputs'!$B$30+1)^'1. Inputs'!$B$7)*('1. Inputs'!$B$9+'1. Inputs'!$B$10*MAX(0,$A45-'1. Inputs'!$C$27-'1. Inputs'!$B$30+1)/(MAX(0,$A45-'1. Inputs'!$C$27-'1. Inputs'!$B$30+1)+'1. Inputs'!$B$11))*'1. Inputs'!$B$13*(1+'1. Inputs'!$B$14*MIN(MAX(0,$A45-'1. Inputs'!$C$27-'1. Inputs'!$B$30+1),'1. Inputs'!$B$15))*('1. Inputs'!$B$31*'5. Diagnosing a miss'!$B$22))</f>
        <v>1360003.05416116</v>
      </c>
      <c r="X45" s="22" t="n">
        <f aca="false">SUM(T45:W45)</f>
        <v>11434533.370242</v>
      </c>
      <c r="Y45" s="22" t="n">
        <f aca="false">IF($A45=MAX('1. Inputs'!$B$17,1),'1. Inputs'!$B$3,0)+IF($A45-'1. Inputs'!$B$17&gt;=1,INDEX(X$3:X$86,$A45-'1. Inputs'!$B$17),0)</f>
        <v>9524168.46552921</v>
      </c>
      <c r="Z45" s="22" t="n">
        <f aca="false">Z44*(1-'1. Inputs'!$B$18)+Y45</f>
        <v>208909381.005964</v>
      </c>
      <c r="AA45" s="22" t="n">
        <f aca="false">Z45*'1. Inputs'!$B$18</f>
        <v>2089093.81005964</v>
      </c>
      <c r="AB45" s="22" t="n">
        <f aca="false">AB44+X45-AA45</f>
        <v>335889197.715804</v>
      </c>
      <c r="AC45" s="22" t="n">
        <f aca="false">IF(MAX(0,$A45-'1. Inputs'!$C$24-('1. Inputs'!$B$30+'5. Diagnosing a miss'!$B$23)+1)&lt;=0,0,'1. Inputs'!$B$24*'1. Inputs'!$B$5*MAX(0,$A45-'1. Inputs'!$C$24-('1. Inputs'!$B$30+'5. Diagnosing a miss'!$B$23)+1)^'1. Inputs'!$B$7/('1. Inputs'!$B$6^'1. Inputs'!$B$7+MAX(0,$A45-'1. Inputs'!$C$24-('1. Inputs'!$B$30+'5. Diagnosing a miss'!$B$23)+1)^'1. Inputs'!$B$7)*('1. Inputs'!$B$9+'1. Inputs'!$B$10*MAX(0,$A45-'1. Inputs'!$C$24-('1. Inputs'!$B$30+'5. Diagnosing a miss'!$B$23)+1)/(MAX(0,$A45-'1. Inputs'!$C$24-('1. Inputs'!$B$30+'5. Diagnosing a miss'!$B$23)+1)+'1. Inputs'!$B$11))*'1. Inputs'!$B$13*(1+'1. Inputs'!$B$14*MIN(MAX(0,$A45-'1. Inputs'!$C$24-('1. Inputs'!$B$30+'5. Diagnosing a miss'!$B$23)+1),'1. Inputs'!$B$15))*'1. Inputs'!$B$31)</f>
        <v>3881773.61228779</v>
      </c>
      <c r="AD45" s="22" t="n">
        <f aca="false">IF(MAX(0,$A45-'1. Inputs'!$C$25-('1. Inputs'!$B$30+'5. Diagnosing a miss'!$B$23)+1)&lt;=0,0,'1. Inputs'!$B$25*'1. Inputs'!$B$5*MAX(0,$A45-'1. Inputs'!$C$25-('1. Inputs'!$B$30+'5. Diagnosing a miss'!$B$23)+1)^'1. Inputs'!$B$7/('1. Inputs'!$B$6^'1. Inputs'!$B$7+MAX(0,$A45-'1. Inputs'!$C$25-('1. Inputs'!$B$30+'5. Diagnosing a miss'!$B$23)+1)^'1. Inputs'!$B$7)*('1. Inputs'!$B$9+'1. Inputs'!$B$10*MAX(0,$A45-'1. Inputs'!$C$25-('1. Inputs'!$B$30+'5. Diagnosing a miss'!$B$23)+1)/(MAX(0,$A45-'1. Inputs'!$C$25-('1. Inputs'!$B$30+'5. Diagnosing a miss'!$B$23)+1)+'1. Inputs'!$B$11))*'1. Inputs'!$B$13*(1+'1. Inputs'!$B$14*MIN(MAX(0,$A45-'1. Inputs'!$C$25-('1. Inputs'!$B$30+'5. Diagnosing a miss'!$B$23)+1),'1. Inputs'!$B$15))*'1. Inputs'!$B$31)</f>
        <v>4987488.29154013</v>
      </c>
      <c r="AE45" s="22" t="n">
        <f aca="false">IF(MAX(0,$A45-'1. Inputs'!$C$26-('1. Inputs'!$B$30+'5. Diagnosing a miss'!$B$23)+1)&lt;=0,0,'1. Inputs'!$B$26*'1. Inputs'!$B$5*MAX(0,$A45-'1. Inputs'!$C$26-('1. Inputs'!$B$30+'5. Diagnosing a miss'!$B$23)+1)^'1. Inputs'!$B$7/('1. Inputs'!$B$6^'1. Inputs'!$B$7+MAX(0,$A45-'1. Inputs'!$C$26-('1. Inputs'!$B$30+'5. Diagnosing a miss'!$B$23)+1)^'1. Inputs'!$B$7)*('1. Inputs'!$B$9+'1. Inputs'!$B$10*MAX(0,$A45-'1. Inputs'!$C$26-('1. Inputs'!$B$30+'5. Diagnosing a miss'!$B$23)+1)/(MAX(0,$A45-'1. Inputs'!$C$26-('1. Inputs'!$B$30+'5. Diagnosing a miss'!$B$23)+1)+'1. Inputs'!$B$11))*'1. Inputs'!$B$13*(1+'1. Inputs'!$B$14*MIN(MAX(0,$A45-'1. Inputs'!$C$26-('1. Inputs'!$B$30+'5. Diagnosing a miss'!$B$23)+1),'1. Inputs'!$B$15))*'1. Inputs'!$B$31)</f>
        <v>2061202.58630137</v>
      </c>
      <c r="AF45" s="22" t="n">
        <f aca="false">IF(MAX(0,$A45-'1. Inputs'!$C$27-('1. Inputs'!$B$30+'5. Diagnosing a miss'!$B$23)+1)&lt;=0,0,'1. Inputs'!$B$27*'1. Inputs'!$B$5*MAX(0,$A45-'1. Inputs'!$C$27-('1. Inputs'!$B$30+'5. Diagnosing a miss'!$B$23)+1)^'1. Inputs'!$B$7/('1. Inputs'!$B$6^'1. Inputs'!$B$7+MAX(0,$A45-'1. Inputs'!$C$27-('1. Inputs'!$B$30+'5. Diagnosing a miss'!$B$23)+1)^'1. Inputs'!$B$7)*('1. Inputs'!$B$9+'1. Inputs'!$B$10*MAX(0,$A45-'1. Inputs'!$C$27-('1. Inputs'!$B$30+'5. Diagnosing a miss'!$B$23)+1)/(MAX(0,$A45-'1. Inputs'!$C$27-('1. Inputs'!$B$30+'5. Diagnosing a miss'!$B$23)+1)+'1. Inputs'!$B$11))*'1. Inputs'!$B$13*(1+'1. Inputs'!$B$14*MIN(MAX(0,$A45-'1. Inputs'!$C$27-('1. Inputs'!$B$30+'5. Diagnosing a miss'!$B$23)+1),'1. Inputs'!$B$15))*'1. Inputs'!$B$31)</f>
        <v>1450186.06670435</v>
      </c>
      <c r="AG45" s="22" t="n">
        <f aca="false">SUM(AC45:AF45)</f>
        <v>12380650.5568336</v>
      </c>
      <c r="AH45" s="22" t="n">
        <f aca="false">IF($A45=MAX('1. Inputs'!$B$17,1),'1. Inputs'!$B$3,0)+IF($A45-'1. Inputs'!$B$17&gt;=1,INDEX(AG$3:AG$86,$A45-'1. Inputs'!$B$17),0)</f>
        <v>9481747.32429291</v>
      </c>
      <c r="AI45" s="22" t="n">
        <f aca="false">AI44*(1-'1. Inputs'!$B$18)+AH45</f>
        <v>191892877.676164</v>
      </c>
      <c r="AJ45" s="22" t="n">
        <f aca="false">AI45*'1. Inputs'!$B$18</f>
        <v>1918928.77676164</v>
      </c>
      <c r="AK45" s="22" t="n">
        <f aca="false">AK44+AG45-AJ45</f>
        <v>326337025.340222</v>
      </c>
    </row>
    <row r="46" customFormat="false" ht="15" hidden="false" customHeight="false" outlineLevel="0" collapsed="false">
      <c r="A46" s="7" t="n">
        <v>44</v>
      </c>
      <c r="B46" s="22" t="n">
        <f aca="false">IF(MAX(0,$A46-'1. Inputs'!$C$24-'1. Inputs'!$B$30+1)&lt;=0,0,'1. Inputs'!$B$24*'1. Inputs'!$B$5*MAX(0,$A46-'1. Inputs'!$C$24-'1. Inputs'!$B$30+1)^'1. Inputs'!$B$7/('1. Inputs'!$B$6^'1. Inputs'!$B$7+MAX(0,$A46-'1. Inputs'!$C$24-'1. Inputs'!$B$30+1)^'1. Inputs'!$B$7)*('1. Inputs'!$B$9+'1. Inputs'!$B$10*MAX(0,$A46-'1. Inputs'!$C$24-'1. Inputs'!$B$30+1)/(MAX(0,$A46-'1. Inputs'!$C$24-'1. Inputs'!$B$30+1)+'1. Inputs'!$B$11))*'1. Inputs'!$B$13*(1+'1. Inputs'!$B$14*MIN(MAX(0,$A46-'1. Inputs'!$C$24-'1. Inputs'!$B$30+1),'1. Inputs'!$B$15))*'1. Inputs'!$B$31)</f>
        <v>3965001.74020864</v>
      </c>
      <c r="C46" s="22" t="n">
        <f aca="false">IF(MAX(0,$A46-'1. Inputs'!$C$25-'1. Inputs'!$B$30+1)&lt;=0,0,'1. Inputs'!$B$25*'1. Inputs'!$B$5*MAX(0,$A46-'1. Inputs'!$C$25-'1. Inputs'!$B$30+1)^'1. Inputs'!$B$7/('1. Inputs'!$B$6^'1. Inputs'!$B$7+MAX(0,$A46-'1. Inputs'!$C$25-'1. Inputs'!$B$30+1)^'1. Inputs'!$B$7)*('1. Inputs'!$B$9+'1. Inputs'!$B$10*MAX(0,$A46-'1. Inputs'!$C$25-'1. Inputs'!$B$30+1)/(MAX(0,$A46-'1. Inputs'!$C$25-'1. Inputs'!$B$30+1)+'1. Inputs'!$B$11))*'1. Inputs'!$B$13*(1+'1. Inputs'!$B$14*MIN(MAX(0,$A46-'1. Inputs'!$C$25-'1. Inputs'!$B$30+1),'1. Inputs'!$B$15))*'1. Inputs'!$B$31)</f>
        <v>5143152.39763314</v>
      </c>
      <c r="D46" s="22" t="n">
        <f aca="false">IF(MAX(0,$A46-'1. Inputs'!$C$26-'1. Inputs'!$B$30+1)&lt;=0,0,'1. Inputs'!$B$26*'1. Inputs'!$B$5*MAX(0,$A46-'1. Inputs'!$C$26-'1. Inputs'!$B$30+1)^'1. Inputs'!$B$7/('1. Inputs'!$B$6^'1. Inputs'!$B$7+MAX(0,$A46-'1. Inputs'!$C$26-'1. Inputs'!$B$30+1)^'1. Inputs'!$B$7)*('1. Inputs'!$B$9+'1. Inputs'!$B$10*MAX(0,$A46-'1. Inputs'!$C$26-'1. Inputs'!$B$30+1)/(MAX(0,$A46-'1. Inputs'!$C$26-'1. Inputs'!$B$30+1)+'1. Inputs'!$B$11))*'1. Inputs'!$B$13*(1+'1. Inputs'!$B$14*MIN(MAX(0,$A46-'1. Inputs'!$C$26-'1. Inputs'!$B$30+1),'1. Inputs'!$B$15))*'1. Inputs'!$B$31)</f>
        <v>2161599.48208093</v>
      </c>
      <c r="E46" s="22" t="n">
        <f aca="false">IF(MAX(0,$A46-'1. Inputs'!$C$27-'1. Inputs'!$B$30+1)&lt;=0,0,'1. Inputs'!$B$27*'1. Inputs'!$B$5*MAX(0,$A46-'1. Inputs'!$C$27-'1. Inputs'!$B$30+1)^'1. Inputs'!$B$7/('1. Inputs'!$B$6^'1. Inputs'!$B$7+MAX(0,$A46-'1. Inputs'!$C$27-'1. Inputs'!$B$30+1)^'1. Inputs'!$B$7)*('1. Inputs'!$B$9+'1. Inputs'!$B$10*MAX(0,$A46-'1. Inputs'!$C$27-'1. Inputs'!$B$30+1)/(MAX(0,$A46-'1. Inputs'!$C$27-'1. Inputs'!$B$30+1)+'1. Inputs'!$B$11))*'1. Inputs'!$B$13*(1+'1. Inputs'!$B$14*MIN(MAX(0,$A46-'1. Inputs'!$C$27-'1. Inputs'!$B$30+1),'1. Inputs'!$B$15))*'1. Inputs'!$B$31)</f>
        <v>1528219.63636364</v>
      </c>
      <c r="F46" s="22" t="n">
        <f aca="false">SUM(B46:E46)</f>
        <v>12797973.2562863</v>
      </c>
      <c r="G46" s="22" t="n">
        <f aca="false">IF($A46=MAX('1. Inputs'!$B$17,1),'1. Inputs'!$B$3,0)+IF($A46-'1. Inputs'!$B$17&gt;=1,INDEX(F$3:F$86,$A46-'1. Inputs'!$B$17),0)</f>
        <v>10879519.8346608</v>
      </c>
      <c r="H46" s="22" t="n">
        <f aca="false">H45*(1-'1. Inputs'!$B$18)+G46</f>
        <v>228596833.341924</v>
      </c>
      <c r="I46" s="22" t="n">
        <f aca="false">H46*'1. Inputs'!$B$18</f>
        <v>2285968.33341924</v>
      </c>
      <c r="J46" s="22" t="n">
        <f aca="false">J45+F46-I46</f>
        <v>371639219.007797</v>
      </c>
      <c r="K46" s="22" t="n">
        <f aca="false">IF(MAX(0,$A46-'1. Inputs'!$C$24-'1. Inputs'!$B$30+1)&lt;=0,0,'1. Inputs'!$B$24*('1. Inputs'!$B$5-'5. Diagnosing a miss'!$B$21)*MAX(0,$A46-'1. Inputs'!$C$24-'1. Inputs'!$B$30+1)^'1. Inputs'!$B$7/('1. Inputs'!$B$6^'1. Inputs'!$B$7+MAX(0,$A46-'1. Inputs'!$C$24-'1. Inputs'!$B$30+1)^'1. Inputs'!$B$7)*('1. Inputs'!$B$9+'1. Inputs'!$B$10*MAX(0,$A46-'1. Inputs'!$C$24-'1. Inputs'!$B$30+1)/(MAX(0,$A46-'1. Inputs'!$C$24-'1. Inputs'!$B$30+1)+'1. Inputs'!$B$11))*'1. Inputs'!$B$13*(1+'1. Inputs'!$B$14*MIN(MAX(0,$A46-'1. Inputs'!$C$24-'1. Inputs'!$B$30+1),'1. Inputs'!$B$15))*'1. Inputs'!$B$31)</f>
        <v>3524445.99129657</v>
      </c>
      <c r="L46" s="22" t="n">
        <f aca="false">IF(MAX(0,$A46-'1. Inputs'!$C$25-'1. Inputs'!$B$30+1)&lt;=0,0,'1. Inputs'!$B$25*('1. Inputs'!$B$5-'5. Diagnosing a miss'!$B$21)*MAX(0,$A46-'1. Inputs'!$C$25-'1. Inputs'!$B$30+1)^'1. Inputs'!$B$7/('1. Inputs'!$B$6^'1. Inputs'!$B$7+MAX(0,$A46-'1. Inputs'!$C$25-'1. Inputs'!$B$30+1)^'1. Inputs'!$B$7)*('1. Inputs'!$B$9+'1. Inputs'!$B$10*MAX(0,$A46-'1. Inputs'!$C$25-'1. Inputs'!$B$30+1)/(MAX(0,$A46-'1. Inputs'!$C$25-'1. Inputs'!$B$30+1)+'1. Inputs'!$B$11))*'1. Inputs'!$B$13*(1+'1. Inputs'!$B$14*MIN(MAX(0,$A46-'1. Inputs'!$C$25-'1. Inputs'!$B$30+1),'1. Inputs'!$B$15))*'1. Inputs'!$B$31)</f>
        <v>4571691.02011834</v>
      </c>
      <c r="M46" s="22" t="n">
        <f aca="false">IF(MAX(0,$A46-'1. Inputs'!$C$26-'1. Inputs'!$B$30+1)&lt;=0,0,'1. Inputs'!$B$26*('1. Inputs'!$B$5-'5. Diagnosing a miss'!$B$21)*MAX(0,$A46-'1. Inputs'!$C$26-'1. Inputs'!$B$30+1)^'1. Inputs'!$B$7/('1. Inputs'!$B$6^'1. Inputs'!$B$7+MAX(0,$A46-'1. Inputs'!$C$26-'1. Inputs'!$B$30+1)^'1. Inputs'!$B$7)*('1. Inputs'!$B$9+'1. Inputs'!$B$10*MAX(0,$A46-'1. Inputs'!$C$26-'1. Inputs'!$B$30+1)/(MAX(0,$A46-'1. Inputs'!$C$26-'1. Inputs'!$B$30+1)+'1. Inputs'!$B$11))*'1. Inputs'!$B$13*(1+'1. Inputs'!$B$14*MIN(MAX(0,$A46-'1. Inputs'!$C$26-'1. Inputs'!$B$30+1),'1. Inputs'!$B$15))*'1. Inputs'!$B$31)</f>
        <v>1921421.76184971</v>
      </c>
      <c r="N46" s="22" t="n">
        <f aca="false">IF(MAX(0,$A46-'1. Inputs'!$C$27-'1. Inputs'!$B$30+1)&lt;=0,0,'1. Inputs'!$B$27*('1. Inputs'!$B$5-'5. Diagnosing a miss'!$B$21)*MAX(0,$A46-'1. Inputs'!$C$27-'1. Inputs'!$B$30+1)^'1. Inputs'!$B$7/('1. Inputs'!$B$6^'1. Inputs'!$B$7+MAX(0,$A46-'1. Inputs'!$C$27-'1. Inputs'!$B$30+1)^'1. Inputs'!$B$7)*('1. Inputs'!$B$9+'1. Inputs'!$B$10*MAX(0,$A46-'1. Inputs'!$C$27-'1. Inputs'!$B$30+1)/(MAX(0,$A46-'1. Inputs'!$C$27-'1. Inputs'!$B$30+1)+'1. Inputs'!$B$11))*'1. Inputs'!$B$13*(1+'1. Inputs'!$B$14*MIN(MAX(0,$A46-'1. Inputs'!$C$27-'1. Inputs'!$B$30+1),'1. Inputs'!$B$15))*'1. Inputs'!$B$31)</f>
        <v>1358417.45454545</v>
      </c>
      <c r="O46" s="22" t="n">
        <f aca="false">SUM(K46:N46)</f>
        <v>11375976.2278101</v>
      </c>
      <c r="P46" s="22" t="n">
        <f aca="false">IF($A46=MAX('1. Inputs'!$B$17,1),'1. Inputs'!$B$3,0)+IF($A46-'1. Inputs'!$B$17&gt;=1,INDEX(O$3:O$86,$A46-'1. Inputs'!$B$17),0)</f>
        <v>9670684.29747623</v>
      </c>
      <c r="Q46" s="22" t="n">
        <f aca="false">Q45*(1-'1. Inputs'!$B$18)+P46</f>
        <v>215280190.792118</v>
      </c>
      <c r="R46" s="22" t="n">
        <f aca="false">Q46*'1. Inputs'!$B$18</f>
        <v>2152801.90792119</v>
      </c>
      <c r="S46" s="22" t="n">
        <f aca="false">S45+O46-R46</f>
        <v>342308147.994679</v>
      </c>
      <c r="T46" s="22" t="n">
        <f aca="false">IF(MAX(0,$A46-'1. Inputs'!$C$24-'1. Inputs'!$B$30+1)&lt;=0,0,'1. Inputs'!$B$24*'1. Inputs'!$B$5*MAX(0,$A46-'1. Inputs'!$C$24-'1. Inputs'!$B$30+1)^'1. Inputs'!$B$7/('1. Inputs'!$B$6^'1. Inputs'!$B$7+MAX(0,$A46-'1. Inputs'!$C$24-'1. Inputs'!$B$30+1)^'1. Inputs'!$B$7)*('1. Inputs'!$B$9+'1. Inputs'!$B$10*MAX(0,$A46-'1. Inputs'!$C$24-'1. Inputs'!$B$30+1)/(MAX(0,$A46-'1. Inputs'!$C$24-'1. Inputs'!$B$30+1)+'1. Inputs'!$B$11))*'1. Inputs'!$B$13*(1+'1. Inputs'!$B$14*MIN(MAX(0,$A46-'1. Inputs'!$C$24-'1. Inputs'!$B$30+1),'1. Inputs'!$B$15))*('1. Inputs'!$B$31*'5. Diagnosing a miss'!$B$22))</f>
        <v>3568501.56618778</v>
      </c>
      <c r="U46" s="22" t="n">
        <f aca="false">IF(MAX(0,$A46-'1. Inputs'!$C$25-'1. Inputs'!$B$30+1)&lt;=0,0,'1. Inputs'!$B$25*'1. Inputs'!$B$5*MAX(0,$A46-'1. Inputs'!$C$25-'1. Inputs'!$B$30+1)^'1. Inputs'!$B$7/('1. Inputs'!$B$6^'1. Inputs'!$B$7+MAX(0,$A46-'1. Inputs'!$C$25-'1. Inputs'!$B$30+1)^'1. Inputs'!$B$7)*('1. Inputs'!$B$9+'1. Inputs'!$B$10*MAX(0,$A46-'1. Inputs'!$C$25-'1. Inputs'!$B$30+1)/(MAX(0,$A46-'1. Inputs'!$C$25-'1. Inputs'!$B$30+1)+'1. Inputs'!$B$11))*'1. Inputs'!$B$13*(1+'1. Inputs'!$B$14*MIN(MAX(0,$A46-'1. Inputs'!$C$25-'1. Inputs'!$B$30+1),'1. Inputs'!$B$15))*('1. Inputs'!$B$31*'5. Diagnosing a miss'!$B$22))</f>
        <v>4628837.15786982</v>
      </c>
      <c r="V46" s="22" t="n">
        <f aca="false">IF(MAX(0,$A46-'1. Inputs'!$C$26-'1. Inputs'!$B$30+1)&lt;=0,0,'1. Inputs'!$B$26*'1. Inputs'!$B$5*MAX(0,$A46-'1. Inputs'!$C$26-'1. Inputs'!$B$30+1)^'1. Inputs'!$B$7/('1. Inputs'!$B$6^'1. Inputs'!$B$7+MAX(0,$A46-'1. Inputs'!$C$26-'1. Inputs'!$B$30+1)^'1. Inputs'!$B$7)*('1. Inputs'!$B$9+'1. Inputs'!$B$10*MAX(0,$A46-'1. Inputs'!$C$26-'1. Inputs'!$B$30+1)/(MAX(0,$A46-'1. Inputs'!$C$26-'1. Inputs'!$B$30+1)+'1. Inputs'!$B$11))*'1. Inputs'!$B$13*(1+'1. Inputs'!$B$14*MIN(MAX(0,$A46-'1. Inputs'!$C$26-'1. Inputs'!$B$30+1),'1. Inputs'!$B$15))*('1. Inputs'!$B$31*'5. Diagnosing a miss'!$B$22))</f>
        <v>1945439.53387283</v>
      </c>
      <c r="W46" s="22" t="n">
        <f aca="false">IF(MAX(0,$A46-'1. Inputs'!$C$27-'1. Inputs'!$B$30+1)&lt;=0,0,'1. Inputs'!$B$27*'1. Inputs'!$B$5*MAX(0,$A46-'1. Inputs'!$C$27-'1. Inputs'!$B$30+1)^'1. Inputs'!$B$7/('1. Inputs'!$B$6^'1. Inputs'!$B$7+MAX(0,$A46-'1. Inputs'!$C$27-'1. Inputs'!$B$30+1)^'1. Inputs'!$B$7)*('1. Inputs'!$B$9+'1. Inputs'!$B$10*MAX(0,$A46-'1. Inputs'!$C$27-'1. Inputs'!$B$30+1)/(MAX(0,$A46-'1. Inputs'!$C$27-'1. Inputs'!$B$30+1)+'1. Inputs'!$B$11))*'1. Inputs'!$B$13*(1+'1. Inputs'!$B$14*MIN(MAX(0,$A46-'1. Inputs'!$C$27-'1. Inputs'!$B$30+1),'1. Inputs'!$B$15))*('1. Inputs'!$B$31*'5. Diagnosing a miss'!$B$22))</f>
        <v>1375397.67272727</v>
      </c>
      <c r="X46" s="22" t="n">
        <f aca="false">SUM(T46:W46)</f>
        <v>11518175.9306577</v>
      </c>
      <c r="Y46" s="22" t="n">
        <f aca="false">IF($A46=MAX('1. Inputs'!$B$17,1),'1. Inputs'!$B$3,0)+IF($A46-'1. Inputs'!$B$17&gt;=1,INDEX(X$3:X$86,$A46-'1. Inputs'!$B$17),0)</f>
        <v>9791567.85119468</v>
      </c>
      <c r="Z46" s="22" t="n">
        <f aca="false">Z45*(1-'1. Inputs'!$B$18)+Y46</f>
        <v>216611855.047099</v>
      </c>
      <c r="AA46" s="22" t="n">
        <f aca="false">Z46*'1. Inputs'!$B$18</f>
        <v>2166118.55047099</v>
      </c>
      <c r="AB46" s="22" t="n">
        <f aca="false">AB45+X46-AA46</f>
        <v>345241255.095991</v>
      </c>
      <c r="AC46" s="22" t="n">
        <f aca="false">IF(MAX(0,$A46-'1. Inputs'!$C$24-('1. Inputs'!$B$30+'5. Diagnosing a miss'!$B$23)+1)&lt;=0,0,'1. Inputs'!$B$24*'1. Inputs'!$B$5*MAX(0,$A46-'1. Inputs'!$C$24-('1. Inputs'!$B$30+'5. Diagnosing a miss'!$B$23)+1)^'1. Inputs'!$B$7/('1. Inputs'!$B$6^'1. Inputs'!$B$7+MAX(0,$A46-'1. Inputs'!$C$24-('1. Inputs'!$B$30+'5. Diagnosing a miss'!$B$23)+1)^'1. Inputs'!$B$7)*('1. Inputs'!$B$9+'1. Inputs'!$B$10*MAX(0,$A46-'1. Inputs'!$C$24-('1. Inputs'!$B$30+'5. Diagnosing a miss'!$B$23)+1)/(MAX(0,$A46-'1. Inputs'!$C$24-('1. Inputs'!$B$30+'5. Diagnosing a miss'!$B$23)+1)+'1. Inputs'!$B$11))*'1. Inputs'!$B$13*(1+'1. Inputs'!$B$14*MIN(MAX(0,$A46-'1. Inputs'!$C$24-('1. Inputs'!$B$30+'5. Diagnosing a miss'!$B$23)+1),'1. Inputs'!$B$15))*'1. Inputs'!$B$31)</f>
        <v>3904611.66100176</v>
      </c>
      <c r="AD46" s="22" t="n">
        <f aca="false">IF(MAX(0,$A46-'1. Inputs'!$C$25-('1. Inputs'!$B$30+'5. Diagnosing a miss'!$B$23)+1)&lt;=0,0,'1. Inputs'!$B$25*'1. Inputs'!$B$5*MAX(0,$A46-'1. Inputs'!$C$25-('1. Inputs'!$B$30+'5. Diagnosing a miss'!$B$23)+1)^'1. Inputs'!$B$7/('1. Inputs'!$B$6^'1. Inputs'!$B$7+MAX(0,$A46-'1. Inputs'!$C$25-('1. Inputs'!$B$30+'5. Diagnosing a miss'!$B$23)+1)^'1. Inputs'!$B$7)*('1. Inputs'!$B$9+'1. Inputs'!$B$10*MAX(0,$A46-'1. Inputs'!$C$25-('1. Inputs'!$B$30+'5. Diagnosing a miss'!$B$23)+1)/(MAX(0,$A46-'1. Inputs'!$C$25-('1. Inputs'!$B$30+'5. Diagnosing a miss'!$B$23)+1)+'1. Inputs'!$B$11))*'1. Inputs'!$B$13*(1+'1. Inputs'!$B$14*MIN(MAX(0,$A46-'1. Inputs'!$C$25-('1. Inputs'!$B$30+'5. Diagnosing a miss'!$B$23)+1),'1. Inputs'!$B$15))*'1. Inputs'!$B$31)</f>
        <v>5030752.29357798</v>
      </c>
      <c r="AE46" s="22" t="n">
        <f aca="false">IF(MAX(0,$A46-'1. Inputs'!$C$26-('1. Inputs'!$B$30+'5. Diagnosing a miss'!$B$23)+1)&lt;=0,0,'1. Inputs'!$B$26*'1. Inputs'!$B$5*MAX(0,$A46-'1. Inputs'!$C$26-('1. Inputs'!$B$30+'5. Diagnosing a miss'!$B$23)+1)^'1. Inputs'!$B$7/('1. Inputs'!$B$6^'1. Inputs'!$B$7+MAX(0,$A46-'1. Inputs'!$C$26-('1. Inputs'!$B$30+'5. Diagnosing a miss'!$B$23)+1)^'1. Inputs'!$B$7)*('1. Inputs'!$B$9+'1. Inputs'!$B$10*MAX(0,$A46-'1. Inputs'!$C$26-('1. Inputs'!$B$30+'5. Diagnosing a miss'!$B$23)+1)/(MAX(0,$A46-'1. Inputs'!$C$26-('1. Inputs'!$B$30+'5. Diagnosing a miss'!$B$23)+1)+'1. Inputs'!$B$11))*'1. Inputs'!$B$13*(1+'1. Inputs'!$B$14*MIN(MAX(0,$A46-'1. Inputs'!$C$26-('1. Inputs'!$B$30+'5. Diagnosing a miss'!$B$23)+1),'1. Inputs'!$B$15))*'1. Inputs'!$B$31)</f>
        <v>2089541.25925249</v>
      </c>
      <c r="AF46" s="22" t="n">
        <f aca="false">IF(MAX(0,$A46-'1. Inputs'!$C$27-('1. Inputs'!$B$30+'5. Diagnosing a miss'!$B$23)+1)&lt;=0,0,'1. Inputs'!$B$27*'1. Inputs'!$B$5*MAX(0,$A46-'1. Inputs'!$C$27-('1. Inputs'!$B$30+'5. Diagnosing a miss'!$B$23)+1)^'1. Inputs'!$B$7/('1. Inputs'!$B$6^'1. Inputs'!$B$7+MAX(0,$A46-'1. Inputs'!$C$27-('1. Inputs'!$B$30+'5. Diagnosing a miss'!$B$23)+1)^'1. Inputs'!$B$7)*('1. Inputs'!$B$9+'1. Inputs'!$B$10*MAX(0,$A46-'1. Inputs'!$C$27-('1. Inputs'!$B$30+'5. Diagnosing a miss'!$B$23)+1)/(MAX(0,$A46-'1. Inputs'!$C$27-('1. Inputs'!$B$30+'5. Diagnosing a miss'!$B$23)+1)+'1. Inputs'!$B$11))*'1. Inputs'!$B$13*(1+'1. Inputs'!$B$14*MIN(MAX(0,$A46-'1. Inputs'!$C$27-('1. Inputs'!$B$30+'5. Diagnosing a miss'!$B$23)+1),'1. Inputs'!$B$15))*'1. Inputs'!$B$31)</f>
        <v>1472287.56164384</v>
      </c>
      <c r="AG46" s="22" t="n">
        <f aca="false">SUM(AC46:AF46)</f>
        <v>12497192.7754761</v>
      </c>
      <c r="AH46" s="22" t="n">
        <f aca="false">IF($A46=MAX('1. Inputs'!$B$17,1),'1. Inputs'!$B$3,0)+IF($A46-'1. Inputs'!$B$17&gt;=1,INDEX(AG$3:AG$86,$A46-'1. Inputs'!$B$17),0)</f>
        <v>9915934.17440624</v>
      </c>
      <c r="AI46" s="22" t="n">
        <f aca="false">AI45*(1-'1. Inputs'!$B$18)+AH46</f>
        <v>199889883.073809</v>
      </c>
      <c r="AJ46" s="22" t="n">
        <f aca="false">AI46*'1. Inputs'!$B$18</f>
        <v>1998898.83073809</v>
      </c>
      <c r="AK46" s="22" t="n">
        <f aca="false">AK45+AG46-AJ46</f>
        <v>336835319.28496</v>
      </c>
    </row>
    <row r="47" customFormat="false" ht="15" hidden="false" customHeight="false" outlineLevel="0" collapsed="false">
      <c r="A47" s="7" t="n">
        <v>45</v>
      </c>
      <c r="B47" s="22" t="n">
        <f aca="false">IF(MAX(0,$A47-'1. Inputs'!$C$24-'1. Inputs'!$B$30+1)&lt;=0,0,'1. Inputs'!$B$24*'1. Inputs'!$B$5*MAX(0,$A47-'1. Inputs'!$C$24-'1. Inputs'!$B$30+1)^'1. Inputs'!$B$7/('1. Inputs'!$B$6^'1. Inputs'!$B$7+MAX(0,$A47-'1. Inputs'!$C$24-'1. Inputs'!$B$30+1)^'1. Inputs'!$B$7)*('1. Inputs'!$B$9+'1. Inputs'!$B$10*MAX(0,$A47-'1. Inputs'!$C$24-'1. Inputs'!$B$30+1)/(MAX(0,$A47-'1. Inputs'!$C$24-'1. Inputs'!$B$30+1)+'1. Inputs'!$B$11))*'1. Inputs'!$B$13*(1+'1. Inputs'!$B$14*MIN(MAX(0,$A47-'1. Inputs'!$C$24-'1. Inputs'!$B$30+1),'1. Inputs'!$B$15))*'1. Inputs'!$B$31)</f>
        <v>3982791.47865169</v>
      </c>
      <c r="C47" s="22" t="n">
        <f aca="false">IF(MAX(0,$A47-'1. Inputs'!$C$25-'1. Inputs'!$B$30+1)&lt;=0,0,'1. Inputs'!$B$25*'1. Inputs'!$B$5*MAX(0,$A47-'1. Inputs'!$C$25-'1. Inputs'!$B$30+1)^'1. Inputs'!$B$7/('1. Inputs'!$B$6^'1. Inputs'!$B$7+MAX(0,$A47-'1. Inputs'!$C$25-'1. Inputs'!$B$30+1)^'1. Inputs'!$B$7)*('1. Inputs'!$B$9+'1. Inputs'!$B$10*MAX(0,$A47-'1. Inputs'!$C$25-'1. Inputs'!$B$30+1)/(MAX(0,$A47-'1. Inputs'!$C$25-'1. Inputs'!$B$30+1)+'1. Inputs'!$B$11))*'1. Inputs'!$B$13*(1+'1. Inputs'!$B$14*MIN(MAX(0,$A47-'1. Inputs'!$C$25-'1. Inputs'!$B$30+1),'1. Inputs'!$B$15))*'1. Inputs'!$B$31)</f>
        <v>5175698.14971706</v>
      </c>
      <c r="D47" s="22" t="n">
        <f aca="false">IF(MAX(0,$A47-'1. Inputs'!$C$26-'1. Inputs'!$B$30+1)&lt;=0,0,'1. Inputs'!$B$26*'1. Inputs'!$B$5*MAX(0,$A47-'1. Inputs'!$C$26-'1. Inputs'!$B$30+1)^'1. Inputs'!$B$7/('1. Inputs'!$B$6^'1. Inputs'!$B$7+MAX(0,$A47-'1. Inputs'!$C$26-'1. Inputs'!$B$30+1)^'1. Inputs'!$B$7)*('1. Inputs'!$B$9+'1. Inputs'!$B$10*MAX(0,$A47-'1. Inputs'!$C$26-'1. Inputs'!$B$30+1)/(MAX(0,$A47-'1. Inputs'!$C$26-'1. Inputs'!$B$30+1)+'1. Inputs'!$B$11))*'1. Inputs'!$B$13*(1+'1. Inputs'!$B$14*MIN(MAX(0,$A47-'1. Inputs'!$C$26-'1. Inputs'!$B$30+1),'1. Inputs'!$B$15))*'1. Inputs'!$B$31)</f>
        <v>2182026.12754881</v>
      </c>
      <c r="E47" s="22" t="n">
        <f aca="false">IF(MAX(0,$A47-'1. Inputs'!$C$27-'1. Inputs'!$B$30+1)&lt;=0,0,'1. Inputs'!$B$27*'1. Inputs'!$B$5*MAX(0,$A47-'1. Inputs'!$C$27-'1. Inputs'!$B$30+1)^'1. Inputs'!$B$7/('1. Inputs'!$B$6^'1. Inputs'!$B$7+MAX(0,$A47-'1. Inputs'!$C$27-'1. Inputs'!$B$30+1)^'1. Inputs'!$B$7)*('1. Inputs'!$B$9+'1. Inputs'!$B$10*MAX(0,$A47-'1. Inputs'!$C$27-'1. Inputs'!$B$30+1)/(MAX(0,$A47-'1. Inputs'!$C$27-'1. Inputs'!$B$30+1)+'1. Inputs'!$B$11))*'1. Inputs'!$B$13*(1+'1. Inputs'!$B$14*MIN(MAX(0,$A47-'1. Inputs'!$C$27-'1. Inputs'!$B$30+1),'1. Inputs'!$B$15))*'1. Inputs'!$B$31)</f>
        <v>1543999.6300578</v>
      </c>
      <c r="F47" s="22" t="n">
        <f aca="false">SUM(B47:E47)</f>
        <v>12884515.3859754</v>
      </c>
      <c r="G47" s="22" t="n">
        <f aca="false">IF($A47=MAX('1. Inputs'!$B$17,1),'1. Inputs'!$B$3,0)+IF($A47-'1. Inputs'!$B$17&gt;=1,INDEX(F$3:F$86,$A47-'1. Inputs'!$B$17),0)</f>
        <v>11155874.9588582</v>
      </c>
      <c r="H47" s="22" t="n">
        <f aca="false">H46*(1-'1. Inputs'!$B$18)+G47</f>
        <v>237466739.967363</v>
      </c>
      <c r="I47" s="22" t="n">
        <f aca="false">H47*'1. Inputs'!$B$18</f>
        <v>2374667.39967363</v>
      </c>
      <c r="J47" s="22" t="n">
        <f aca="false">J46+F47-I47</f>
        <v>382149066.994098</v>
      </c>
      <c r="K47" s="22" t="n">
        <f aca="false">IF(MAX(0,$A47-'1. Inputs'!$C$24-'1. Inputs'!$B$30+1)&lt;=0,0,'1. Inputs'!$B$24*('1. Inputs'!$B$5-'5. Diagnosing a miss'!$B$21)*MAX(0,$A47-'1. Inputs'!$C$24-'1. Inputs'!$B$30+1)^'1. Inputs'!$B$7/('1. Inputs'!$B$6^'1. Inputs'!$B$7+MAX(0,$A47-'1. Inputs'!$C$24-'1. Inputs'!$B$30+1)^'1. Inputs'!$B$7)*('1. Inputs'!$B$9+'1. Inputs'!$B$10*MAX(0,$A47-'1. Inputs'!$C$24-'1. Inputs'!$B$30+1)/(MAX(0,$A47-'1. Inputs'!$C$24-'1. Inputs'!$B$30+1)+'1. Inputs'!$B$11))*'1. Inputs'!$B$13*(1+'1. Inputs'!$B$14*MIN(MAX(0,$A47-'1. Inputs'!$C$24-'1. Inputs'!$B$30+1),'1. Inputs'!$B$15))*'1. Inputs'!$B$31)</f>
        <v>3540259.09213483</v>
      </c>
      <c r="L47" s="22" t="n">
        <f aca="false">IF(MAX(0,$A47-'1. Inputs'!$C$25-'1. Inputs'!$B$30+1)&lt;=0,0,'1. Inputs'!$B$25*('1. Inputs'!$B$5-'5. Diagnosing a miss'!$B$21)*MAX(0,$A47-'1. Inputs'!$C$25-'1. Inputs'!$B$30+1)^'1. Inputs'!$B$7/('1. Inputs'!$B$6^'1. Inputs'!$B$7+MAX(0,$A47-'1. Inputs'!$C$25-'1. Inputs'!$B$30+1)^'1. Inputs'!$B$7)*('1. Inputs'!$B$9+'1. Inputs'!$B$10*MAX(0,$A47-'1. Inputs'!$C$25-'1. Inputs'!$B$30+1)/(MAX(0,$A47-'1. Inputs'!$C$25-'1. Inputs'!$B$30+1)+'1. Inputs'!$B$11))*'1. Inputs'!$B$13*(1+'1. Inputs'!$B$14*MIN(MAX(0,$A47-'1. Inputs'!$C$25-'1. Inputs'!$B$30+1),'1. Inputs'!$B$15))*'1. Inputs'!$B$31)</f>
        <v>4600620.57752627</v>
      </c>
      <c r="M47" s="22" t="n">
        <f aca="false">IF(MAX(0,$A47-'1. Inputs'!$C$26-'1. Inputs'!$B$30+1)&lt;=0,0,'1. Inputs'!$B$26*('1. Inputs'!$B$5-'5. Diagnosing a miss'!$B$21)*MAX(0,$A47-'1. Inputs'!$C$26-'1. Inputs'!$B$30+1)^'1. Inputs'!$B$7/('1. Inputs'!$B$6^'1. Inputs'!$B$7+MAX(0,$A47-'1. Inputs'!$C$26-'1. Inputs'!$B$30+1)^'1. Inputs'!$B$7)*('1. Inputs'!$B$9+'1. Inputs'!$B$10*MAX(0,$A47-'1. Inputs'!$C$26-'1. Inputs'!$B$30+1)/(MAX(0,$A47-'1. Inputs'!$C$26-'1. Inputs'!$B$30+1)+'1. Inputs'!$B$11))*'1. Inputs'!$B$13*(1+'1. Inputs'!$B$14*MIN(MAX(0,$A47-'1. Inputs'!$C$26-'1. Inputs'!$B$30+1),'1. Inputs'!$B$15))*'1. Inputs'!$B$31)</f>
        <v>1939578.78004338</v>
      </c>
      <c r="N47" s="22" t="n">
        <f aca="false">IF(MAX(0,$A47-'1. Inputs'!$C$27-'1. Inputs'!$B$30+1)&lt;=0,0,'1. Inputs'!$B$27*('1. Inputs'!$B$5-'5. Diagnosing a miss'!$B$21)*MAX(0,$A47-'1. Inputs'!$C$27-'1. Inputs'!$B$30+1)^'1. Inputs'!$B$7/('1. Inputs'!$B$6^'1. Inputs'!$B$7+MAX(0,$A47-'1. Inputs'!$C$27-'1. Inputs'!$B$30+1)^'1. Inputs'!$B$7)*('1. Inputs'!$B$9+'1. Inputs'!$B$10*MAX(0,$A47-'1. Inputs'!$C$27-'1. Inputs'!$B$30+1)/(MAX(0,$A47-'1. Inputs'!$C$27-'1. Inputs'!$B$30+1)+'1. Inputs'!$B$11))*'1. Inputs'!$B$13*(1+'1. Inputs'!$B$14*MIN(MAX(0,$A47-'1. Inputs'!$C$27-'1. Inputs'!$B$30+1),'1. Inputs'!$B$15))*'1. Inputs'!$B$31)</f>
        <v>1372444.11560694</v>
      </c>
      <c r="O47" s="22" t="n">
        <f aca="false">SUM(K47:N47)</f>
        <v>11452902.5653114</v>
      </c>
      <c r="P47" s="22" t="n">
        <f aca="false">IF($A47=MAX('1. Inputs'!$B$17,1),'1. Inputs'!$B$3,0)+IF($A47-'1. Inputs'!$B$17&gt;=1,INDEX(O$3:O$86,$A47-'1. Inputs'!$B$17),0)</f>
        <v>9916333.29676283</v>
      </c>
      <c r="Q47" s="22" t="n">
        <f aca="false">Q46*(1-'1. Inputs'!$B$18)+P47</f>
        <v>223043722.18096</v>
      </c>
      <c r="R47" s="22" t="n">
        <f aca="false">Q47*'1. Inputs'!$B$18</f>
        <v>2230437.2218096</v>
      </c>
      <c r="S47" s="22" t="n">
        <f aca="false">S46+O47-R47</f>
        <v>351530613.338181</v>
      </c>
      <c r="T47" s="22" t="n">
        <f aca="false">IF(MAX(0,$A47-'1. Inputs'!$C$24-'1. Inputs'!$B$30+1)&lt;=0,0,'1. Inputs'!$B$24*'1. Inputs'!$B$5*MAX(0,$A47-'1. Inputs'!$C$24-'1. Inputs'!$B$30+1)^'1. Inputs'!$B$7/('1. Inputs'!$B$6^'1. Inputs'!$B$7+MAX(0,$A47-'1. Inputs'!$C$24-'1. Inputs'!$B$30+1)^'1. Inputs'!$B$7)*('1. Inputs'!$B$9+'1. Inputs'!$B$10*MAX(0,$A47-'1. Inputs'!$C$24-'1. Inputs'!$B$30+1)/(MAX(0,$A47-'1. Inputs'!$C$24-'1. Inputs'!$B$30+1)+'1. Inputs'!$B$11))*'1. Inputs'!$B$13*(1+'1. Inputs'!$B$14*MIN(MAX(0,$A47-'1. Inputs'!$C$24-'1. Inputs'!$B$30+1),'1. Inputs'!$B$15))*('1. Inputs'!$B$31*'5. Diagnosing a miss'!$B$22))</f>
        <v>3584512.33078652</v>
      </c>
      <c r="U47" s="22" t="n">
        <f aca="false">IF(MAX(0,$A47-'1. Inputs'!$C$25-'1. Inputs'!$B$30+1)&lt;=0,0,'1. Inputs'!$B$25*'1. Inputs'!$B$5*MAX(0,$A47-'1. Inputs'!$C$25-'1. Inputs'!$B$30+1)^'1. Inputs'!$B$7/('1. Inputs'!$B$6^'1. Inputs'!$B$7+MAX(0,$A47-'1. Inputs'!$C$25-'1. Inputs'!$B$30+1)^'1. Inputs'!$B$7)*('1. Inputs'!$B$9+'1. Inputs'!$B$10*MAX(0,$A47-'1. Inputs'!$C$25-'1. Inputs'!$B$30+1)/(MAX(0,$A47-'1. Inputs'!$C$25-'1. Inputs'!$B$30+1)+'1. Inputs'!$B$11))*'1. Inputs'!$B$13*(1+'1. Inputs'!$B$14*MIN(MAX(0,$A47-'1. Inputs'!$C$25-'1. Inputs'!$B$30+1),'1. Inputs'!$B$15))*('1. Inputs'!$B$31*'5. Diagnosing a miss'!$B$22))</f>
        <v>4658128.33474535</v>
      </c>
      <c r="V47" s="22" t="n">
        <f aca="false">IF(MAX(0,$A47-'1. Inputs'!$C$26-'1. Inputs'!$B$30+1)&lt;=0,0,'1. Inputs'!$B$26*'1. Inputs'!$B$5*MAX(0,$A47-'1. Inputs'!$C$26-'1. Inputs'!$B$30+1)^'1. Inputs'!$B$7/('1. Inputs'!$B$6^'1. Inputs'!$B$7+MAX(0,$A47-'1. Inputs'!$C$26-'1. Inputs'!$B$30+1)^'1. Inputs'!$B$7)*('1. Inputs'!$B$9+'1. Inputs'!$B$10*MAX(0,$A47-'1. Inputs'!$C$26-'1. Inputs'!$B$30+1)/(MAX(0,$A47-'1. Inputs'!$C$26-'1. Inputs'!$B$30+1)+'1. Inputs'!$B$11))*'1. Inputs'!$B$13*(1+'1. Inputs'!$B$14*MIN(MAX(0,$A47-'1. Inputs'!$C$26-'1. Inputs'!$B$30+1),'1. Inputs'!$B$15))*('1. Inputs'!$B$31*'5. Diagnosing a miss'!$B$22))</f>
        <v>1963823.51479393</v>
      </c>
      <c r="W47" s="22" t="n">
        <f aca="false">IF(MAX(0,$A47-'1. Inputs'!$C$27-'1. Inputs'!$B$30+1)&lt;=0,0,'1. Inputs'!$B$27*'1. Inputs'!$B$5*MAX(0,$A47-'1. Inputs'!$C$27-'1. Inputs'!$B$30+1)^'1. Inputs'!$B$7/('1. Inputs'!$B$6^'1. Inputs'!$B$7+MAX(0,$A47-'1. Inputs'!$C$27-'1. Inputs'!$B$30+1)^'1. Inputs'!$B$7)*('1. Inputs'!$B$9+'1. Inputs'!$B$10*MAX(0,$A47-'1. Inputs'!$C$27-'1. Inputs'!$B$30+1)/(MAX(0,$A47-'1. Inputs'!$C$27-'1. Inputs'!$B$30+1)+'1. Inputs'!$B$11))*'1. Inputs'!$B$13*(1+'1. Inputs'!$B$14*MIN(MAX(0,$A47-'1. Inputs'!$C$27-'1. Inputs'!$B$30+1),'1. Inputs'!$B$15))*('1. Inputs'!$B$31*'5. Diagnosing a miss'!$B$22))</f>
        <v>1389599.66705202</v>
      </c>
      <c r="X47" s="22" t="n">
        <f aca="false">SUM(T47:W47)</f>
        <v>11596063.8473778</v>
      </c>
      <c r="Y47" s="22" t="n">
        <f aca="false">IF($A47=MAX('1. Inputs'!$B$17,1),'1. Inputs'!$B$3,0)+IF($A47-'1. Inputs'!$B$17&gt;=1,INDEX(X$3:X$86,$A47-'1. Inputs'!$B$17),0)</f>
        <v>10040287.4629724</v>
      </c>
      <c r="Z47" s="22" t="n">
        <f aca="false">Z46*(1-'1. Inputs'!$B$18)+Y47</f>
        <v>224486023.9596</v>
      </c>
      <c r="AA47" s="22" t="n">
        <f aca="false">Z47*'1. Inputs'!$B$18</f>
        <v>2244860.239596</v>
      </c>
      <c r="AB47" s="22" t="n">
        <f aca="false">AB46+X47-AA47</f>
        <v>354592458.703773</v>
      </c>
      <c r="AC47" s="22" t="n">
        <f aca="false">IF(MAX(0,$A47-'1. Inputs'!$C$24-('1. Inputs'!$B$30+'5. Diagnosing a miss'!$B$23)+1)&lt;=0,0,'1. Inputs'!$B$24*'1. Inputs'!$B$5*MAX(0,$A47-'1. Inputs'!$C$24-('1. Inputs'!$B$30+'5. Diagnosing a miss'!$B$23)+1)^'1. Inputs'!$B$7/('1. Inputs'!$B$6^'1. Inputs'!$B$7+MAX(0,$A47-'1. Inputs'!$C$24-('1. Inputs'!$B$30+'5. Diagnosing a miss'!$B$23)+1)^'1. Inputs'!$B$7)*('1. Inputs'!$B$9+'1. Inputs'!$B$10*MAX(0,$A47-'1. Inputs'!$C$24-('1. Inputs'!$B$30+'5. Diagnosing a miss'!$B$23)+1)/(MAX(0,$A47-'1. Inputs'!$C$24-('1. Inputs'!$B$30+'5. Diagnosing a miss'!$B$23)+1)+'1. Inputs'!$B$11))*'1. Inputs'!$B$13*(1+'1. Inputs'!$B$14*MIN(MAX(0,$A47-'1. Inputs'!$C$24-('1. Inputs'!$B$30+'5. Diagnosing a miss'!$B$23)+1),'1. Inputs'!$B$15))*'1. Inputs'!$B$31)</f>
        <v>3926016</v>
      </c>
      <c r="AD47" s="22" t="n">
        <f aca="false">IF(MAX(0,$A47-'1. Inputs'!$C$25-('1. Inputs'!$B$30+'5. Diagnosing a miss'!$B$23)+1)&lt;=0,0,'1. Inputs'!$B$25*'1. Inputs'!$B$5*MAX(0,$A47-'1. Inputs'!$C$25-('1. Inputs'!$B$30+'5. Diagnosing a miss'!$B$23)+1)^'1. Inputs'!$B$7/('1. Inputs'!$B$6^'1. Inputs'!$B$7+MAX(0,$A47-'1. Inputs'!$C$25-('1. Inputs'!$B$30+'5. Diagnosing a miss'!$B$23)+1)^'1. Inputs'!$B$7)*('1. Inputs'!$B$9+'1. Inputs'!$B$10*MAX(0,$A47-'1. Inputs'!$C$25-('1. Inputs'!$B$30+'5. Diagnosing a miss'!$B$23)+1)/(MAX(0,$A47-'1. Inputs'!$C$25-('1. Inputs'!$B$30+'5. Diagnosing a miss'!$B$23)+1)+'1. Inputs'!$B$11))*'1. Inputs'!$B$13*(1+'1. Inputs'!$B$14*MIN(MAX(0,$A47-'1. Inputs'!$C$25-('1. Inputs'!$B$30+'5. Diagnosing a miss'!$B$23)+1),'1. Inputs'!$B$15))*'1. Inputs'!$B$31)</f>
        <v>5070926.15323961</v>
      </c>
      <c r="AE47" s="22" t="n">
        <f aca="false">IF(MAX(0,$A47-'1. Inputs'!$C$26-('1. Inputs'!$B$30+'5. Diagnosing a miss'!$B$23)+1)&lt;=0,0,'1. Inputs'!$B$26*'1. Inputs'!$B$5*MAX(0,$A47-'1. Inputs'!$C$26-('1. Inputs'!$B$30+'5. Diagnosing a miss'!$B$23)+1)^'1. Inputs'!$B$7/('1. Inputs'!$B$6^'1. Inputs'!$B$7+MAX(0,$A47-'1. Inputs'!$C$26-('1. Inputs'!$B$30+'5. Diagnosing a miss'!$B$23)+1)^'1. Inputs'!$B$7)*('1. Inputs'!$B$9+'1. Inputs'!$B$10*MAX(0,$A47-'1. Inputs'!$C$26-('1. Inputs'!$B$30+'5. Diagnosing a miss'!$B$23)+1)/(MAX(0,$A47-'1. Inputs'!$C$26-('1. Inputs'!$B$30+'5. Diagnosing a miss'!$B$23)+1)+'1. Inputs'!$B$11))*'1. Inputs'!$B$13*(1+'1. Inputs'!$B$14*MIN(MAX(0,$A47-'1. Inputs'!$C$26-('1. Inputs'!$B$30+'5. Diagnosing a miss'!$B$23)+1),'1. Inputs'!$B$15))*'1. Inputs'!$B$31)</f>
        <v>2115560.30647292</v>
      </c>
      <c r="AF47" s="22" t="n">
        <f aca="false">IF(MAX(0,$A47-'1. Inputs'!$C$27-('1. Inputs'!$B$30+'5. Diagnosing a miss'!$B$23)+1)&lt;=0,0,'1. Inputs'!$B$27*'1. Inputs'!$B$5*MAX(0,$A47-'1. Inputs'!$C$27-('1. Inputs'!$B$30+'5. Diagnosing a miss'!$B$23)+1)^'1. Inputs'!$B$7/('1. Inputs'!$B$6^'1. Inputs'!$B$7+MAX(0,$A47-'1. Inputs'!$C$27-('1. Inputs'!$B$30+'5. Diagnosing a miss'!$B$23)+1)^'1. Inputs'!$B$7)*('1. Inputs'!$B$9+'1. Inputs'!$B$10*MAX(0,$A47-'1. Inputs'!$C$27-('1. Inputs'!$B$30+'5. Diagnosing a miss'!$B$23)+1)/(MAX(0,$A47-'1. Inputs'!$C$27-('1. Inputs'!$B$30+'5. Diagnosing a miss'!$B$23)+1)+'1. Inputs'!$B$11))*'1. Inputs'!$B$13*(1+'1. Inputs'!$B$14*MIN(MAX(0,$A47-'1. Inputs'!$C$27-('1. Inputs'!$B$30+'5. Diagnosing a miss'!$B$23)+1),'1. Inputs'!$B$15))*'1. Inputs'!$B$31)</f>
        <v>1492529.47089464</v>
      </c>
      <c r="AG47" s="22" t="n">
        <f aca="false">SUM(AC47:AF47)</f>
        <v>12605031.9306072</v>
      </c>
      <c r="AH47" s="22" t="n">
        <f aca="false">IF($A47=MAX('1. Inputs'!$B$17,1),'1. Inputs'!$B$3,0)+IF($A47-'1. Inputs'!$B$17&gt;=1,INDEX(AG$3:AG$86,$A47-'1. Inputs'!$B$17),0)</f>
        <v>10262094.0667327</v>
      </c>
      <c r="AI47" s="22" t="n">
        <f aca="false">AI46*(1-'1. Inputs'!$B$18)+AH47</f>
        <v>208153078.309803</v>
      </c>
      <c r="AJ47" s="22" t="n">
        <f aca="false">AI47*'1. Inputs'!$B$18</f>
        <v>2081530.78309803</v>
      </c>
      <c r="AK47" s="22" t="n">
        <f aca="false">AK46+AG47-AJ47</f>
        <v>347358820.432469</v>
      </c>
    </row>
    <row r="48" customFormat="false" ht="15" hidden="false" customHeight="false" outlineLevel="0" collapsed="false">
      <c r="A48" s="7" t="n">
        <v>46</v>
      </c>
      <c r="B48" s="22" t="n">
        <f aca="false">IF(MAX(0,$A48-'1. Inputs'!$C$24-'1. Inputs'!$B$30+1)&lt;=0,0,'1. Inputs'!$B$24*'1. Inputs'!$B$5*MAX(0,$A48-'1. Inputs'!$C$24-'1. Inputs'!$B$30+1)^'1. Inputs'!$B$7/('1. Inputs'!$B$6^'1. Inputs'!$B$7+MAX(0,$A48-'1. Inputs'!$C$24-'1. Inputs'!$B$30+1)^'1. Inputs'!$B$7)*('1. Inputs'!$B$9+'1. Inputs'!$B$10*MAX(0,$A48-'1. Inputs'!$C$24-'1. Inputs'!$B$30+1)/(MAX(0,$A48-'1. Inputs'!$C$24-'1. Inputs'!$B$30+1)+'1. Inputs'!$B$11))*'1. Inputs'!$B$13*(1+'1. Inputs'!$B$14*MIN(MAX(0,$A48-'1. Inputs'!$C$24-'1. Inputs'!$B$30+1),'1. Inputs'!$B$15))*'1. Inputs'!$B$31)</f>
        <v>3999567.1313659</v>
      </c>
      <c r="C48" s="22" t="n">
        <f aca="false">IF(MAX(0,$A48-'1. Inputs'!$C$25-'1. Inputs'!$B$30+1)&lt;=0,0,'1. Inputs'!$B$25*'1. Inputs'!$B$5*MAX(0,$A48-'1. Inputs'!$C$25-'1. Inputs'!$B$30+1)^'1. Inputs'!$B$7/('1. Inputs'!$B$6^'1. Inputs'!$B$7+MAX(0,$A48-'1. Inputs'!$C$25-'1. Inputs'!$B$30+1)^'1. Inputs'!$B$7)*('1. Inputs'!$B$9+'1. Inputs'!$B$10*MAX(0,$A48-'1. Inputs'!$C$25-'1. Inputs'!$B$30+1)/(MAX(0,$A48-'1. Inputs'!$C$25-'1. Inputs'!$B$30+1)+'1. Inputs'!$B$11))*'1. Inputs'!$B$13*(1+'1. Inputs'!$B$14*MIN(MAX(0,$A48-'1. Inputs'!$C$25-'1. Inputs'!$B$30+1),'1. Inputs'!$B$15))*'1. Inputs'!$B$31)</f>
        <v>5206148.88133567</v>
      </c>
      <c r="D48" s="22" t="n">
        <f aca="false">IF(MAX(0,$A48-'1. Inputs'!$C$26-'1. Inputs'!$B$30+1)&lt;=0,0,'1. Inputs'!$B$26*'1. Inputs'!$B$5*MAX(0,$A48-'1. Inputs'!$C$26-'1. Inputs'!$B$30+1)^'1. Inputs'!$B$7/('1. Inputs'!$B$6^'1. Inputs'!$B$7+MAX(0,$A48-'1. Inputs'!$C$26-'1. Inputs'!$B$30+1)^'1. Inputs'!$B$7)*('1. Inputs'!$B$9+'1. Inputs'!$B$10*MAX(0,$A48-'1. Inputs'!$C$26-'1. Inputs'!$B$30+1)/(MAX(0,$A48-'1. Inputs'!$C$26-'1. Inputs'!$B$30+1)+'1. Inputs'!$B$11))*'1. Inputs'!$B$13*(1+'1. Inputs'!$B$14*MIN(MAX(0,$A48-'1. Inputs'!$C$26-'1. Inputs'!$B$30+1),'1. Inputs'!$B$15))*'1. Inputs'!$B$31)</f>
        <v>2200954.12844037</v>
      </c>
      <c r="E48" s="22" t="n">
        <f aca="false">IF(MAX(0,$A48-'1. Inputs'!$C$27-'1. Inputs'!$B$30+1)&lt;=0,0,'1. Inputs'!$B$27*'1. Inputs'!$B$5*MAX(0,$A48-'1. Inputs'!$C$27-'1. Inputs'!$B$30+1)^'1. Inputs'!$B$7/('1. Inputs'!$B$6^'1. Inputs'!$B$7+MAX(0,$A48-'1. Inputs'!$C$27-'1. Inputs'!$B$30+1)^'1. Inputs'!$B$7)*('1. Inputs'!$B$9+'1. Inputs'!$B$10*MAX(0,$A48-'1. Inputs'!$C$27-'1. Inputs'!$B$30+1)/(MAX(0,$A48-'1. Inputs'!$C$27-'1. Inputs'!$B$30+1)+'1. Inputs'!$B$11))*'1. Inputs'!$B$13*(1+'1. Inputs'!$B$14*MIN(MAX(0,$A48-'1. Inputs'!$C$27-'1. Inputs'!$B$30+1),'1. Inputs'!$B$15))*'1. Inputs'!$B$31)</f>
        <v>1558590.09110629</v>
      </c>
      <c r="F48" s="22" t="n">
        <f aca="false">SUM(B48:E48)</f>
        <v>12965260.2322482</v>
      </c>
      <c r="G48" s="22" t="n">
        <f aca="false">IF($A48=MAX('1. Inputs'!$B$17,1),'1. Inputs'!$B$3,0)+IF($A48-'1. Inputs'!$B$17&gt;=1,INDEX(F$3:F$86,$A48-'1. Inputs'!$B$17),0)</f>
        <v>11413702.636521</v>
      </c>
      <c r="H48" s="22" t="n">
        <f aca="false">H47*(1-'1. Inputs'!$B$18)+G48</f>
        <v>246505775.20421</v>
      </c>
      <c r="I48" s="22" t="n">
        <f aca="false">H48*'1. Inputs'!$B$18</f>
        <v>2465057.7520421</v>
      </c>
      <c r="J48" s="22" t="n">
        <f aca="false">J47+F48-I48</f>
        <v>392649269.474304</v>
      </c>
      <c r="K48" s="22" t="n">
        <f aca="false">IF(MAX(0,$A48-'1. Inputs'!$C$24-'1. Inputs'!$B$30+1)&lt;=0,0,'1. Inputs'!$B$24*('1. Inputs'!$B$5-'5. Diagnosing a miss'!$B$21)*MAX(0,$A48-'1. Inputs'!$C$24-'1. Inputs'!$B$30+1)^'1. Inputs'!$B$7/('1. Inputs'!$B$6^'1. Inputs'!$B$7+MAX(0,$A48-'1. Inputs'!$C$24-'1. Inputs'!$B$30+1)^'1. Inputs'!$B$7)*('1. Inputs'!$B$9+'1. Inputs'!$B$10*MAX(0,$A48-'1. Inputs'!$C$24-'1. Inputs'!$B$30+1)/(MAX(0,$A48-'1. Inputs'!$C$24-'1. Inputs'!$B$30+1)+'1. Inputs'!$B$11))*'1. Inputs'!$B$13*(1+'1. Inputs'!$B$14*MIN(MAX(0,$A48-'1. Inputs'!$C$24-'1. Inputs'!$B$30+1),'1. Inputs'!$B$15))*'1. Inputs'!$B$31)</f>
        <v>3555170.78343636</v>
      </c>
      <c r="L48" s="22" t="n">
        <f aca="false">IF(MAX(0,$A48-'1. Inputs'!$C$25-'1. Inputs'!$B$30+1)&lt;=0,0,'1. Inputs'!$B$25*('1. Inputs'!$B$5-'5. Diagnosing a miss'!$B$21)*MAX(0,$A48-'1. Inputs'!$C$25-'1. Inputs'!$B$30+1)^'1. Inputs'!$B$7/('1. Inputs'!$B$6^'1. Inputs'!$B$7+MAX(0,$A48-'1. Inputs'!$C$25-'1. Inputs'!$B$30+1)^'1. Inputs'!$B$7)*('1. Inputs'!$B$9+'1. Inputs'!$B$10*MAX(0,$A48-'1. Inputs'!$C$25-'1. Inputs'!$B$30+1)/(MAX(0,$A48-'1. Inputs'!$C$25-'1. Inputs'!$B$30+1)+'1. Inputs'!$B$11))*'1. Inputs'!$B$13*(1+'1. Inputs'!$B$14*MIN(MAX(0,$A48-'1. Inputs'!$C$25-'1. Inputs'!$B$30+1),'1. Inputs'!$B$15))*'1. Inputs'!$B$31)</f>
        <v>4627687.8945206</v>
      </c>
      <c r="M48" s="22" t="n">
        <f aca="false">IF(MAX(0,$A48-'1. Inputs'!$C$26-'1. Inputs'!$B$30+1)&lt;=0,0,'1. Inputs'!$B$26*('1. Inputs'!$B$5-'5. Diagnosing a miss'!$B$21)*MAX(0,$A48-'1. Inputs'!$C$26-'1. Inputs'!$B$30+1)^'1. Inputs'!$B$7/('1. Inputs'!$B$6^'1. Inputs'!$B$7+MAX(0,$A48-'1. Inputs'!$C$26-'1. Inputs'!$B$30+1)^'1. Inputs'!$B$7)*('1. Inputs'!$B$9+'1. Inputs'!$B$10*MAX(0,$A48-'1. Inputs'!$C$26-'1. Inputs'!$B$30+1)/(MAX(0,$A48-'1. Inputs'!$C$26-'1. Inputs'!$B$30+1)+'1. Inputs'!$B$11))*'1. Inputs'!$B$13*(1+'1. Inputs'!$B$14*MIN(MAX(0,$A48-'1. Inputs'!$C$26-'1. Inputs'!$B$30+1),'1. Inputs'!$B$15))*'1. Inputs'!$B$31)</f>
        <v>1956403.66972477</v>
      </c>
      <c r="N48" s="22" t="n">
        <f aca="false">IF(MAX(0,$A48-'1. Inputs'!$C$27-'1. Inputs'!$B$30+1)&lt;=0,0,'1. Inputs'!$B$27*('1. Inputs'!$B$5-'5. Diagnosing a miss'!$B$21)*MAX(0,$A48-'1. Inputs'!$C$27-'1. Inputs'!$B$30+1)^'1. Inputs'!$B$7/('1. Inputs'!$B$6^'1. Inputs'!$B$7+MAX(0,$A48-'1. Inputs'!$C$27-'1. Inputs'!$B$30+1)^'1. Inputs'!$B$7)*('1. Inputs'!$B$9+'1. Inputs'!$B$10*MAX(0,$A48-'1. Inputs'!$C$27-'1. Inputs'!$B$30+1)/(MAX(0,$A48-'1. Inputs'!$C$27-'1. Inputs'!$B$30+1)+'1. Inputs'!$B$11))*'1. Inputs'!$B$13*(1+'1. Inputs'!$B$14*MIN(MAX(0,$A48-'1. Inputs'!$C$27-'1. Inputs'!$B$30+1),'1. Inputs'!$B$15))*'1. Inputs'!$B$31)</f>
        <v>1385413.4143167</v>
      </c>
      <c r="O48" s="22" t="n">
        <f aca="false">SUM(K48:N48)</f>
        <v>11524675.7619984</v>
      </c>
      <c r="P48" s="22" t="n">
        <f aca="false">IF($A48=MAX('1. Inputs'!$B$17,1),'1. Inputs'!$B$3,0)+IF($A48-'1. Inputs'!$B$17&gt;=1,INDEX(O$3:O$86,$A48-'1. Inputs'!$B$17),0)</f>
        <v>10145513.4546853</v>
      </c>
      <c r="Q48" s="22" t="n">
        <f aca="false">Q47*(1-'1. Inputs'!$B$18)+P48</f>
        <v>230958798.413836</v>
      </c>
      <c r="R48" s="22" t="n">
        <f aca="false">Q48*'1. Inputs'!$B$18</f>
        <v>2309587.98413836</v>
      </c>
      <c r="S48" s="22" t="n">
        <f aca="false">S47+O48-R48</f>
        <v>360745701.116041</v>
      </c>
      <c r="T48" s="22" t="n">
        <f aca="false">IF(MAX(0,$A48-'1. Inputs'!$C$24-'1. Inputs'!$B$30+1)&lt;=0,0,'1. Inputs'!$B$24*'1. Inputs'!$B$5*MAX(0,$A48-'1. Inputs'!$C$24-'1. Inputs'!$B$30+1)^'1. Inputs'!$B$7/('1. Inputs'!$B$6^'1. Inputs'!$B$7+MAX(0,$A48-'1. Inputs'!$C$24-'1. Inputs'!$B$30+1)^'1. Inputs'!$B$7)*('1. Inputs'!$B$9+'1. Inputs'!$B$10*MAX(0,$A48-'1. Inputs'!$C$24-'1. Inputs'!$B$30+1)/(MAX(0,$A48-'1. Inputs'!$C$24-'1. Inputs'!$B$30+1)+'1. Inputs'!$B$11))*'1. Inputs'!$B$13*(1+'1. Inputs'!$B$14*MIN(MAX(0,$A48-'1. Inputs'!$C$24-'1. Inputs'!$B$30+1),'1. Inputs'!$B$15))*('1. Inputs'!$B$31*'5. Diagnosing a miss'!$B$22))</f>
        <v>3599610.41822931</v>
      </c>
      <c r="U48" s="22" t="n">
        <f aca="false">IF(MAX(0,$A48-'1. Inputs'!$C$25-'1. Inputs'!$B$30+1)&lt;=0,0,'1. Inputs'!$B$25*'1. Inputs'!$B$5*MAX(0,$A48-'1. Inputs'!$C$25-'1. Inputs'!$B$30+1)^'1. Inputs'!$B$7/('1. Inputs'!$B$6^'1. Inputs'!$B$7+MAX(0,$A48-'1. Inputs'!$C$25-'1. Inputs'!$B$30+1)^'1. Inputs'!$B$7)*('1. Inputs'!$B$9+'1. Inputs'!$B$10*MAX(0,$A48-'1. Inputs'!$C$25-'1. Inputs'!$B$30+1)/(MAX(0,$A48-'1. Inputs'!$C$25-'1. Inputs'!$B$30+1)+'1. Inputs'!$B$11))*'1. Inputs'!$B$13*(1+'1. Inputs'!$B$14*MIN(MAX(0,$A48-'1. Inputs'!$C$25-'1. Inputs'!$B$30+1),'1. Inputs'!$B$15))*('1. Inputs'!$B$31*'5. Diagnosing a miss'!$B$22))</f>
        <v>4685533.99320211</v>
      </c>
      <c r="V48" s="22" t="n">
        <f aca="false">IF(MAX(0,$A48-'1. Inputs'!$C$26-'1. Inputs'!$B$30+1)&lt;=0,0,'1. Inputs'!$B$26*'1. Inputs'!$B$5*MAX(0,$A48-'1. Inputs'!$C$26-'1. Inputs'!$B$30+1)^'1. Inputs'!$B$7/('1. Inputs'!$B$6^'1. Inputs'!$B$7+MAX(0,$A48-'1. Inputs'!$C$26-'1. Inputs'!$B$30+1)^'1. Inputs'!$B$7)*('1. Inputs'!$B$9+'1. Inputs'!$B$10*MAX(0,$A48-'1. Inputs'!$C$26-'1. Inputs'!$B$30+1)/(MAX(0,$A48-'1. Inputs'!$C$26-'1. Inputs'!$B$30+1)+'1. Inputs'!$B$11))*'1. Inputs'!$B$13*(1+'1. Inputs'!$B$14*MIN(MAX(0,$A48-'1. Inputs'!$C$26-'1. Inputs'!$B$30+1),'1. Inputs'!$B$15))*('1. Inputs'!$B$31*'5. Diagnosing a miss'!$B$22))</f>
        <v>1980858.71559633</v>
      </c>
      <c r="W48" s="22" t="n">
        <f aca="false">IF(MAX(0,$A48-'1. Inputs'!$C$27-'1. Inputs'!$B$30+1)&lt;=0,0,'1. Inputs'!$B$27*'1. Inputs'!$B$5*MAX(0,$A48-'1. Inputs'!$C$27-'1. Inputs'!$B$30+1)^'1. Inputs'!$B$7/('1. Inputs'!$B$6^'1. Inputs'!$B$7+MAX(0,$A48-'1. Inputs'!$C$27-'1. Inputs'!$B$30+1)^'1. Inputs'!$B$7)*('1. Inputs'!$B$9+'1. Inputs'!$B$10*MAX(0,$A48-'1. Inputs'!$C$27-'1. Inputs'!$B$30+1)/(MAX(0,$A48-'1. Inputs'!$C$27-'1. Inputs'!$B$30+1)+'1. Inputs'!$B$11))*'1. Inputs'!$B$13*(1+'1. Inputs'!$B$14*MIN(MAX(0,$A48-'1. Inputs'!$C$27-'1. Inputs'!$B$30+1),'1. Inputs'!$B$15))*('1. Inputs'!$B$31*'5. Diagnosing a miss'!$B$22))</f>
        <v>1402731.08199566</v>
      </c>
      <c r="X48" s="22" t="n">
        <f aca="false">SUM(T48:W48)</f>
        <v>11668734.2090234</v>
      </c>
      <c r="Y48" s="22" t="n">
        <f aca="false">IF($A48=MAX('1. Inputs'!$B$17,1),'1. Inputs'!$B$3,0)+IF($A48-'1. Inputs'!$B$17&gt;=1,INDEX(X$3:X$86,$A48-'1. Inputs'!$B$17),0)</f>
        <v>10272332.3728689</v>
      </c>
      <c r="Z48" s="22" t="n">
        <f aca="false">Z47*(1-'1. Inputs'!$B$18)+Y48</f>
        <v>232513496.092873</v>
      </c>
      <c r="AA48" s="22" t="n">
        <f aca="false">Z48*'1. Inputs'!$B$18</f>
        <v>2325134.96092873</v>
      </c>
      <c r="AB48" s="22" t="n">
        <f aca="false">AB47+X48-AA48</f>
        <v>363936057.951867</v>
      </c>
      <c r="AC48" s="22" t="n">
        <f aca="false">IF(MAX(0,$A48-'1. Inputs'!$C$24-('1. Inputs'!$B$30+'5. Diagnosing a miss'!$B$23)+1)&lt;=0,0,'1. Inputs'!$B$24*'1. Inputs'!$B$5*MAX(0,$A48-'1. Inputs'!$C$24-('1. Inputs'!$B$30+'5. Diagnosing a miss'!$B$23)+1)^'1. Inputs'!$B$7/('1. Inputs'!$B$6^'1. Inputs'!$B$7+MAX(0,$A48-'1. Inputs'!$C$24-('1. Inputs'!$B$30+'5. Diagnosing a miss'!$B$23)+1)^'1. Inputs'!$B$7)*('1. Inputs'!$B$9+'1. Inputs'!$B$10*MAX(0,$A48-'1. Inputs'!$C$24-('1. Inputs'!$B$30+'5. Diagnosing a miss'!$B$23)+1)/(MAX(0,$A48-'1. Inputs'!$C$24-('1. Inputs'!$B$30+'5. Diagnosing a miss'!$B$23)+1)+'1. Inputs'!$B$11))*'1. Inputs'!$B$13*(1+'1. Inputs'!$B$14*MIN(MAX(0,$A48-'1. Inputs'!$C$24-('1. Inputs'!$B$30+'5. Diagnosing a miss'!$B$23)+1),'1. Inputs'!$B$15))*'1. Inputs'!$B$31)</f>
        <v>3946109.41125902</v>
      </c>
      <c r="AD48" s="22" t="n">
        <f aca="false">IF(MAX(0,$A48-'1. Inputs'!$C$25-('1. Inputs'!$B$30+'5. Diagnosing a miss'!$B$23)+1)&lt;=0,0,'1. Inputs'!$B$25*'1. Inputs'!$B$5*MAX(0,$A48-'1. Inputs'!$C$25-('1. Inputs'!$B$30+'5. Diagnosing a miss'!$B$23)+1)^'1. Inputs'!$B$7/('1. Inputs'!$B$6^'1. Inputs'!$B$7+MAX(0,$A48-'1. Inputs'!$C$25-('1. Inputs'!$B$30+'5. Diagnosing a miss'!$B$23)+1)^'1. Inputs'!$B$7)*('1. Inputs'!$B$9+'1. Inputs'!$B$10*MAX(0,$A48-'1. Inputs'!$C$25-('1. Inputs'!$B$30+'5. Diagnosing a miss'!$B$23)+1)/(MAX(0,$A48-'1. Inputs'!$C$25-('1. Inputs'!$B$30+'5. Diagnosing a miss'!$B$23)+1)+'1. Inputs'!$B$11))*'1. Inputs'!$B$13*(1+'1. Inputs'!$B$14*MIN(MAX(0,$A48-'1. Inputs'!$C$25-('1. Inputs'!$B$30+'5. Diagnosing a miss'!$B$23)+1),'1. Inputs'!$B$15))*'1. Inputs'!$B$31)</f>
        <v>5108305.67125506</v>
      </c>
      <c r="AE48" s="22" t="n">
        <f aca="false">IF(MAX(0,$A48-'1. Inputs'!$C$26-('1. Inputs'!$B$30+'5. Diagnosing a miss'!$B$23)+1)&lt;=0,0,'1. Inputs'!$B$26*'1. Inputs'!$B$5*MAX(0,$A48-'1. Inputs'!$C$26-('1. Inputs'!$B$30+'5. Diagnosing a miss'!$B$23)+1)^'1. Inputs'!$B$7/('1. Inputs'!$B$6^'1. Inputs'!$B$7+MAX(0,$A48-'1. Inputs'!$C$26-('1. Inputs'!$B$30+'5. Diagnosing a miss'!$B$23)+1)^'1. Inputs'!$B$7)*('1. Inputs'!$B$9+'1. Inputs'!$B$10*MAX(0,$A48-'1. Inputs'!$C$26-('1. Inputs'!$B$30+'5. Diagnosing a miss'!$B$23)+1)/(MAX(0,$A48-'1. Inputs'!$C$26-('1. Inputs'!$B$30+'5. Diagnosing a miss'!$B$23)+1)+'1. Inputs'!$B$11))*'1. Inputs'!$B$13*(1+'1. Inputs'!$B$14*MIN(MAX(0,$A48-'1. Inputs'!$C$26-('1. Inputs'!$B$30+'5. Diagnosing a miss'!$B$23)+1),'1. Inputs'!$B$15))*'1. Inputs'!$B$31)</f>
        <v>2139507.49090909</v>
      </c>
      <c r="AF48" s="22" t="n">
        <f aca="false">IF(MAX(0,$A48-'1. Inputs'!$C$27-('1. Inputs'!$B$30+'5. Diagnosing a miss'!$B$23)+1)&lt;=0,0,'1. Inputs'!$B$27*'1. Inputs'!$B$5*MAX(0,$A48-'1. Inputs'!$C$27-('1. Inputs'!$B$30+'5. Diagnosing a miss'!$B$23)+1)^'1. Inputs'!$B$7/('1. Inputs'!$B$6^'1. Inputs'!$B$7+MAX(0,$A48-'1. Inputs'!$C$27-('1. Inputs'!$B$30+'5. Diagnosing a miss'!$B$23)+1)^'1. Inputs'!$B$7)*('1. Inputs'!$B$9+'1. Inputs'!$B$10*MAX(0,$A48-'1. Inputs'!$C$27-('1. Inputs'!$B$30+'5. Diagnosing a miss'!$B$23)+1)/(MAX(0,$A48-'1. Inputs'!$C$27-('1. Inputs'!$B$30+'5. Diagnosing a miss'!$B$23)+1)+'1. Inputs'!$B$11))*'1. Inputs'!$B$13*(1+'1. Inputs'!$B$14*MIN(MAX(0,$A48-'1. Inputs'!$C$27-('1. Inputs'!$B$30+'5. Diagnosing a miss'!$B$23)+1),'1. Inputs'!$B$15))*'1. Inputs'!$B$31)</f>
        <v>1511114.50462351</v>
      </c>
      <c r="AG48" s="22" t="n">
        <f aca="false">SUM(AC48:AF48)</f>
        <v>12705037.0780467</v>
      </c>
      <c r="AH48" s="22" t="n">
        <f aca="false">IF($A48=MAX('1. Inputs'!$B$17,1),'1. Inputs'!$B$3,0)+IF($A48-'1. Inputs'!$B$17&gt;=1,INDEX(AG$3:AG$86,$A48-'1. Inputs'!$B$17),0)</f>
        <v>10582409.4061436</v>
      </c>
      <c r="AI48" s="22" t="n">
        <f aca="false">AI47*(1-'1. Inputs'!$B$18)+AH48</f>
        <v>216653956.932849</v>
      </c>
      <c r="AJ48" s="22" t="n">
        <f aca="false">AI48*'1. Inputs'!$B$18</f>
        <v>2166539.56932849</v>
      </c>
      <c r="AK48" s="22" t="n">
        <f aca="false">AK47+AG48-AJ48</f>
        <v>357897317.941187</v>
      </c>
    </row>
    <row r="49" customFormat="false" ht="15" hidden="false" customHeight="false" outlineLevel="0" collapsed="false">
      <c r="A49" s="7" t="n">
        <v>47</v>
      </c>
      <c r="B49" s="22" t="n">
        <f aca="false">IF(MAX(0,$A49-'1. Inputs'!$C$24-'1. Inputs'!$B$30+1)&lt;=0,0,'1. Inputs'!$B$24*'1. Inputs'!$B$5*MAX(0,$A49-'1. Inputs'!$C$24-'1. Inputs'!$B$30+1)^'1. Inputs'!$B$7/('1. Inputs'!$B$6^'1. Inputs'!$B$7+MAX(0,$A49-'1. Inputs'!$C$24-'1. Inputs'!$B$30+1)^'1. Inputs'!$B$7)*('1. Inputs'!$B$9+'1. Inputs'!$B$10*MAX(0,$A49-'1. Inputs'!$C$24-'1. Inputs'!$B$30+1)/(MAX(0,$A49-'1. Inputs'!$C$24-'1. Inputs'!$B$30+1)+'1. Inputs'!$B$11))*'1. Inputs'!$B$13*(1+'1. Inputs'!$B$14*MIN(MAX(0,$A49-'1. Inputs'!$C$24-'1. Inputs'!$B$30+1),'1. Inputs'!$B$15))*'1. Inputs'!$B$31)</f>
        <v>4015408.39838675</v>
      </c>
      <c r="C49" s="22" t="n">
        <f aca="false">IF(MAX(0,$A49-'1. Inputs'!$C$25-'1. Inputs'!$B$30+1)&lt;=0,0,'1. Inputs'!$B$25*'1. Inputs'!$B$5*MAX(0,$A49-'1. Inputs'!$C$25-'1. Inputs'!$B$30+1)^'1. Inputs'!$B$7/('1. Inputs'!$B$6^'1. Inputs'!$B$7+MAX(0,$A49-'1. Inputs'!$C$25-'1. Inputs'!$B$30+1)^'1. Inputs'!$B$7)*('1. Inputs'!$B$9+'1. Inputs'!$B$10*MAX(0,$A49-'1. Inputs'!$C$25-'1. Inputs'!$B$30+1)/(MAX(0,$A49-'1. Inputs'!$C$25-'1. Inputs'!$B$30+1)+'1. Inputs'!$B$11))*'1. Inputs'!$B$13*(1+'1. Inputs'!$B$14*MIN(MAX(0,$A49-'1. Inputs'!$C$25-'1. Inputs'!$B$30+1),'1. Inputs'!$B$15))*'1. Inputs'!$B$31)</f>
        <v>5234688</v>
      </c>
      <c r="D49" s="22" t="n">
        <f aca="false">IF(MAX(0,$A49-'1. Inputs'!$C$26-'1. Inputs'!$B$30+1)&lt;=0,0,'1. Inputs'!$B$26*'1. Inputs'!$B$5*MAX(0,$A49-'1. Inputs'!$C$26-'1. Inputs'!$B$30+1)^'1. Inputs'!$B$7/('1. Inputs'!$B$6^'1. Inputs'!$B$7+MAX(0,$A49-'1. Inputs'!$C$26-'1. Inputs'!$B$30+1)^'1. Inputs'!$B$7)*('1. Inputs'!$B$9+'1. Inputs'!$B$10*MAX(0,$A49-'1. Inputs'!$C$26-'1. Inputs'!$B$30+1)/(MAX(0,$A49-'1. Inputs'!$C$26-'1. Inputs'!$B$30+1)+'1. Inputs'!$B$11))*'1. Inputs'!$B$13*(1+'1. Inputs'!$B$14*MIN(MAX(0,$A49-'1. Inputs'!$C$26-'1. Inputs'!$B$30+1),'1. Inputs'!$B$15))*'1. Inputs'!$B$31)</f>
        <v>2218530.19204233</v>
      </c>
      <c r="E49" s="22" t="n">
        <f aca="false">IF(MAX(0,$A49-'1. Inputs'!$C$27-'1. Inputs'!$B$30+1)&lt;=0,0,'1. Inputs'!$B$27*'1. Inputs'!$B$5*MAX(0,$A49-'1. Inputs'!$C$27-'1. Inputs'!$B$30+1)^'1. Inputs'!$B$7/('1. Inputs'!$B$6^'1. Inputs'!$B$7+MAX(0,$A49-'1. Inputs'!$C$27-'1. Inputs'!$B$30+1)^'1. Inputs'!$B$7)*('1. Inputs'!$B$9+'1. Inputs'!$B$10*MAX(0,$A49-'1. Inputs'!$C$27-'1. Inputs'!$B$30+1)/(MAX(0,$A49-'1. Inputs'!$C$27-'1. Inputs'!$B$30+1)+'1. Inputs'!$B$11))*'1. Inputs'!$B$13*(1+'1. Inputs'!$B$14*MIN(MAX(0,$A49-'1. Inputs'!$C$27-'1. Inputs'!$B$30+1),'1. Inputs'!$B$15))*'1. Inputs'!$B$31)</f>
        <v>1572110.09174312</v>
      </c>
      <c r="F49" s="22" t="n">
        <f aca="false">SUM(B49:E49)</f>
        <v>13040736.6821722</v>
      </c>
      <c r="G49" s="22" t="n">
        <f aca="false">IF($A49=MAX('1. Inputs'!$B$17,1),'1. Inputs'!$B$3,0)+IF($A49-'1. Inputs'!$B$17&gt;=1,INDEX(F$3:F$86,$A49-'1. Inputs'!$B$17),0)</f>
        <v>11627455.8743769</v>
      </c>
      <c r="H49" s="22" t="n">
        <f aca="false">H48*(1-'1. Inputs'!$B$18)+G49</f>
        <v>255668173.326545</v>
      </c>
      <c r="I49" s="22" t="n">
        <f aca="false">H49*'1. Inputs'!$B$18</f>
        <v>2556681.73326545</v>
      </c>
      <c r="J49" s="22" t="n">
        <f aca="false">J48+F49-I49</f>
        <v>403133324.423211</v>
      </c>
      <c r="K49" s="22" t="n">
        <f aca="false">IF(MAX(0,$A49-'1. Inputs'!$C$24-'1. Inputs'!$B$30+1)&lt;=0,0,'1. Inputs'!$B$24*('1. Inputs'!$B$5-'5. Diagnosing a miss'!$B$21)*MAX(0,$A49-'1. Inputs'!$C$24-'1. Inputs'!$B$30+1)^'1. Inputs'!$B$7/('1. Inputs'!$B$6^'1. Inputs'!$B$7+MAX(0,$A49-'1. Inputs'!$C$24-'1. Inputs'!$B$30+1)^'1. Inputs'!$B$7)*('1. Inputs'!$B$9+'1. Inputs'!$B$10*MAX(0,$A49-'1. Inputs'!$C$24-'1. Inputs'!$B$30+1)/(MAX(0,$A49-'1. Inputs'!$C$24-'1. Inputs'!$B$30+1)+'1. Inputs'!$B$11))*'1. Inputs'!$B$13*(1+'1. Inputs'!$B$14*MIN(MAX(0,$A49-'1. Inputs'!$C$24-'1. Inputs'!$B$30+1),'1. Inputs'!$B$15))*'1. Inputs'!$B$31)</f>
        <v>3569251.90967711</v>
      </c>
      <c r="L49" s="22" t="n">
        <f aca="false">IF(MAX(0,$A49-'1. Inputs'!$C$25-'1. Inputs'!$B$30+1)&lt;=0,0,'1. Inputs'!$B$25*('1. Inputs'!$B$5-'5. Diagnosing a miss'!$B$21)*MAX(0,$A49-'1. Inputs'!$C$25-'1. Inputs'!$B$30+1)^'1. Inputs'!$B$7/('1. Inputs'!$B$6^'1. Inputs'!$B$7+MAX(0,$A49-'1. Inputs'!$C$25-'1. Inputs'!$B$30+1)^'1. Inputs'!$B$7)*('1. Inputs'!$B$9+'1. Inputs'!$B$10*MAX(0,$A49-'1. Inputs'!$C$25-'1. Inputs'!$B$30+1)/(MAX(0,$A49-'1. Inputs'!$C$25-'1. Inputs'!$B$30+1)+'1. Inputs'!$B$11))*'1. Inputs'!$B$13*(1+'1. Inputs'!$B$14*MIN(MAX(0,$A49-'1. Inputs'!$C$25-'1. Inputs'!$B$30+1),'1. Inputs'!$B$15))*'1. Inputs'!$B$31)</f>
        <v>4653056</v>
      </c>
      <c r="M49" s="22" t="n">
        <f aca="false">IF(MAX(0,$A49-'1. Inputs'!$C$26-'1. Inputs'!$B$30+1)&lt;=0,0,'1. Inputs'!$B$26*('1. Inputs'!$B$5-'5. Diagnosing a miss'!$B$21)*MAX(0,$A49-'1. Inputs'!$C$26-'1. Inputs'!$B$30+1)^'1. Inputs'!$B$7/('1. Inputs'!$B$6^'1. Inputs'!$B$7+MAX(0,$A49-'1. Inputs'!$C$26-'1. Inputs'!$B$30+1)^'1. Inputs'!$B$7)*('1. Inputs'!$B$9+'1. Inputs'!$B$10*MAX(0,$A49-'1. Inputs'!$C$26-'1. Inputs'!$B$30+1)/(MAX(0,$A49-'1. Inputs'!$C$26-'1. Inputs'!$B$30+1)+'1. Inputs'!$B$11))*'1. Inputs'!$B$13*(1+'1. Inputs'!$B$14*MIN(MAX(0,$A49-'1. Inputs'!$C$26-'1. Inputs'!$B$30+1),'1. Inputs'!$B$15))*'1. Inputs'!$B$31)</f>
        <v>1972026.83737096</v>
      </c>
      <c r="N49" s="22" t="n">
        <f aca="false">IF(MAX(0,$A49-'1. Inputs'!$C$27-'1. Inputs'!$B$30+1)&lt;=0,0,'1. Inputs'!$B$27*('1. Inputs'!$B$5-'5. Diagnosing a miss'!$B$21)*MAX(0,$A49-'1. Inputs'!$C$27-'1. Inputs'!$B$30+1)^'1. Inputs'!$B$7/('1. Inputs'!$B$6^'1. Inputs'!$B$7+MAX(0,$A49-'1. Inputs'!$C$27-'1. Inputs'!$B$30+1)^'1. Inputs'!$B$7)*('1. Inputs'!$B$9+'1. Inputs'!$B$10*MAX(0,$A49-'1. Inputs'!$C$27-'1. Inputs'!$B$30+1)/(MAX(0,$A49-'1. Inputs'!$C$27-'1. Inputs'!$B$30+1)+'1. Inputs'!$B$11))*'1. Inputs'!$B$13*(1+'1. Inputs'!$B$14*MIN(MAX(0,$A49-'1. Inputs'!$C$27-'1. Inputs'!$B$30+1),'1. Inputs'!$B$15))*'1. Inputs'!$B$31)</f>
        <v>1397431.19266055</v>
      </c>
      <c r="O49" s="22" t="n">
        <f aca="false">SUM(K49:N49)</f>
        <v>11591765.9397086</v>
      </c>
      <c r="P49" s="22" t="n">
        <f aca="false">IF($A49=MAX('1. Inputs'!$B$17,1),'1. Inputs'!$B$3,0)+IF($A49-'1. Inputs'!$B$17&gt;=1,INDEX(O$3:O$86,$A49-'1. Inputs'!$B$17),0)</f>
        <v>10335516.3327795</v>
      </c>
      <c r="Q49" s="22" t="n">
        <f aca="false">Q48*(1-'1. Inputs'!$B$18)+P49</f>
        <v>238984726.762477</v>
      </c>
      <c r="R49" s="22" t="n">
        <f aca="false">Q49*'1. Inputs'!$B$18</f>
        <v>2389847.26762477</v>
      </c>
      <c r="S49" s="22" t="n">
        <f aca="false">S48+O49-R49</f>
        <v>369947619.788125</v>
      </c>
      <c r="T49" s="22" t="n">
        <f aca="false">IF(MAX(0,$A49-'1. Inputs'!$C$24-'1. Inputs'!$B$30+1)&lt;=0,0,'1. Inputs'!$B$24*'1. Inputs'!$B$5*MAX(0,$A49-'1. Inputs'!$C$24-'1. Inputs'!$B$30+1)^'1. Inputs'!$B$7/('1. Inputs'!$B$6^'1. Inputs'!$B$7+MAX(0,$A49-'1. Inputs'!$C$24-'1. Inputs'!$B$30+1)^'1. Inputs'!$B$7)*('1. Inputs'!$B$9+'1. Inputs'!$B$10*MAX(0,$A49-'1. Inputs'!$C$24-'1. Inputs'!$B$30+1)/(MAX(0,$A49-'1. Inputs'!$C$24-'1. Inputs'!$B$30+1)+'1. Inputs'!$B$11))*'1. Inputs'!$B$13*(1+'1. Inputs'!$B$14*MIN(MAX(0,$A49-'1. Inputs'!$C$24-'1. Inputs'!$B$30+1),'1. Inputs'!$B$15))*('1. Inputs'!$B$31*'5. Diagnosing a miss'!$B$22))</f>
        <v>3613867.55854807</v>
      </c>
      <c r="U49" s="22" t="n">
        <f aca="false">IF(MAX(0,$A49-'1. Inputs'!$C$25-'1. Inputs'!$B$30+1)&lt;=0,0,'1. Inputs'!$B$25*'1. Inputs'!$B$5*MAX(0,$A49-'1. Inputs'!$C$25-'1. Inputs'!$B$30+1)^'1. Inputs'!$B$7/('1. Inputs'!$B$6^'1. Inputs'!$B$7+MAX(0,$A49-'1. Inputs'!$C$25-'1. Inputs'!$B$30+1)^'1. Inputs'!$B$7)*('1. Inputs'!$B$9+'1. Inputs'!$B$10*MAX(0,$A49-'1. Inputs'!$C$25-'1. Inputs'!$B$30+1)/(MAX(0,$A49-'1. Inputs'!$C$25-'1. Inputs'!$B$30+1)+'1. Inputs'!$B$11))*'1. Inputs'!$B$13*(1+'1. Inputs'!$B$14*MIN(MAX(0,$A49-'1. Inputs'!$C$25-'1. Inputs'!$B$30+1),'1. Inputs'!$B$15))*('1. Inputs'!$B$31*'5. Diagnosing a miss'!$B$22))</f>
        <v>4711219.2</v>
      </c>
      <c r="V49" s="22" t="n">
        <f aca="false">IF(MAX(0,$A49-'1. Inputs'!$C$26-'1. Inputs'!$B$30+1)&lt;=0,0,'1. Inputs'!$B$26*'1. Inputs'!$B$5*MAX(0,$A49-'1. Inputs'!$C$26-'1. Inputs'!$B$30+1)^'1. Inputs'!$B$7/('1. Inputs'!$B$6^'1. Inputs'!$B$7+MAX(0,$A49-'1. Inputs'!$C$26-'1. Inputs'!$B$30+1)^'1. Inputs'!$B$7)*('1. Inputs'!$B$9+'1. Inputs'!$B$10*MAX(0,$A49-'1. Inputs'!$C$26-'1. Inputs'!$B$30+1)/(MAX(0,$A49-'1. Inputs'!$C$26-'1. Inputs'!$B$30+1)+'1. Inputs'!$B$11))*'1. Inputs'!$B$13*(1+'1. Inputs'!$B$14*MIN(MAX(0,$A49-'1. Inputs'!$C$26-'1. Inputs'!$B$30+1),'1. Inputs'!$B$15))*('1. Inputs'!$B$31*'5. Diagnosing a miss'!$B$22))</f>
        <v>1996677.1728381</v>
      </c>
      <c r="W49" s="22" t="n">
        <f aca="false">IF(MAX(0,$A49-'1. Inputs'!$C$27-'1. Inputs'!$B$30+1)&lt;=0,0,'1. Inputs'!$B$27*'1. Inputs'!$B$5*MAX(0,$A49-'1. Inputs'!$C$27-'1. Inputs'!$B$30+1)^'1. Inputs'!$B$7/('1. Inputs'!$B$6^'1. Inputs'!$B$7+MAX(0,$A49-'1. Inputs'!$C$27-'1. Inputs'!$B$30+1)^'1. Inputs'!$B$7)*('1. Inputs'!$B$9+'1. Inputs'!$B$10*MAX(0,$A49-'1. Inputs'!$C$27-'1. Inputs'!$B$30+1)/(MAX(0,$A49-'1. Inputs'!$C$27-'1. Inputs'!$B$30+1)+'1. Inputs'!$B$11))*'1. Inputs'!$B$13*(1+'1. Inputs'!$B$14*MIN(MAX(0,$A49-'1. Inputs'!$C$27-'1. Inputs'!$B$30+1),'1. Inputs'!$B$15))*('1. Inputs'!$B$31*'5. Diagnosing a miss'!$B$22))</f>
        <v>1414899.08256881</v>
      </c>
      <c r="X49" s="22" t="n">
        <f aca="false">SUM(T49:W49)</f>
        <v>11736663.013955</v>
      </c>
      <c r="Y49" s="22" t="n">
        <f aca="false">IF($A49=MAX('1. Inputs'!$B$17,1),'1. Inputs'!$B$3,0)+IF($A49-'1. Inputs'!$B$17&gt;=1,INDEX(X$3:X$86,$A49-'1. Inputs'!$B$17),0)</f>
        <v>10464710.2869392</v>
      </c>
      <c r="Z49" s="22" t="n">
        <f aca="false">Z48*(1-'1. Inputs'!$B$18)+Y49</f>
        <v>240653071.418884</v>
      </c>
      <c r="AA49" s="22" t="n">
        <f aca="false">Z49*'1. Inputs'!$B$18</f>
        <v>2406530.71418884</v>
      </c>
      <c r="AB49" s="22" t="n">
        <f aca="false">AB48+X49-AA49</f>
        <v>373266190.251634</v>
      </c>
      <c r="AC49" s="22" t="n">
        <f aca="false">IF(MAX(0,$A49-'1. Inputs'!$C$24-('1. Inputs'!$B$30+'5. Diagnosing a miss'!$B$23)+1)&lt;=0,0,'1. Inputs'!$B$24*'1. Inputs'!$B$5*MAX(0,$A49-'1. Inputs'!$C$24-('1. Inputs'!$B$30+'5. Diagnosing a miss'!$B$23)+1)^'1. Inputs'!$B$7/('1. Inputs'!$B$6^'1. Inputs'!$B$7+MAX(0,$A49-'1. Inputs'!$C$24-('1. Inputs'!$B$30+'5. Diagnosing a miss'!$B$23)+1)^'1. Inputs'!$B$7)*('1. Inputs'!$B$9+'1. Inputs'!$B$10*MAX(0,$A49-'1. Inputs'!$C$24-('1. Inputs'!$B$30+'5. Diagnosing a miss'!$B$23)+1)/(MAX(0,$A49-'1. Inputs'!$C$24-('1. Inputs'!$B$30+'5. Diagnosing a miss'!$B$23)+1)+'1. Inputs'!$B$11))*'1. Inputs'!$B$13*(1+'1. Inputs'!$B$14*MIN(MAX(0,$A49-'1. Inputs'!$C$24-('1. Inputs'!$B$30+'5. Diagnosing a miss'!$B$23)+1),'1. Inputs'!$B$15))*'1. Inputs'!$B$31)</f>
        <v>3965001.74020864</v>
      </c>
      <c r="AD49" s="22" t="n">
        <f aca="false">IF(MAX(0,$A49-'1. Inputs'!$C$25-('1. Inputs'!$B$30+'5. Diagnosing a miss'!$B$23)+1)&lt;=0,0,'1. Inputs'!$B$25*'1. Inputs'!$B$5*MAX(0,$A49-'1. Inputs'!$C$25-('1. Inputs'!$B$30+'5. Diagnosing a miss'!$B$23)+1)^'1. Inputs'!$B$7/('1. Inputs'!$B$6^'1. Inputs'!$B$7+MAX(0,$A49-'1. Inputs'!$C$25-('1. Inputs'!$B$30+'5. Diagnosing a miss'!$B$23)+1)^'1. Inputs'!$B$7)*('1. Inputs'!$B$9+'1. Inputs'!$B$10*MAX(0,$A49-'1. Inputs'!$C$25-('1. Inputs'!$B$30+'5. Diagnosing a miss'!$B$23)+1)/(MAX(0,$A49-'1. Inputs'!$C$25-('1. Inputs'!$B$30+'5. Diagnosing a miss'!$B$23)+1)+'1. Inputs'!$B$11))*'1. Inputs'!$B$13*(1+'1. Inputs'!$B$14*MIN(MAX(0,$A49-'1. Inputs'!$C$25-('1. Inputs'!$B$30+'5. Diagnosing a miss'!$B$23)+1),'1. Inputs'!$B$15))*'1. Inputs'!$B$31)</f>
        <v>5143152.39763314</v>
      </c>
      <c r="AE49" s="22" t="n">
        <f aca="false">IF(MAX(0,$A49-'1. Inputs'!$C$26-('1. Inputs'!$B$30+'5. Diagnosing a miss'!$B$23)+1)&lt;=0,0,'1. Inputs'!$B$26*'1. Inputs'!$B$5*MAX(0,$A49-'1. Inputs'!$C$26-('1. Inputs'!$B$30+'5. Diagnosing a miss'!$B$23)+1)^'1. Inputs'!$B$7/('1. Inputs'!$B$6^'1. Inputs'!$B$7+MAX(0,$A49-'1. Inputs'!$C$26-('1. Inputs'!$B$30+'5. Diagnosing a miss'!$B$23)+1)^'1. Inputs'!$B$7)*('1. Inputs'!$B$9+'1. Inputs'!$B$10*MAX(0,$A49-'1. Inputs'!$C$26-('1. Inputs'!$B$30+'5. Diagnosing a miss'!$B$23)+1)/(MAX(0,$A49-'1. Inputs'!$C$26-('1. Inputs'!$B$30+'5. Diagnosing a miss'!$B$23)+1)+'1. Inputs'!$B$11))*'1. Inputs'!$B$13*(1+'1. Inputs'!$B$14*MIN(MAX(0,$A49-'1. Inputs'!$C$26-('1. Inputs'!$B$30+'5. Diagnosing a miss'!$B$23)+1),'1. Inputs'!$B$15))*'1. Inputs'!$B$31)</f>
        <v>2161599.48208093</v>
      </c>
      <c r="AF49" s="22" t="n">
        <f aca="false">IF(MAX(0,$A49-'1. Inputs'!$C$27-('1. Inputs'!$B$30+'5. Diagnosing a miss'!$B$23)+1)&lt;=0,0,'1. Inputs'!$B$27*'1. Inputs'!$B$5*MAX(0,$A49-'1. Inputs'!$C$27-('1. Inputs'!$B$30+'5. Diagnosing a miss'!$B$23)+1)^'1. Inputs'!$B$7/('1. Inputs'!$B$6^'1. Inputs'!$B$7+MAX(0,$A49-'1. Inputs'!$C$27-('1. Inputs'!$B$30+'5. Diagnosing a miss'!$B$23)+1)^'1. Inputs'!$B$7)*('1. Inputs'!$B$9+'1. Inputs'!$B$10*MAX(0,$A49-'1. Inputs'!$C$27-('1. Inputs'!$B$30+'5. Diagnosing a miss'!$B$23)+1)/(MAX(0,$A49-'1. Inputs'!$C$27-('1. Inputs'!$B$30+'5. Diagnosing a miss'!$B$23)+1)+'1. Inputs'!$B$11))*'1. Inputs'!$B$13*(1+'1. Inputs'!$B$14*MIN(MAX(0,$A49-'1. Inputs'!$C$27-('1. Inputs'!$B$30+'5. Diagnosing a miss'!$B$23)+1),'1. Inputs'!$B$15))*'1. Inputs'!$B$31)</f>
        <v>1528219.63636364</v>
      </c>
      <c r="AG49" s="22" t="n">
        <f aca="false">SUM(AC49:AF49)</f>
        <v>12797973.2562863</v>
      </c>
      <c r="AH49" s="22" t="n">
        <f aca="false">IF($A49=MAX('1. Inputs'!$B$17,1),'1. Inputs'!$B$3,0)+IF($A49-'1. Inputs'!$B$17&gt;=1,INDEX(AG$3:AG$86,$A49-'1. Inputs'!$B$17),0)</f>
        <v>10879519.8346608</v>
      </c>
      <c r="AI49" s="22" t="n">
        <f aca="false">AI48*(1-'1. Inputs'!$B$18)+AH49</f>
        <v>225366937.198181</v>
      </c>
      <c r="AJ49" s="22" t="n">
        <f aca="false">AI49*'1. Inputs'!$B$18</f>
        <v>2253669.37198181</v>
      </c>
      <c r="AK49" s="22" t="n">
        <f aca="false">AK48+AG49-AJ49</f>
        <v>368441621.825491</v>
      </c>
    </row>
    <row r="50" customFormat="false" ht="15" hidden="false" customHeight="false" outlineLevel="0" collapsed="false">
      <c r="A50" s="7" t="n">
        <v>48</v>
      </c>
      <c r="B50" s="22" t="n">
        <f aca="false">IF(MAX(0,$A50-'1. Inputs'!$C$24-'1. Inputs'!$B$30+1)&lt;=0,0,'1. Inputs'!$B$24*'1. Inputs'!$B$5*MAX(0,$A50-'1. Inputs'!$C$24-'1. Inputs'!$B$30+1)^'1. Inputs'!$B$7/('1. Inputs'!$B$6^'1. Inputs'!$B$7+MAX(0,$A50-'1. Inputs'!$C$24-'1. Inputs'!$B$30+1)^'1. Inputs'!$B$7)*('1. Inputs'!$B$9+'1. Inputs'!$B$10*MAX(0,$A50-'1. Inputs'!$C$24-'1. Inputs'!$B$30+1)/(MAX(0,$A50-'1. Inputs'!$C$24-'1. Inputs'!$B$30+1)+'1. Inputs'!$B$11))*'1. Inputs'!$B$13*(1+'1. Inputs'!$B$14*MIN(MAX(0,$A50-'1. Inputs'!$C$24-'1. Inputs'!$B$30+1),'1. Inputs'!$B$15))*'1. Inputs'!$B$31)</f>
        <v>4030387.2</v>
      </c>
      <c r="C50" s="22" t="n">
        <f aca="false">IF(MAX(0,$A50-'1. Inputs'!$C$25-'1. Inputs'!$B$30+1)&lt;=0,0,'1. Inputs'!$B$25*'1. Inputs'!$B$5*MAX(0,$A50-'1. Inputs'!$C$25-'1. Inputs'!$B$30+1)^'1. Inputs'!$B$7/('1. Inputs'!$B$6^'1. Inputs'!$B$7+MAX(0,$A50-'1. Inputs'!$C$25-'1. Inputs'!$B$30+1)^'1. Inputs'!$B$7)*('1. Inputs'!$B$9+'1. Inputs'!$B$10*MAX(0,$A50-'1. Inputs'!$C$25-'1. Inputs'!$B$30+1)/(MAX(0,$A50-'1. Inputs'!$C$25-'1. Inputs'!$B$30+1)+'1. Inputs'!$B$11))*'1. Inputs'!$B$13*(1+'1. Inputs'!$B$14*MIN(MAX(0,$A50-'1. Inputs'!$C$25-'1. Inputs'!$B$30+1),'1. Inputs'!$B$15))*'1. Inputs'!$B$31)</f>
        <v>5261479.21501203</v>
      </c>
      <c r="D50" s="22" t="n">
        <f aca="false">IF(MAX(0,$A50-'1. Inputs'!$C$26-'1. Inputs'!$B$30+1)&lt;=0,0,'1. Inputs'!$B$26*'1. Inputs'!$B$5*MAX(0,$A50-'1. Inputs'!$C$26-'1. Inputs'!$B$30+1)^'1. Inputs'!$B$7/('1. Inputs'!$B$6^'1. Inputs'!$B$7+MAX(0,$A50-'1. Inputs'!$C$26-'1. Inputs'!$B$30+1)^'1. Inputs'!$B$7)*('1. Inputs'!$B$9+'1. Inputs'!$B$10*MAX(0,$A50-'1. Inputs'!$C$26-'1. Inputs'!$B$30+1)/(MAX(0,$A50-'1. Inputs'!$C$26-'1. Inputs'!$B$30+1)+'1. Inputs'!$B$11))*'1. Inputs'!$B$13*(1+'1. Inputs'!$B$14*MIN(MAX(0,$A50-'1. Inputs'!$C$26-'1. Inputs'!$B$30+1),'1. Inputs'!$B$15))*'1. Inputs'!$B$31)</f>
        <v>2234883.73117409</v>
      </c>
      <c r="E50" s="22" t="n">
        <f aca="false">IF(MAX(0,$A50-'1. Inputs'!$C$27-'1. Inputs'!$B$30+1)&lt;=0,0,'1. Inputs'!$B$27*'1. Inputs'!$B$5*MAX(0,$A50-'1. Inputs'!$C$27-'1. Inputs'!$B$30+1)^'1. Inputs'!$B$7/('1. Inputs'!$B$6^'1. Inputs'!$B$7+MAX(0,$A50-'1. Inputs'!$C$27-'1. Inputs'!$B$30+1)^'1. Inputs'!$B$7)*('1. Inputs'!$B$9+'1. Inputs'!$B$10*MAX(0,$A50-'1. Inputs'!$C$27-'1. Inputs'!$B$30+1)/(MAX(0,$A50-'1. Inputs'!$C$27-'1. Inputs'!$B$30+1)+'1. Inputs'!$B$11))*'1. Inputs'!$B$13*(1+'1. Inputs'!$B$14*MIN(MAX(0,$A50-'1. Inputs'!$C$27-'1. Inputs'!$B$30+1),'1. Inputs'!$B$15))*'1. Inputs'!$B$31)</f>
        <v>1584664.42288738</v>
      </c>
      <c r="F50" s="22" t="n">
        <f aca="false">SUM(B50:E50)</f>
        <v>13111414.5690735</v>
      </c>
      <c r="G50" s="22" t="n">
        <f aca="false">IF($A50=MAX('1. Inputs'!$B$17,1),'1. Inputs'!$B$3,0)+IF($A50-'1. Inputs'!$B$17&gt;=1,INDEX(F$3:F$86,$A50-'1. Inputs'!$B$17),0)</f>
        <v>11805457.9222806</v>
      </c>
      <c r="H50" s="22" t="n">
        <f aca="false">H49*(1-'1. Inputs'!$B$18)+G50</f>
        <v>264916949.51556</v>
      </c>
      <c r="I50" s="22" t="n">
        <f aca="false">H50*'1. Inputs'!$B$18</f>
        <v>2649169.4951556</v>
      </c>
      <c r="J50" s="22" t="n">
        <f aca="false">J49+F50-I50</f>
        <v>413595569.497129</v>
      </c>
      <c r="K50" s="22" t="n">
        <f aca="false">IF(MAX(0,$A50-'1. Inputs'!$C$24-'1. Inputs'!$B$30+1)&lt;=0,0,'1. Inputs'!$B$24*('1. Inputs'!$B$5-'5. Diagnosing a miss'!$B$21)*MAX(0,$A50-'1. Inputs'!$C$24-'1. Inputs'!$B$30+1)^'1. Inputs'!$B$7/('1. Inputs'!$B$6^'1. Inputs'!$B$7+MAX(0,$A50-'1. Inputs'!$C$24-'1. Inputs'!$B$30+1)^'1. Inputs'!$B$7)*('1. Inputs'!$B$9+'1. Inputs'!$B$10*MAX(0,$A50-'1. Inputs'!$C$24-'1. Inputs'!$B$30+1)/(MAX(0,$A50-'1. Inputs'!$C$24-'1. Inputs'!$B$30+1)+'1. Inputs'!$B$11))*'1. Inputs'!$B$13*(1+'1. Inputs'!$B$14*MIN(MAX(0,$A50-'1. Inputs'!$C$24-'1. Inputs'!$B$30+1),'1. Inputs'!$B$15))*'1. Inputs'!$B$31)</f>
        <v>3582566.4</v>
      </c>
      <c r="L50" s="22" t="n">
        <f aca="false">IF(MAX(0,$A50-'1. Inputs'!$C$25-'1. Inputs'!$B$30+1)&lt;=0,0,'1. Inputs'!$B$25*('1. Inputs'!$B$5-'5. Diagnosing a miss'!$B$21)*MAX(0,$A50-'1. Inputs'!$C$25-'1. Inputs'!$B$30+1)^'1. Inputs'!$B$7/('1. Inputs'!$B$6^'1. Inputs'!$B$7+MAX(0,$A50-'1. Inputs'!$C$25-'1. Inputs'!$B$30+1)^'1. Inputs'!$B$7)*('1. Inputs'!$B$9+'1. Inputs'!$B$10*MAX(0,$A50-'1. Inputs'!$C$25-'1. Inputs'!$B$30+1)/(MAX(0,$A50-'1. Inputs'!$C$25-'1. Inputs'!$B$30+1)+'1. Inputs'!$B$11))*'1. Inputs'!$B$13*(1+'1. Inputs'!$B$14*MIN(MAX(0,$A50-'1. Inputs'!$C$25-'1. Inputs'!$B$30+1),'1. Inputs'!$B$15))*'1. Inputs'!$B$31)</f>
        <v>4676870.41334403</v>
      </c>
      <c r="M50" s="22" t="n">
        <f aca="false">IF(MAX(0,$A50-'1. Inputs'!$C$26-'1. Inputs'!$B$30+1)&lt;=0,0,'1. Inputs'!$B$26*('1. Inputs'!$B$5-'5. Diagnosing a miss'!$B$21)*MAX(0,$A50-'1. Inputs'!$C$26-'1. Inputs'!$B$30+1)^'1. Inputs'!$B$7/('1. Inputs'!$B$6^'1. Inputs'!$B$7+MAX(0,$A50-'1. Inputs'!$C$26-'1. Inputs'!$B$30+1)^'1. Inputs'!$B$7)*('1. Inputs'!$B$9+'1. Inputs'!$B$10*MAX(0,$A50-'1. Inputs'!$C$26-'1. Inputs'!$B$30+1)/(MAX(0,$A50-'1. Inputs'!$C$26-'1. Inputs'!$B$30+1)+'1. Inputs'!$B$11))*'1. Inputs'!$B$13*(1+'1. Inputs'!$B$14*MIN(MAX(0,$A50-'1. Inputs'!$C$26-'1. Inputs'!$B$30+1),'1. Inputs'!$B$15))*'1. Inputs'!$B$31)</f>
        <v>1986563.31659919</v>
      </c>
      <c r="N50" s="22" t="n">
        <f aca="false">IF(MAX(0,$A50-'1. Inputs'!$C$27-'1. Inputs'!$B$30+1)&lt;=0,0,'1. Inputs'!$B$27*('1. Inputs'!$B$5-'5. Diagnosing a miss'!$B$21)*MAX(0,$A50-'1. Inputs'!$C$27-'1. Inputs'!$B$30+1)^'1. Inputs'!$B$7/('1. Inputs'!$B$6^'1. Inputs'!$B$7+MAX(0,$A50-'1. Inputs'!$C$27-'1. Inputs'!$B$30+1)^'1. Inputs'!$B$7)*('1. Inputs'!$B$9+'1. Inputs'!$B$10*MAX(0,$A50-'1. Inputs'!$C$27-'1. Inputs'!$B$30+1)/(MAX(0,$A50-'1. Inputs'!$C$27-'1. Inputs'!$B$30+1)+'1. Inputs'!$B$11))*'1. Inputs'!$B$13*(1+'1. Inputs'!$B$14*MIN(MAX(0,$A50-'1. Inputs'!$C$27-'1. Inputs'!$B$30+1),'1. Inputs'!$B$15))*'1. Inputs'!$B$31)</f>
        <v>1408590.59812211</v>
      </c>
      <c r="O50" s="22" t="n">
        <f aca="false">SUM(K50:N50)</f>
        <v>11654590.7280653</v>
      </c>
      <c r="P50" s="22" t="n">
        <f aca="false">IF($A50=MAX('1. Inputs'!$B$17,1),'1. Inputs'!$B$3,0)+IF($A50-'1. Inputs'!$B$17&gt;=1,INDEX(O$3:O$86,$A50-'1. Inputs'!$B$17),0)</f>
        <v>10493740.3753605</v>
      </c>
      <c r="Q50" s="22" t="n">
        <f aca="false">Q49*(1-'1. Inputs'!$B$18)+P50</f>
        <v>247088619.870213</v>
      </c>
      <c r="R50" s="22" t="n">
        <f aca="false">Q50*'1. Inputs'!$B$18</f>
        <v>2470886.19870213</v>
      </c>
      <c r="S50" s="22" t="n">
        <f aca="false">S49+O50-R50</f>
        <v>379131324.317488</v>
      </c>
      <c r="T50" s="22" t="n">
        <f aca="false">IF(MAX(0,$A50-'1. Inputs'!$C$24-'1. Inputs'!$B$30+1)&lt;=0,0,'1. Inputs'!$B$24*'1. Inputs'!$B$5*MAX(0,$A50-'1. Inputs'!$C$24-'1. Inputs'!$B$30+1)^'1. Inputs'!$B$7/('1. Inputs'!$B$6^'1. Inputs'!$B$7+MAX(0,$A50-'1. Inputs'!$C$24-'1. Inputs'!$B$30+1)^'1. Inputs'!$B$7)*('1. Inputs'!$B$9+'1. Inputs'!$B$10*MAX(0,$A50-'1. Inputs'!$C$24-'1. Inputs'!$B$30+1)/(MAX(0,$A50-'1. Inputs'!$C$24-'1. Inputs'!$B$30+1)+'1. Inputs'!$B$11))*'1. Inputs'!$B$13*(1+'1. Inputs'!$B$14*MIN(MAX(0,$A50-'1. Inputs'!$C$24-'1. Inputs'!$B$30+1),'1. Inputs'!$B$15))*('1. Inputs'!$B$31*'5. Diagnosing a miss'!$B$22))</f>
        <v>3627348.48</v>
      </c>
      <c r="U50" s="22" t="n">
        <f aca="false">IF(MAX(0,$A50-'1. Inputs'!$C$25-'1. Inputs'!$B$30+1)&lt;=0,0,'1. Inputs'!$B$25*'1. Inputs'!$B$5*MAX(0,$A50-'1. Inputs'!$C$25-'1. Inputs'!$B$30+1)^'1. Inputs'!$B$7/('1. Inputs'!$B$6^'1. Inputs'!$B$7+MAX(0,$A50-'1. Inputs'!$C$25-'1. Inputs'!$B$30+1)^'1. Inputs'!$B$7)*('1. Inputs'!$B$9+'1. Inputs'!$B$10*MAX(0,$A50-'1. Inputs'!$C$25-'1. Inputs'!$B$30+1)/(MAX(0,$A50-'1. Inputs'!$C$25-'1. Inputs'!$B$30+1)+'1. Inputs'!$B$11))*'1. Inputs'!$B$13*(1+'1. Inputs'!$B$14*MIN(MAX(0,$A50-'1. Inputs'!$C$25-'1. Inputs'!$B$30+1),'1. Inputs'!$B$15))*('1. Inputs'!$B$31*'5. Diagnosing a miss'!$B$22))</f>
        <v>4735331.29351083</v>
      </c>
      <c r="V50" s="22" t="n">
        <f aca="false">IF(MAX(0,$A50-'1. Inputs'!$C$26-'1. Inputs'!$B$30+1)&lt;=0,0,'1. Inputs'!$B$26*'1. Inputs'!$B$5*MAX(0,$A50-'1. Inputs'!$C$26-'1. Inputs'!$B$30+1)^'1. Inputs'!$B$7/('1. Inputs'!$B$6^'1. Inputs'!$B$7+MAX(0,$A50-'1. Inputs'!$C$26-'1. Inputs'!$B$30+1)^'1. Inputs'!$B$7)*('1. Inputs'!$B$9+'1. Inputs'!$B$10*MAX(0,$A50-'1. Inputs'!$C$26-'1. Inputs'!$B$30+1)/(MAX(0,$A50-'1. Inputs'!$C$26-'1. Inputs'!$B$30+1)+'1. Inputs'!$B$11))*'1. Inputs'!$B$13*(1+'1. Inputs'!$B$14*MIN(MAX(0,$A50-'1. Inputs'!$C$26-'1. Inputs'!$B$30+1),'1. Inputs'!$B$15))*('1. Inputs'!$B$31*'5. Diagnosing a miss'!$B$22))</f>
        <v>2011395.35805668</v>
      </c>
      <c r="W50" s="22" t="n">
        <f aca="false">IF(MAX(0,$A50-'1. Inputs'!$C$27-'1. Inputs'!$B$30+1)&lt;=0,0,'1. Inputs'!$B$27*'1. Inputs'!$B$5*MAX(0,$A50-'1. Inputs'!$C$27-'1. Inputs'!$B$30+1)^'1. Inputs'!$B$7/('1. Inputs'!$B$6^'1. Inputs'!$B$7+MAX(0,$A50-'1. Inputs'!$C$27-'1. Inputs'!$B$30+1)^'1. Inputs'!$B$7)*('1. Inputs'!$B$9+'1. Inputs'!$B$10*MAX(0,$A50-'1. Inputs'!$C$27-'1. Inputs'!$B$30+1)/(MAX(0,$A50-'1. Inputs'!$C$27-'1. Inputs'!$B$30+1)+'1. Inputs'!$B$11))*'1. Inputs'!$B$13*(1+'1. Inputs'!$B$14*MIN(MAX(0,$A50-'1. Inputs'!$C$27-'1. Inputs'!$B$30+1),'1. Inputs'!$B$15))*('1. Inputs'!$B$31*'5. Diagnosing a miss'!$B$22))</f>
        <v>1426197.98059864</v>
      </c>
      <c r="X50" s="22" t="n">
        <f aca="false">SUM(T50:W50)</f>
        <v>11800273.1121661</v>
      </c>
      <c r="Y50" s="22" t="n">
        <f aca="false">IF($A50=MAX('1. Inputs'!$B$17,1),'1. Inputs'!$B$3,0)+IF($A50-'1. Inputs'!$B$17&gt;=1,INDEX(X$3:X$86,$A50-'1. Inputs'!$B$17),0)</f>
        <v>10624912.1300525</v>
      </c>
      <c r="Z50" s="22" t="n">
        <f aca="false">Z49*(1-'1. Inputs'!$B$18)+Y50</f>
        <v>248871452.834747</v>
      </c>
      <c r="AA50" s="22" t="n">
        <f aca="false">Z50*'1. Inputs'!$B$18</f>
        <v>2488714.52834747</v>
      </c>
      <c r="AB50" s="22" t="n">
        <f aca="false">AB49+X50-AA50</f>
        <v>382577748.835452</v>
      </c>
      <c r="AC50" s="22" t="n">
        <f aca="false">IF(MAX(0,$A50-'1. Inputs'!$C$24-('1. Inputs'!$B$30+'5. Diagnosing a miss'!$B$23)+1)&lt;=0,0,'1. Inputs'!$B$24*'1. Inputs'!$B$5*MAX(0,$A50-'1. Inputs'!$C$24-('1. Inputs'!$B$30+'5. Diagnosing a miss'!$B$23)+1)^'1. Inputs'!$B$7/('1. Inputs'!$B$6^'1. Inputs'!$B$7+MAX(0,$A50-'1. Inputs'!$C$24-('1. Inputs'!$B$30+'5. Diagnosing a miss'!$B$23)+1)^'1. Inputs'!$B$7)*('1. Inputs'!$B$9+'1. Inputs'!$B$10*MAX(0,$A50-'1. Inputs'!$C$24-('1. Inputs'!$B$30+'5. Diagnosing a miss'!$B$23)+1)/(MAX(0,$A50-'1. Inputs'!$C$24-('1. Inputs'!$B$30+'5. Diagnosing a miss'!$B$23)+1)+'1. Inputs'!$B$11))*'1. Inputs'!$B$13*(1+'1. Inputs'!$B$14*MIN(MAX(0,$A50-'1. Inputs'!$C$24-('1. Inputs'!$B$30+'5. Diagnosing a miss'!$B$23)+1),'1. Inputs'!$B$15))*'1. Inputs'!$B$31)</f>
        <v>3982791.47865169</v>
      </c>
      <c r="AD50" s="22" t="n">
        <f aca="false">IF(MAX(0,$A50-'1. Inputs'!$C$25-('1. Inputs'!$B$30+'5. Diagnosing a miss'!$B$23)+1)&lt;=0,0,'1. Inputs'!$B$25*'1. Inputs'!$B$5*MAX(0,$A50-'1. Inputs'!$C$25-('1. Inputs'!$B$30+'5. Diagnosing a miss'!$B$23)+1)^'1. Inputs'!$B$7/('1. Inputs'!$B$6^'1. Inputs'!$B$7+MAX(0,$A50-'1. Inputs'!$C$25-('1. Inputs'!$B$30+'5. Diagnosing a miss'!$B$23)+1)^'1. Inputs'!$B$7)*('1. Inputs'!$B$9+'1. Inputs'!$B$10*MAX(0,$A50-'1. Inputs'!$C$25-('1. Inputs'!$B$30+'5. Diagnosing a miss'!$B$23)+1)/(MAX(0,$A50-'1. Inputs'!$C$25-('1. Inputs'!$B$30+'5. Diagnosing a miss'!$B$23)+1)+'1. Inputs'!$B$11))*'1. Inputs'!$B$13*(1+'1. Inputs'!$B$14*MIN(MAX(0,$A50-'1. Inputs'!$C$25-('1. Inputs'!$B$30+'5. Diagnosing a miss'!$B$23)+1),'1. Inputs'!$B$15))*'1. Inputs'!$B$31)</f>
        <v>5175698.14971706</v>
      </c>
      <c r="AE50" s="22" t="n">
        <f aca="false">IF(MAX(0,$A50-'1. Inputs'!$C$26-('1. Inputs'!$B$30+'5. Diagnosing a miss'!$B$23)+1)&lt;=0,0,'1. Inputs'!$B$26*'1. Inputs'!$B$5*MAX(0,$A50-'1. Inputs'!$C$26-('1. Inputs'!$B$30+'5. Diagnosing a miss'!$B$23)+1)^'1. Inputs'!$B$7/('1. Inputs'!$B$6^'1. Inputs'!$B$7+MAX(0,$A50-'1. Inputs'!$C$26-('1. Inputs'!$B$30+'5. Diagnosing a miss'!$B$23)+1)^'1. Inputs'!$B$7)*('1. Inputs'!$B$9+'1. Inputs'!$B$10*MAX(0,$A50-'1. Inputs'!$C$26-('1. Inputs'!$B$30+'5. Diagnosing a miss'!$B$23)+1)/(MAX(0,$A50-'1. Inputs'!$C$26-('1. Inputs'!$B$30+'5. Diagnosing a miss'!$B$23)+1)+'1. Inputs'!$B$11))*'1. Inputs'!$B$13*(1+'1. Inputs'!$B$14*MIN(MAX(0,$A50-'1. Inputs'!$C$26-('1. Inputs'!$B$30+'5. Diagnosing a miss'!$B$23)+1),'1. Inputs'!$B$15))*'1. Inputs'!$B$31)</f>
        <v>2182026.12754881</v>
      </c>
      <c r="AF50" s="22" t="n">
        <f aca="false">IF(MAX(0,$A50-'1. Inputs'!$C$27-('1. Inputs'!$B$30+'5. Diagnosing a miss'!$B$23)+1)&lt;=0,0,'1. Inputs'!$B$27*'1. Inputs'!$B$5*MAX(0,$A50-'1. Inputs'!$C$27-('1. Inputs'!$B$30+'5. Diagnosing a miss'!$B$23)+1)^'1. Inputs'!$B$7/('1. Inputs'!$B$6^'1. Inputs'!$B$7+MAX(0,$A50-'1. Inputs'!$C$27-('1. Inputs'!$B$30+'5. Diagnosing a miss'!$B$23)+1)^'1. Inputs'!$B$7)*('1. Inputs'!$B$9+'1. Inputs'!$B$10*MAX(0,$A50-'1. Inputs'!$C$27-('1. Inputs'!$B$30+'5. Diagnosing a miss'!$B$23)+1)/(MAX(0,$A50-'1. Inputs'!$C$27-('1. Inputs'!$B$30+'5. Diagnosing a miss'!$B$23)+1)+'1. Inputs'!$B$11))*'1. Inputs'!$B$13*(1+'1. Inputs'!$B$14*MIN(MAX(0,$A50-'1. Inputs'!$C$27-('1. Inputs'!$B$30+'5. Diagnosing a miss'!$B$23)+1),'1. Inputs'!$B$15))*'1. Inputs'!$B$31)</f>
        <v>1543999.6300578</v>
      </c>
      <c r="AG50" s="22" t="n">
        <f aca="false">SUM(AC50:AF50)</f>
        <v>12884515.3859754</v>
      </c>
      <c r="AH50" s="22" t="n">
        <f aca="false">IF($A50=MAX('1. Inputs'!$B$17,1),'1. Inputs'!$B$3,0)+IF($A50-'1. Inputs'!$B$17&gt;=1,INDEX(AG$3:AG$86,$A50-'1. Inputs'!$B$17),0)</f>
        <v>11155874.9588582</v>
      </c>
      <c r="AI50" s="22" t="n">
        <f aca="false">AI49*(1-'1. Inputs'!$B$18)+AH50</f>
        <v>234269142.785057</v>
      </c>
      <c r="AJ50" s="22" t="n">
        <f aca="false">AI50*'1. Inputs'!$B$18</f>
        <v>2342691.42785057</v>
      </c>
      <c r="AK50" s="22" t="n">
        <f aca="false">AK49+AG50-AJ50</f>
        <v>378983445.783616</v>
      </c>
    </row>
    <row r="51" customFormat="false" ht="15" hidden="false" customHeight="false" outlineLevel="0" collapsed="false">
      <c r="A51" s="7" t="n">
        <v>49</v>
      </c>
      <c r="B51" s="22" t="n">
        <f aca="false">IF(MAX(0,$A51-'1. Inputs'!$C$24-'1. Inputs'!$B$30+1)&lt;=0,0,'1. Inputs'!$B$24*'1. Inputs'!$B$5*MAX(0,$A51-'1. Inputs'!$C$24-'1. Inputs'!$B$30+1)^'1. Inputs'!$B$7/('1. Inputs'!$B$6^'1. Inputs'!$B$7+MAX(0,$A51-'1. Inputs'!$C$24-'1. Inputs'!$B$30+1)^'1. Inputs'!$B$7)*('1. Inputs'!$B$9+'1. Inputs'!$B$10*MAX(0,$A51-'1. Inputs'!$C$24-'1. Inputs'!$B$30+1)/(MAX(0,$A51-'1. Inputs'!$C$24-'1. Inputs'!$B$30+1)+'1. Inputs'!$B$11))*'1. Inputs'!$B$13*(1+'1. Inputs'!$B$14*MIN(MAX(0,$A51-'1. Inputs'!$C$24-'1. Inputs'!$B$30+1),'1. Inputs'!$B$15))*'1. Inputs'!$B$31)</f>
        <v>4044568.56728349</v>
      </c>
      <c r="C51" s="22" t="n">
        <f aca="false">IF(MAX(0,$A51-'1. Inputs'!$C$25-'1. Inputs'!$B$30+1)&lt;=0,0,'1. Inputs'!$B$25*'1. Inputs'!$B$5*MAX(0,$A51-'1. Inputs'!$C$25-'1. Inputs'!$B$30+1)^'1. Inputs'!$B$7/('1. Inputs'!$B$6^'1. Inputs'!$B$7+MAX(0,$A51-'1. Inputs'!$C$25-'1. Inputs'!$B$30+1)^'1. Inputs'!$B$7)*('1. Inputs'!$B$9+'1. Inputs'!$B$10*MAX(0,$A51-'1. Inputs'!$C$25-'1. Inputs'!$B$30+1)/(MAX(0,$A51-'1. Inputs'!$C$25-'1. Inputs'!$B$30+1)+'1. Inputs'!$B$11))*'1. Inputs'!$B$13*(1+'1. Inputs'!$B$14*MIN(MAX(0,$A51-'1. Inputs'!$C$25-'1. Inputs'!$B$30+1),'1. Inputs'!$B$15))*'1. Inputs'!$B$31)</f>
        <v>5286668.98694486</v>
      </c>
      <c r="D51" s="22" t="n">
        <f aca="false">IF(MAX(0,$A51-'1. Inputs'!$C$26-'1. Inputs'!$B$30+1)&lt;=0,0,'1. Inputs'!$B$26*'1. Inputs'!$B$5*MAX(0,$A51-'1. Inputs'!$C$26-'1. Inputs'!$B$30+1)^'1. Inputs'!$B$7/('1. Inputs'!$B$6^'1. Inputs'!$B$7+MAX(0,$A51-'1. Inputs'!$C$26-'1. Inputs'!$B$30+1)^'1. Inputs'!$B$7)*('1. Inputs'!$B$9+'1. Inputs'!$B$10*MAX(0,$A51-'1. Inputs'!$C$26-'1. Inputs'!$B$30+1)/(MAX(0,$A51-'1. Inputs'!$C$26-'1. Inputs'!$B$30+1)+'1. Inputs'!$B$11))*'1. Inputs'!$B$13*(1+'1. Inputs'!$B$14*MIN(MAX(0,$A51-'1. Inputs'!$C$26-'1. Inputs'!$B$30+1),'1. Inputs'!$B$15))*'1. Inputs'!$B$31)</f>
        <v>2250129.1739645</v>
      </c>
      <c r="E51" s="22" t="n">
        <f aca="false">IF(MAX(0,$A51-'1. Inputs'!$C$27-'1. Inputs'!$B$30+1)&lt;=0,0,'1. Inputs'!$B$27*'1. Inputs'!$B$5*MAX(0,$A51-'1. Inputs'!$C$27-'1. Inputs'!$B$30+1)^'1. Inputs'!$B$7/('1. Inputs'!$B$6^'1. Inputs'!$B$7+MAX(0,$A51-'1. Inputs'!$C$27-'1. Inputs'!$B$30+1)^'1. Inputs'!$B$7)*('1. Inputs'!$B$9+'1. Inputs'!$B$10*MAX(0,$A51-'1. Inputs'!$C$27-'1. Inputs'!$B$30+1)/(MAX(0,$A51-'1. Inputs'!$C$27-'1. Inputs'!$B$30+1)+'1. Inputs'!$B$11))*'1. Inputs'!$B$13*(1+'1. Inputs'!$B$14*MIN(MAX(0,$A51-'1. Inputs'!$C$27-'1. Inputs'!$B$30+1),'1. Inputs'!$B$15))*'1. Inputs'!$B$31)</f>
        <v>1596345.52226721</v>
      </c>
      <c r="F51" s="22" t="n">
        <f aca="false">SUM(B51:E51)</f>
        <v>13177712.2504601</v>
      </c>
      <c r="G51" s="22" t="n">
        <f aca="false">IF($A51=MAX('1. Inputs'!$B$17,1),'1. Inputs'!$B$3,0)+IF($A51-'1. Inputs'!$B$17&gt;=1,INDEX(F$3:F$86,$A51-'1. Inputs'!$B$17),0)</f>
        <v>11968199.3230242</v>
      </c>
      <c r="H51" s="22" t="n">
        <f aca="false">H50*(1-'1. Inputs'!$B$18)+G51</f>
        <v>274235979.343429</v>
      </c>
      <c r="I51" s="22" t="n">
        <f aca="false">H51*'1. Inputs'!$B$18</f>
        <v>2742359.79343429</v>
      </c>
      <c r="J51" s="22" t="n">
        <f aca="false">J50+F51-I51</f>
        <v>424030921.954155</v>
      </c>
      <c r="K51" s="22" t="n">
        <f aca="false">IF(MAX(0,$A51-'1. Inputs'!$C$24-'1. Inputs'!$B$30+1)&lt;=0,0,'1. Inputs'!$B$24*('1. Inputs'!$B$5-'5. Diagnosing a miss'!$B$21)*MAX(0,$A51-'1. Inputs'!$C$24-'1. Inputs'!$B$30+1)^'1. Inputs'!$B$7/('1. Inputs'!$B$6^'1. Inputs'!$B$7+MAX(0,$A51-'1. Inputs'!$C$24-'1. Inputs'!$B$30+1)^'1. Inputs'!$B$7)*('1. Inputs'!$B$9+'1. Inputs'!$B$10*MAX(0,$A51-'1. Inputs'!$C$24-'1. Inputs'!$B$30+1)/(MAX(0,$A51-'1. Inputs'!$C$24-'1. Inputs'!$B$30+1)+'1. Inputs'!$B$11))*'1. Inputs'!$B$13*(1+'1. Inputs'!$B$14*MIN(MAX(0,$A51-'1. Inputs'!$C$24-'1. Inputs'!$B$30+1),'1. Inputs'!$B$15))*'1. Inputs'!$B$31)</f>
        <v>3595172.05980755</v>
      </c>
      <c r="L51" s="22" t="n">
        <f aca="false">IF(MAX(0,$A51-'1. Inputs'!$C$25-'1. Inputs'!$B$30+1)&lt;=0,0,'1. Inputs'!$B$25*('1. Inputs'!$B$5-'5. Diagnosing a miss'!$B$21)*MAX(0,$A51-'1. Inputs'!$C$25-'1. Inputs'!$B$30+1)^'1. Inputs'!$B$7/('1. Inputs'!$B$6^'1. Inputs'!$B$7+MAX(0,$A51-'1. Inputs'!$C$25-'1. Inputs'!$B$30+1)^'1. Inputs'!$B$7)*('1. Inputs'!$B$9+'1. Inputs'!$B$10*MAX(0,$A51-'1. Inputs'!$C$25-'1. Inputs'!$B$30+1)/(MAX(0,$A51-'1. Inputs'!$C$25-'1. Inputs'!$B$30+1)+'1. Inputs'!$B$11))*'1. Inputs'!$B$13*(1+'1. Inputs'!$B$14*MIN(MAX(0,$A51-'1. Inputs'!$C$25-'1. Inputs'!$B$30+1),'1. Inputs'!$B$15))*'1. Inputs'!$B$31)</f>
        <v>4699261.32172876</v>
      </c>
      <c r="M51" s="22" t="n">
        <f aca="false">IF(MAX(0,$A51-'1. Inputs'!$C$26-'1. Inputs'!$B$30+1)&lt;=0,0,'1. Inputs'!$B$26*('1. Inputs'!$B$5-'5. Diagnosing a miss'!$B$21)*MAX(0,$A51-'1. Inputs'!$C$26-'1. Inputs'!$B$30+1)^'1. Inputs'!$B$7/('1. Inputs'!$B$6^'1. Inputs'!$B$7+MAX(0,$A51-'1. Inputs'!$C$26-'1. Inputs'!$B$30+1)^'1. Inputs'!$B$7)*('1. Inputs'!$B$9+'1. Inputs'!$B$10*MAX(0,$A51-'1. Inputs'!$C$26-'1. Inputs'!$B$30+1)/(MAX(0,$A51-'1. Inputs'!$C$26-'1. Inputs'!$B$30+1)+'1. Inputs'!$B$11))*'1. Inputs'!$B$13*(1+'1. Inputs'!$B$14*MIN(MAX(0,$A51-'1. Inputs'!$C$26-'1. Inputs'!$B$30+1),'1. Inputs'!$B$15))*'1. Inputs'!$B$31)</f>
        <v>2000114.82130178</v>
      </c>
      <c r="N51" s="22" t="n">
        <f aca="false">IF(MAX(0,$A51-'1. Inputs'!$C$27-'1. Inputs'!$B$30+1)&lt;=0,0,'1. Inputs'!$B$27*('1. Inputs'!$B$5-'5. Diagnosing a miss'!$B$21)*MAX(0,$A51-'1. Inputs'!$C$27-'1. Inputs'!$B$30+1)^'1. Inputs'!$B$7/('1. Inputs'!$B$6^'1. Inputs'!$B$7+MAX(0,$A51-'1. Inputs'!$C$27-'1. Inputs'!$B$30+1)^'1. Inputs'!$B$7)*('1. Inputs'!$B$9+'1. Inputs'!$B$10*MAX(0,$A51-'1. Inputs'!$C$27-'1. Inputs'!$B$30+1)/(MAX(0,$A51-'1. Inputs'!$C$27-'1. Inputs'!$B$30+1)+'1. Inputs'!$B$11))*'1. Inputs'!$B$13*(1+'1. Inputs'!$B$14*MIN(MAX(0,$A51-'1. Inputs'!$C$27-'1. Inputs'!$B$30+1),'1. Inputs'!$B$15))*'1. Inputs'!$B$31)</f>
        <v>1418973.79757085</v>
      </c>
      <c r="O51" s="22" t="n">
        <f aca="false">SUM(K51:N51)</f>
        <v>11713522.0004089</v>
      </c>
      <c r="P51" s="22" t="n">
        <f aca="false">IF($A51=MAX('1. Inputs'!$B$17,1),'1. Inputs'!$B$3,0)+IF($A51-'1. Inputs'!$B$17&gt;=1,INDEX(O$3:O$86,$A51-'1. Inputs'!$B$17),0)</f>
        <v>10638399.3982437</v>
      </c>
      <c r="Q51" s="22" t="n">
        <f aca="false">Q50*(1-'1. Inputs'!$B$18)+P51</f>
        <v>255256133.069754</v>
      </c>
      <c r="R51" s="22" t="n">
        <f aca="false">Q51*'1. Inputs'!$B$18</f>
        <v>2552561.33069754</v>
      </c>
      <c r="S51" s="22" t="n">
        <f aca="false">S50+O51-R51</f>
        <v>388292284.987199</v>
      </c>
      <c r="T51" s="22" t="n">
        <f aca="false">IF(MAX(0,$A51-'1. Inputs'!$C$24-'1. Inputs'!$B$30+1)&lt;=0,0,'1. Inputs'!$B$24*'1. Inputs'!$B$5*MAX(0,$A51-'1. Inputs'!$C$24-'1. Inputs'!$B$30+1)^'1. Inputs'!$B$7/('1. Inputs'!$B$6^'1. Inputs'!$B$7+MAX(0,$A51-'1. Inputs'!$C$24-'1. Inputs'!$B$30+1)^'1. Inputs'!$B$7)*('1. Inputs'!$B$9+'1. Inputs'!$B$10*MAX(0,$A51-'1. Inputs'!$C$24-'1. Inputs'!$B$30+1)/(MAX(0,$A51-'1. Inputs'!$C$24-'1. Inputs'!$B$30+1)+'1. Inputs'!$B$11))*'1. Inputs'!$B$13*(1+'1. Inputs'!$B$14*MIN(MAX(0,$A51-'1. Inputs'!$C$24-'1. Inputs'!$B$30+1),'1. Inputs'!$B$15))*('1. Inputs'!$B$31*'5. Diagnosing a miss'!$B$22))</f>
        <v>3640111.71055514</v>
      </c>
      <c r="U51" s="22" t="n">
        <f aca="false">IF(MAX(0,$A51-'1. Inputs'!$C$25-'1. Inputs'!$B$30+1)&lt;=0,0,'1. Inputs'!$B$25*'1. Inputs'!$B$5*MAX(0,$A51-'1. Inputs'!$C$25-'1. Inputs'!$B$30+1)^'1. Inputs'!$B$7/('1. Inputs'!$B$6^'1. Inputs'!$B$7+MAX(0,$A51-'1. Inputs'!$C$25-'1. Inputs'!$B$30+1)^'1. Inputs'!$B$7)*('1. Inputs'!$B$9+'1. Inputs'!$B$10*MAX(0,$A51-'1. Inputs'!$C$25-'1. Inputs'!$B$30+1)/(MAX(0,$A51-'1. Inputs'!$C$25-'1. Inputs'!$B$30+1)+'1. Inputs'!$B$11))*'1. Inputs'!$B$13*(1+'1. Inputs'!$B$14*MIN(MAX(0,$A51-'1. Inputs'!$C$25-'1. Inputs'!$B$30+1),'1. Inputs'!$B$15))*('1. Inputs'!$B$31*'5. Diagnosing a miss'!$B$22))</f>
        <v>4758002.08825037</v>
      </c>
      <c r="V51" s="22" t="n">
        <f aca="false">IF(MAX(0,$A51-'1. Inputs'!$C$26-'1. Inputs'!$B$30+1)&lt;=0,0,'1. Inputs'!$B$26*'1. Inputs'!$B$5*MAX(0,$A51-'1. Inputs'!$C$26-'1. Inputs'!$B$30+1)^'1. Inputs'!$B$7/('1. Inputs'!$B$6^'1. Inputs'!$B$7+MAX(0,$A51-'1. Inputs'!$C$26-'1. Inputs'!$B$30+1)^'1. Inputs'!$B$7)*('1. Inputs'!$B$9+'1. Inputs'!$B$10*MAX(0,$A51-'1. Inputs'!$C$26-'1. Inputs'!$B$30+1)/(MAX(0,$A51-'1. Inputs'!$C$26-'1. Inputs'!$B$30+1)+'1. Inputs'!$B$11))*'1. Inputs'!$B$13*(1+'1. Inputs'!$B$14*MIN(MAX(0,$A51-'1. Inputs'!$C$26-'1. Inputs'!$B$30+1),'1. Inputs'!$B$15))*('1. Inputs'!$B$31*'5. Diagnosing a miss'!$B$22))</f>
        <v>2025116.25656805</v>
      </c>
      <c r="W51" s="22" t="n">
        <f aca="false">IF(MAX(0,$A51-'1. Inputs'!$C$27-'1. Inputs'!$B$30+1)&lt;=0,0,'1. Inputs'!$B$27*'1. Inputs'!$B$5*MAX(0,$A51-'1. Inputs'!$C$27-'1. Inputs'!$B$30+1)^'1. Inputs'!$B$7/('1. Inputs'!$B$6^'1. Inputs'!$B$7+MAX(0,$A51-'1. Inputs'!$C$27-'1. Inputs'!$B$30+1)^'1. Inputs'!$B$7)*('1. Inputs'!$B$9+'1. Inputs'!$B$10*MAX(0,$A51-'1. Inputs'!$C$27-'1. Inputs'!$B$30+1)/(MAX(0,$A51-'1. Inputs'!$C$27-'1. Inputs'!$B$30+1)+'1. Inputs'!$B$11))*'1. Inputs'!$B$13*(1+'1. Inputs'!$B$14*MIN(MAX(0,$A51-'1. Inputs'!$C$27-'1. Inputs'!$B$30+1),'1. Inputs'!$B$15))*('1. Inputs'!$B$31*'5. Diagnosing a miss'!$B$22))</f>
        <v>1436710.97004049</v>
      </c>
      <c r="X51" s="22" t="n">
        <f aca="false">SUM(T51:W51)</f>
        <v>11859941.025414</v>
      </c>
      <c r="Y51" s="22" t="n">
        <f aca="false">IF($A51=MAX('1. Inputs'!$B$17,1),'1. Inputs'!$B$3,0)+IF($A51-'1. Inputs'!$B$17&gt;=1,INDEX(X$3:X$86,$A51-'1. Inputs'!$B$17),0)</f>
        <v>10771379.3907218</v>
      </c>
      <c r="Z51" s="22" t="n">
        <f aca="false">Z50*(1-'1. Inputs'!$B$18)+Y51</f>
        <v>257154117.697122</v>
      </c>
      <c r="AA51" s="22" t="n">
        <f aca="false">Z51*'1. Inputs'!$B$18</f>
        <v>2571541.17697122</v>
      </c>
      <c r="AB51" s="22" t="n">
        <f aca="false">AB50+X51-AA51</f>
        <v>391866148.683895</v>
      </c>
      <c r="AC51" s="22" t="n">
        <f aca="false">IF(MAX(0,$A51-'1. Inputs'!$C$24-('1. Inputs'!$B$30+'5. Diagnosing a miss'!$B$23)+1)&lt;=0,0,'1. Inputs'!$B$24*'1. Inputs'!$B$5*MAX(0,$A51-'1. Inputs'!$C$24-('1. Inputs'!$B$30+'5. Diagnosing a miss'!$B$23)+1)^'1. Inputs'!$B$7/('1. Inputs'!$B$6^'1. Inputs'!$B$7+MAX(0,$A51-'1. Inputs'!$C$24-('1. Inputs'!$B$30+'5. Diagnosing a miss'!$B$23)+1)^'1. Inputs'!$B$7)*('1. Inputs'!$B$9+'1. Inputs'!$B$10*MAX(0,$A51-'1. Inputs'!$C$24-('1. Inputs'!$B$30+'5. Diagnosing a miss'!$B$23)+1)/(MAX(0,$A51-'1. Inputs'!$C$24-('1. Inputs'!$B$30+'5. Diagnosing a miss'!$B$23)+1)+'1. Inputs'!$B$11))*'1. Inputs'!$B$13*(1+'1. Inputs'!$B$14*MIN(MAX(0,$A51-'1. Inputs'!$C$24-('1. Inputs'!$B$30+'5. Diagnosing a miss'!$B$23)+1),'1. Inputs'!$B$15))*'1. Inputs'!$B$31)</f>
        <v>3999567.1313659</v>
      </c>
      <c r="AD51" s="22" t="n">
        <f aca="false">IF(MAX(0,$A51-'1. Inputs'!$C$25-('1. Inputs'!$B$30+'5. Diagnosing a miss'!$B$23)+1)&lt;=0,0,'1. Inputs'!$B$25*'1. Inputs'!$B$5*MAX(0,$A51-'1. Inputs'!$C$25-('1. Inputs'!$B$30+'5. Diagnosing a miss'!$B$23)+1)^'1. Inputs'!$B$7/('1. Inputs'!$B$6^'1. Inputs'!$B$7+MAX(0,$A51-'1. Inputs'!$C$25-('1. Inputs'!$B$30+'5. Diagnosing a miss'!$B$23)+1)^'1. Inputs'!$B$7)*('1. Inputs'!$B$9+'1. Inputs'!$B$10*MAX(0,$A51-'1. Inputs'!$C$25-('1. Inputs'!$B$30+'5. Diagnosing a miss'!$B$23)+1)/(MAX(0,$A51-'1. Inputs'!$C$25-('1. Inputs'!$B$30+'5. Diagnosing a miss'!$B$23)+1)+'1. Inputs'!$B$11))*'1. Inputs'!$B$13*(1+'1. Inputs'!$B$14*MIN(MAX(0,$A51-'1. Inputs'!$C$25-('1. Inputs'!$B$30+'5. Diagnosing a miss'!$B$23)+1),'1. Inputs'!$B$15))*'1. Inputs'!$B$31)</f>
        <v>5206148.88133567</v>
      </c>
      <c r="AE51" s="22" t="n">
        <f aca="false">IF(MAX(0,$A51-'1. Inputs'!$C$26-('1. Inputs'!$B$30+'5. Diagnosing a miss'!$B$23)+1)&lt;=0,0,'1. Inputs'!$B$26*'1. Inputs'!$B$5*MAX(0,$A51-'1. Inputs'!$C$26-('1. Inputs'!$B$30+'5. Diagnosing a miss'!$B$23)+1)^'1. Inputs'!$B$7/('1. Inputs'!$B$6^'1. Inputs'!$B$7+MAX(0,$A51-'1. Inputs'!$C$26-('1. Inputs'!$B$30+'5. Diagnosing a miss'!$B$23)+1)^'1. Inputs'!$B$7)*('1. Inputs'!$B$9+'1. Inputs'!$B$10*MAX(0,$A51-'1. Inputs'!$C$26-('1. Inputs'!$B$30+'5. Diagnosing a miss'!$B$23)+1)/(MAX(0,$A51-'1. Inputs'!$C$26-('1. Inputs'!$B$30+'5. Diagnosing a miss'!$B$23)+1)+'1. Inputs'!$B$11))*'1. Inputs'!$B$13*(1+'1. Inputs'!$B$14*MIN(MAX(0,$A51-'1. Inputs'!$C$26-('1. Inputs'!$B$30+'5. Diagnosing a miss'!$B$23)+1),'1. Inputs'!$B$15))*'1. Inputs'!$B$31)</f>
        <v>2200954.12844037</v>
      </c>
      <c r="AF51" s="22" t="n">
        <f aca="false">IF(MAX(0,$A51-'1. Inputs'!$C$27-('1. Inputs'!$B$30+'5. Diagnosing a miss'!$B$23)+1)&lt;=0,0,'1. Inputs'!$B$27*'1. Inputs'!$B$5*MAX(0,$A51-'1. Inputs'!$C$27-('1. Inputs'!$B$30+'5. Diagnosing a miss'!$B$23)+1)^'1. Inputs'!$B$7/('1. Inputs'!$B$6^'1. Inputs'!$B$7+MAX(0,$A51-'1. Inputs'!$C$27-('1. Inputs'!$B$30+'5. Diagnosing a miss'!$B$23)+1)^'1. Inputs'!$B$7)*('1. Inputs'!$B$9+'1. Inputs'!$B$10*MAX(0,$A51-'1. Inputs'!$C$27-('1. Inputs'!$B$30+'5. Diagnosing a miss'!$B$23)+1)/(MAX(0,$A51-'1. Inputs'!$C$27-('1. Inputs'!$B$30+'5. Diagnosing a miss'!$B$23)+1)+'1. Inputs'!$B$11))*'1. Inputs'!$B$13*(1+'1. Inputs'!$B$14*MIN(MAX(0,$A51-'1. Inputs'!$C$27-('1. Inputs'!$B$30+'5. Diagnosing a miss'!$B$23)+1),'1. Inputs'!$B$15))*'1. Inputs'!$B$31)</f>
        <v>1558590.09110629</v>
      </c>
      <c r="AG51" s="22" t="n">
        <f aca="false">SUM(AC51:AF51)</f>
        <v>12965260.2322482</v>
      </c>
      <c r="AH51" s="22" t="n">
        <f aca="false">IF($A51=MAX('1. Inputs'!$B$17,1),'1. Inputs'!$B$3,0)+IF($A51-'1. Inputs'!$B$17&gt;=1,INDEX(AG$3:AG$86,$A51-'1. Inputs'!$B$17),0)</f>
        <v>11413702.636521</v>
      </c>
      <c r="AI51" s="22" t="n">
        <f aca="false">AI50*(1-'1. Inputs'!$B$18)+AH51</f>
        <v>243340153.993728</v>
      </c>
      <c r="AJ51" s="22" t="n">
        <f aca="false">AI51*'1. Inputs'!$B$18</f>
        <v>2433401.53993728</v>
      </c>
      <c r="AK51" s="22" t="n">
        <f aca="false">AK50+AG51-AJ51</f>
        <v>389515304.475927</v>
      </c>
    </row>
    <row r="52" customFormat="false" ht="15" hidden="false" customHeight="false" outlineLevel="0" collapsed="false">
      <c r="A52" s="7" t="n">
        <v>50</v>
      </c>
      <c r="B52" s="22" t="n">
        <f aca="false">IF(MAX(0,$A52-'1. Inputs'!$C$24-'1. Inputs'!$B$30+1)&lt;=0,0,'1. Inputs'!$B$24*'1. Inputs'!$B$5*MAX(0,$A52-'1. Inputs'!$C$24-'1. Inputs'!$B$30+1)^'1. Inputs'!$B$7/('1. Inputs'!$B$6^'1. Inputs'!$B$7+MAX(0,$A52-'1. Inputs'!$C$24-'1. Inputs'!$B$30+1)^'1. Inputs'!$B$7)*('1. Inputs'!$B$9+'1. Inputs'!$B$10*MAX(0,$A52-'1. Inputs'!$C$24-'1. Inputs'!$B$30+1)/(MAX(0,$A52-'1. Inputs'!$C$24-'1. Inputs'!$B$30+1)+'1. Inputs'!$B$11))*'1. Inputs'!$B$13*(1+'1. Inputs'!$B$14*MIN(MAX(0,$A52-'1. Inputs'!$C$24-'1. Inputs'!$B$30+1),'1. Inputs'!$B$15))*'1. Inputs'!$B$31)</f>
        <v>4058011.41751116</v>
      </c>
      <c r="C52" s="22" t="n">
        <f aca="false">IF(MAX(0,$A52-'1. Inputs'!$C$25-'1. Inputs'!$B$30+1)&lt;=0,0,'1. Inputs'!$B$25*'1. Inputs'!$B$5*MAX(0,$A52-'1. Inputs'!$C$25-'1. Inputs'!$B$30+1)^'1. Inputs'!$B$7/('1. Inputs'!$B$6^'1. Inputs'!$B$7+MAX(0,$A52-'1. Inputs'!$C$25-'1. Inputs'!$B$30+1)^'1. Inputs'!$B$7)*('1. Inputs'!$B$9+'1. Inputs'!$B$10*MAX(0,$A52-'1. Inputs'!$C$25-'1. Inputs'!$B$30+1)/(MAX(0,$A52-'1. Inputs'!$C$25-'1. Inputs'!$B$30+1)+'1. Inputs'!$B$11))*'1. Inputs'!$B$13*(1+'1. Inputs'!$B$14*MIN(MAX(0,$A52-'1. Inputs'!$C$25-'1. Inputs'!$B$30+1),'1. Inputs'!$B$15))*'1. Inputs'!$B$31)</f>
        <v>5310388.63820225</v>
      </c>
      <c r="D52" s="22" t="n">
        <f aca="false">IF(MAX(0,$A52-'1. Inputs'!$C$26-'1. Inputs'!$B$30+1)&lt;=0,0,'1. Inputs'!$B$26*'1. Inputs'!$B$5*MAX(0,$A52-'1. Inputs'!$C$26-'1. Inputs'!$B$30+1)^'1. Inputs'!$B$7/('1. Inputs'!$B$6^'1. Inputs'!$B$7+MAX(0,$A52-'1. Inputs'!$C$26-'1. Inputs'!$B$30+1)^'1. Inputs'!$B$7)*('1. Inputs'!$B$9+'1. Inputs'!$B$10*MAX(0,$A52-'1. Inputs'!$C$26-'1. Inputs'!$B$30+1)/(MAX(0,$A52-'1. Inputs'!$C$26-'1. Inputs'!$B$30+1)+'1. Inputs'!$B$11))*'1. Inputs'!$B$13*(1+'1. Inputs'!$B$14*MIN(MAX(0,$A52-'1. Inputs'!$C$26-'1. Inputs'!$B$30+1),'1. Inputs'!$B$15))*'1. Inputs'!$B$31)</f>
        <v>2264367.94050121</v>
      </c>
      <c r="E52" s="22" t="n">
        <f aca="false">IF(MAX(0,$A52-'1. Inputs'!$C$27-'1. Inputs'!$B$30+1)&lt;=0,0,'1. Inputs'!$B$27*'1. Inputs'!$B$5*MAX(0,$A52-'1. Inputs'!$C$27-'1. Inputs'!$B$30+1)^'1. Inputs'!$B$7/('1. Inputs'!$B$6^'1. Inputs'!$B$7+MAX(0,$A52-'1. Inputs'!$C$27-'1. Inputs'!$B$30+1)^'1. Inputs'!$B$7)*('1. Inputs'!$B$9+'1. Inputs'!$B$10*MAX(0,$A52-'1. Inputs'!$C$27-'1. Inputs'!$B$30+1)/(MAX(0,$A52-'1. Inputs'!$C$27-'1. Inputs'!$B$30+1)+'1. Inputs'!$B$11))*'1. Inputs'!$B$13*(1+'1. Inputs'!$B$14*MIN(MAX(0,$A52-'1. Inputs'!$C$27-'1. Inputs'!$B$30+1),'1. Inputs'!$B$15))*'1. Inputs'!$B$31)</f>
        <v>1607235.12426036</v>
      </c>
      <c r="F52" s="22" t="n">
        <f aca="false">SUM(B52:E52)</f>
        <v>13240003.120475</v>
      </c>
      <c r="G52" s="22" t="n">
        <f aca="false">IF($A52=MAX('1. Inputs'!$B$17,1),'1. Inputs'!$B$3,0)+IF($A52-'1. Inputs'!$B$17&gt;=1,INDEX(F$3:F$86,$A52-'1. Inputs'!$B$17),0)</f>
        <v>12117361.5836102</v>
      </c>
      <c r="H52" s="22" t="n">
        <f aca="false">H51*(1-'1. Inputs'!$B$18)+G52</f>
        <v>283610981.133604</v>
      </c>
      <c r="I52" s="22" t="n">
        <f aca="false">H52*'1. Inputs'!$B$18</f>
        <v>2836109.81133604</v>
      </c>
      <c r="J52" s="22" t="n">
        <f aca="false">J51+F52-I52</f>
        <v>434434815.263294</v>
      </c>
      <c r="K52" s="22" t="n">
        <f aca="false">IF(MAX(0,$A52-'1. Inputs'!$C$24-'1. Inputs'!$B$30+1)&lt;=0,0,'1. Inputs'!$B$24*('1. Inputs'!$B$5-'5. Diagnosing a miss'!$B$21)*MAX(0,$A52-'1. Inputs'!$C$24-'1. Inputs'!$B$30+1)^'1. Inputs'!$B$7/('1. Inputs'!$B$6^'1. Inputs'!$B$7+MAX(0,$A52-'1. Inputs'!$C$24-'1. Inputs'!$B$30+1)^'1. Inputs'!$B$7)*('1. Inputs'!$B$9+'1. Inputs'!$B$10*MAX(0,$A52-'1. Inputs'!$C$24-'1. Inputs'!$B$30+1)/(MAX(0,$A52-'1. Inputs'!$C$24-'1. Inputs'!$B$30+1)+'1. Inputs'!$B$11))*'1. Inputs'!$B$13*(1+'1. Inputs'!$B$14*MIN(MAX(0,$A52-'1. Inputs'!$C$24-'1. Inputs'!$B$30+1),'1. Inputs'!$B$15))*'1. Inputs'!$B$31)</f>
        <v>3607121.26000992</v>
      </c>
      <c r="L52" s="22" t="n">
        <f aca="false">IF(MAX(0,$A52-'1. Inputs'!$C$25-'1. Inputs'!$B$30+1)&lt;=0,0,'1. Inputs'!$B$25*('1. Inputs'!$B$5-'5. Diagnosing a miss'!$B$21)*MAX(0,$A52-'1. Inputs'!$C$25-'1. Inputs'!$B$30+1)^'1. Inputs'!$B$7/('1. Inputs'!$B$6^'1. Inputs'!$B$7+MAX(0,$A52-'1. Inputs'!$C$25-'1. Inputs'!$B$30+1)^'1. Inputs'!$B$7)*('1. Inputs'!$B$9+'1. Inputs'!$B$10*MAX(0,$A52-'1. Inputs'!$C$25-'1. Inputs'!$B$30+1)/(MAX(0,$A52-'1. Inputs'!$C$25-'1. Inputs'!$B$30+1)+'1. Inputs'!$B$11))*'1. Inputs'!$B$13*(1+'1. Inputs'!$B$14*MIN(MAX(0,$A52-'1. Inputs'!$C$25-'1. Inputs'!$B$30+1),'1. Inputs'!$B$15))*'1. Inputs'!$B$31)</f>
        <v>4720345.45617978</v>
      </c>
      <c r="M52" s="22" t="n">
        <f aca="false">IF(MAX(0,$A52-'1. Inputs'!$C$26-'1. Inputs'!$B$30+1)&lt;=0,0,'1. Inputs'!$B$26*('1. Inputs'!$B$5-'5. Diagnosing a miss'!$B$21)*MAX(0,$A52-'1. Inputs'!$C$26-'1. Inputs'!$B$30+1)^'1. Inputs'!$B$7/('1. Inputs'!$B$6^'1. Inputs'!$B$7+MAX(0,$A52-'1. Inputs'!$C$26-'1. Inputs'!$B$30+1)^'1. Inputs'!$B$7)*('1. Inputs'!$B$9+'1. Inputs'!$B$10*MAX(0,$A52-'1. Inputs'!$C$26-'1. Inputs'!$B$30+1)/(MAX(0,$A52-'1. Inputs'!$C$26-'1. Inputs'!$B$30+1)+'1. Inputs'!$B$11))*'1. Inputs'!$B$13*(1+'1. Inputs'!$B$14*MIN(MAX(0,$A52-'1. Inputs'!$C$26-'1. Inputs'!$B$30+1),'1. Inputs'!$B$15))*'1. Inputs'!$B$31)</f>
        <v>2012771.50266774</v>
      </c>
      <c r="N52" s="22" t="n">
        <f aca="false">IF(MAX(0,$A52-'1. Inputs'!$C$27-'1. Inputs'!$B$30+1)&lt;=0,0,'1. Inputs'!$B$27*('1. Inputs'!$B$5-'5. Diagnosing a miss'!$B$21)*MAX(0,$A52-'1. Inputs'!$C$27-'1. Inputs'!$B$30+1)^'1. Inputs'!$B$7/('1. Inputs'!$B$6^'1. Inputs'!$B$7+MAX(0,$A52-'1. Inputs'!$C$27-'1. Inputs'!$B$30+1)^'1. Inputs'!$B$7)*('1. Inputs'!$B$9+'1. Inputs'!$B$10*MAX(0,$A52-'1. Inputs'!$C$27-'1. Inputs'!$B$30+1)/(MAX(0,$A52-'1. Inputs'!$C$27-'1. Inputs'!$B$30+1)+'1. Inputs'!$B$11))*'1. Inputs'!$B$13*(1+'1. Inputs'!$B$14*MIN(MAX(0,$A52-'1. Inputs'!$C$27-'1. Inputs'!$B$30+1),'1. Inputs'!$B$15))*'1. Inputs'!$B$31)</f>
        <v>1428653.44378698</v>
      </c>
      <c r="O52" s="22" t="n">
        <f aca="false">SUM(K52:N52)</f>
        <v>11768891.6626444</v>
      </c>
      <c r="P52" s="22" t="n">
        <f aca="false">IF($A52=MAX('1. Inputs'!$B$17,1),'1. Inputs'!$B$3,0)+IF($A52-'1. Inputs'!$B$17&gt;=1,INDEX(O$3:O$86,$A52-'1. Inputs'!$B$17),0)</f>
        <v>10770988.0743202</v>
      </c>
      <c r="Q52" s="22" t="n">
        <f aca="false">Q51*(1-'1. Inputs'!$B$18)+P52</f>
        <v>263474559.813377</v>
      </c>
      <c r="R52" s="22" t="n">
        <f aca="false">Q52*'1. Inputs'!$B$18</f>
        <v>2634745.59813377</v>
      </c>
      <c r="S52" s="22" t="n">
        <f aca="false">S51+O52-R52</f>
        <v>397426431.05171</v>
      </c>
      <c r="T52" s="22" t="n">
        <f aca="false">IF(MAX(0,$A52-'1. Inputs'!$C$24-'1. Inputs'!$B$30+1)&lt;=0,0,'1. Inputs'!$B$24*'1. Inputs'!$B$5*MAX(0,$A52-'1. Inputs'!$C$24-'1. Inputs'!$B$30+1)^'1. Inputs'!$B$7/('1. Inputs'!$B$6^'1. Inputs'!$B$7+MAX(0,$A52-'1. Inputs'!$C$24-'1. Inputs'!$B$30+1)^'1. Inputs'!$B$7)*('1. Inputs'!$B$9+'1. Inputs'!$B$10*MAX(0,$A52-'1. Inputs'!$C$24-'1. Inputs'!$B$30+1)/(MAX(0,$A52-'1. Inputs'!$C$24-'1. Inputs'!$B$30+1)+'1. Inputs'!$B$11))*'1. Inputs'!$B$13*(1+'1. Inputs'!$B$14*MIN(MAX(0,$A52-'1. Inputs'!$C$24-'1. Inputs'!$B$30+1),'1. Inputs'!$B$15))*('1. Inputs'!$B$31*'5. Diagnosing a miss'!$B$22))</f>
        <v>3652210.27576004</v>
      </c>
      <c r="U52" s="22" t="n">
        <f aca="false">IF(MAX(0,$A52-'1. Inputs'!$C$25-'1. Inputs'!$B$30+1)&lt;=0,0,'1. Inputs'!$B$25*'1. Inputs'!$B$5*MAX(0,$A52-'1. Inputs'!$C$25-'1. Inputs'!$B$30+1)^'1. Inputs'!$B$7/('1. Inputs'!$B$6^'1. Inputs'!$B$7+MAX(0,$A52-'1. Inputs'!$C$25-'1. Inputs'!$B$30+1)^'1. Inputs'!$B$7)*('1. Inputs'!$B$9+'1. Inputs'!$B$10*MAX(0,$A52-'1. Inputs'!$C$25-'1. Inputs'!$B$30+1)/(MAX(0,$A52-'1. Inputs'!$C$25-'1. Inputs'!$B$30+1)+'1. Inputs'!$B$11))*'1. Inputs'!$B$13*(1+'1. Inputs'!$B$14*MIN(MAX(0,$A52-'1. Inputs'!$C$25-'1. Inputs'!$B$30+1),'1. Inputs'!$B$15))*('1. Inputs'!$B$31*'5. Diagnosing a miss'!$B$22))</f>
        <v>4779349.77438202</v>
      </c>
      <c r="V52" s="22" t="n">
        <f aca="false">IF(MAX(0,$A52-'1. Inputs'!$C$26-'1. Inputs'!$B$30+1)&lt;=0,0,'1. Inputs'!$B$26*'1. Inputs'!$B$5*MAX(0,$A52-'1. Inputs'!$C$26-'1. Inputs'!$B$30+1)^'1. Inputs'!$B$7/('1. Inputs'!$B$6^'1. Inputs'!$B$7+MAX(0,$A52-'1. Inputs'!$C$26-'1. Inputs'!$B$30+1)^'1. Inputs'!$B$7)*('1. Inputs'!$B$9+'1. Inputs'!$B$10*MAX(0,$A52-'1. Inputs'!$C$26-'1. Inputs'!$B$30+1)/(MAX(0,$A52-'1. Inputs'!$C$26-'1. Inputs'!$B$30+1)+'1. Inputs'!$B$11))*'1. Inputs'!$B$13*(1+'1. Inputs'!$B$14*MIN(MAX(0,$A52-'1. Inputs'!$C$26-'1. Inputs'!$B$30+1),'1. Inputs'!$B$15))*('1. Inputs'!$B$31*'5. Diagnosing a miss'!$B$22))</f>
        <v>2037931.14645109</v>
      </c>
      <c r="W52" s="22" t="n">
        <f aca="false">IF(MAX(0,$A52-'1. Inputs'!$C$27-'1. Inputs'!$B$30+1)&lt;=0,0,'1. Inputs'!$B$27*'1. Inputs'!$B$5*MAX(0,$A52-'1. Inputs'!$C$27-'1. Inputs'!$B$30+1)^'1. Inputs'!$B$7/('1. Inputs'!$B$6^'1. Inputs'!$B$7+MAX(0,$A52-'1. Inputs'!$C$27-'1. Inputs'!$B$30+1)^'1. Inputs'!$B$7)*('1. Inputs'!$B$9+'1. Inputs'!$B$10*MAX(0,$A52-'1. Inputs'!$C$27-'1. Inputs'!$B$30+1)/(MAX(0,$A52-'1. Inputs'!$C$27-'1. Inputs'!$B$30+1)+'1. Inputs'!$B$11))*'1. Inputs'!$B$13*(1+'1. Inputs'!$B$14*MIN(MAX(0,$A52-'1. Inputs'!$C$27-'1. Inputs'!$B$30+1),'1. Inputs'!$B$15))*('1. Inputs'!$B$31*'5. Diagnosing a miss'!$B$22))</f>
        <v>1446511.61183432</v>
      </c>
      <c r="X52" s="22" t="n">
        <f aca="false">SUM(T52:W52)</f>
        <v>11916002.8084275</v>
      </c>
      <c r="Y52" s="22" t="n">
        <f aca="false">IF($A52=MAX('1. Inputs'!$B$17,1),'1. Inputs'!$B$3,0)+IF($A52-'1. Inputs'!$B$17&gt;=1,INDEX(X$3:X$86,$A52-'1. Inputs'!$B$17),0)</f>
        <v>10905625.4252492</v>
      </c>
      <c r="Z52" s="22" t="n">
        <f aca="false">Z51*(1-'1. Inputs'!$B$18)+Y52</f>
        <v>265488201.9454</v>
      </c>
      <c r="AA52" s="22" t="n">
        <f aca="false">Z52*'1. Inputs'!$B$18</f>
        <v>2654882.019454</v>
      </c>
      <c r="AB52" s="22" t="n">
        <f aca="false">AB51+X52-AA52</f>
        <v>401127269.472869</v>
      </c>
      <c r="AC52" s="22" t="n">
        <f aca="false">IF(MAX(0,$A52-'1. Inputs'!$C$24-('1. Inputs'!$B$30+'5. Diagnosing a miss'!$B$23)+1)&lt;=0,0,'1. Inputs'!$B$24*'1. Inputs'!$B$5*MAX(0,$A52-'1. Inputs'!$C$24-('1. Inputs'!$B$30+'5. Diagnosing a miss'!$B$23)+1)^'1. Inputs'!$B$7/('1. Inputs'!$B$6^'1. Inputs'!$B$7+MAX(0,$A52-'1. Inputs'!$C$24-('1. Inputs'!$B$30+'5. Diagnosing a miss'!$B$23)+1)^'1. Inputs'!$B$7)*('1. Inputs'!$B$9+'1. Inputs'!$B$10*MAX(0,$A52-'1. Inputs'!$C$24-('1. Inputs'!$B$30+'5. Diagnosing a miss'!$B$23)+1)/(MAX(0,$A52-'1. Inputs'!$C$24-('1. Inputs'!$B$30+'5. Diagnosing a miss'!$B$23)+1)+'1. Inputs'!$B$11))*'1. Inputs'!$B$13*(1+'1. Inputs'!$B$14*MIN(MAX(0,$A52-'1. Inputs'!$C$24-('1. Inputs'!$B$30+'5. Diagnosing a miss'!$B$23)+1),'1. Inputs'!$B$15))*'1. Inputs'!$B$31)</f>
        <v>4015408.39838675</v>
      </c>
      <c r="AD52" s="22" t="n">
        <f aca="false">IF(MAX(0,$A52-'1. Inputs'!$C$25-('1. Inputs'!$B$30+'5. Diagnosing a miss'!$B$23)+1)&lt;=0,0,'1. Inputs'!$B$25*'1. Inputs'!$B$5*MAX(0,$A52-'1. Inputs'!$C$25-('1. Inputs'!$B$30+'5. Diagnosing a miss'!$B$23)+1)^'1. Inputs'!$B$7/('1. Inputs'!$B$6^'1. Inputs'!$B$7+MAX(0,$A52-'1. Inputs'!$C$25-('1. Inputs'!$B$30+'5. Diagnosing a miss'!$B$23)+1)^'1. Inputs'!$B$7)*('1. Inputs'!$B$9+'1. Inputs'!$B$10*MAX(0,$A52-'1. Inputs'!$C$25-('1. Inputs'!$B$30+'5. Diagnosing a miss'!$B$23)+1)/(MAX(0,$A52-'1. Inputs'!$C$25-('1. Inputs'!$B$30+'5. Diagnosing a miss'!$B$23)+1)+'1. Inputs'!$B$11))*'1. Inputs'!$B$13*(1+'1. Inputs'!$B$14*MIN(MAX(0,$A52-'1. Inputs'!$C$25-('1. Inputs'!$B$30+'5. Diagnosing a miss'!$B$23)+1),'1. Inputs'!$B$15))*'1. Inputs'!$B$31)</f>
        <v>5234688</v>
      </c>
      <c r="AE52" s="22" t="n">
        <f aca="false">IF(MAX(0,$A52-'1. Inputs'!$C$26-('1. Inputs'!$B$30+'5. Diagnosing a miss'!$B$23)+1)&lt;=0,0,'1. Inputs'!$B$26*'1. Inputs'!$B$5*MAX(0,$A52-'1. Inputs'!$C$26-('1. Inputs'!$B$30+'5. Diagnosing a miss'!$B$23)+1)^'1. Inputs'!$B$7/('1. Inputs'!$B$6^'1. Inputs'!$B$7+MAX(0,$A52-'1. Inputs'!$C$26-('1. Inputs'!$B$30+'5. Diagnosing a miss'!$B$23)+1)^'1. Inputs'!$B$7)*('1. Inputs'!$B$9+'1. Inputs'!$B$10*MAX(0,$A52-'1. Inputs'!$C$26-('1. Inputs'!$B$30+'5. Diagnosing a miss'!$B$23)+1)/(MAX(0,$A52-'1. Inputs'!$C$26-('1. Inputs'!$B$30+'5. Diagnosing a miss'!$B$23)+1)+'1. Inputs'!$B$11))*'1. Inputs'!$B$13*(1+'1. Inputs'!$B$14*MIN(MAX(0,$A52-'1. Inputs'!$C$26-('1. Inputs'!$B$30+'5. Diagnosing a miss'!$B$23)+1),'1. Inputs'!$B$15))*'1. Inputs'!$B$31)</f>
        <v>2218530.19204233</v>
      </c>
      <c r="AF52" s="22" t="n">
        <f aca="false">IF(MAX(0,$A52-'1. Inputs'!$C$27-('1. Inputs'!$B$30+'5. Diagnosing a miss'!$B$23)+1)&lt;=0,0,'1. Inputs'!$B$27*'1. Inputs'!$B$5*MAX(0,$A52-'1. Inputs'!$C$27-('1. Inputs'!$B$30+'5. Diagnosing a miss'!$B$23)+1)^'1. Inputs'!$B$7/('1. Inputs'!$B$6^'1. Inputs'!$B$7+MAX(0,$A52-'1. Inputs'!$C$27-('1. Inputs'!$B$30+'5. Diagnosing a miss'!$B$23)+1)^'1. Inputs'!$B$7)*('1. Inputs'!$B$9+'1. Inputs'!$B$10*MAX(0,$A52-'1. Inputs'!$C$27-('1. Inputs'!$B$30+'5. Diagnosing a miss'!$B$23)+1)/(MAX(0,$A52-'1. Inputs'!$C$27-('1. Inputs'!$B$30+'5. Diagnosing a miss'!$B$23)+1)+'1. Inputs'!$B$11))*'1. Inputs'!$B$13*(1+'1. Inputs'!$B$14*MIN(MAX(0,$A52-'1. Inputs'!$C$27-('1. Inputs'!$B$30+'5. Diagnosing a miss'!$B$23)+1),'1. Inputs'!$B$15))*'1. Inputs'!$B$31)</f>
        <v>1572110.09174312</v>
      </c>
      <c r="AG52" s="22" t="n">
        <f aca="false">SUM(AC52:AF52)</f>
        <v>13040736.6821722</v>
      </c>
      <c r="AH52" s="22" t="n">
        <f aca="false">IF($A52=MAX('1. Inputs'!$B$17,1),'1. Inputs'!$B$3,0)+IF($A52-'1. Inputs'!$B$17&gt;=1,INDEX(AG$3:AG$86,$A52-'1. Inputs'!$B$17),0)</f>
        <v>11627455.8743769</v>
      </c>
      <c r="AI52" s="22" t="n">
        <f aca="false">AI51*(1-'1. Inputs'!$B$18)+AH52</f>
        <v>252534208.328167</v>
      </c>
      <c r="AJ52" s="22" t="n">
        <f aca="false">AI52*'1. Inputs'!$B$18</f>
        <v>2525342.08328167</v>
      </c>
      <c r="AK52" s="22" t="n">
        <f aca="false">AK51+AG52-AJ52</f>
        <v>400030699.074818</v>
      </c>
    </row>
    <row r="53" customFormat="false" ht="15" hidden="false" customHeight="false" outlineLevel="0" collapsed="false">
      <c r="A53" s="7" t="n">
        <v>51</v>
      </c>
      <c r="B53" s="22" t="n">
        <f aca="false">IF(MAX(0,$A53-'1. Inputs'!$C$24-'1. Inputs'!$B$30+1)&lt;=0,0,'1. Inputs'!$B$24*'1. Inputs'!$B$5*MAX(0,$A53-'1. Inputs'!$C$24-'1. Inputs'!$B$30+1)^'1. Inputs'!$B$7/('1. Inputs'!$B$6^'1. Inputs'!$B$7+MAX(0,$A53-'1. Inputs'!$C$24-'1. Inputs'!$B$30+1)^'1. Inputs'!$B$7)*('1. Inputs'!$B$9+'1. Inputs'!$B$10*MAX(0,$A53-'1. Inputs'!$C$24-'1. Inputs'!$B$30+1)/(MAX(0,$A53-'1. Inputs'!$C$24-'1. Inputs'!$B$30+1)+'1. Inputs'!$B$11))*'1. Inputs'!$B$13*(1+'1. Inputs'!$B$14*MIN(MAX(0,$A53-'1. Inputs'!$C$24-'1. Inputs'!$B$30+1),'1. Inputs'!$B$15))*'1. Inputs'!$B$31)</f>
        <v>4070769.23076923</v>
      </c>
      <c r="C53" s="22" t="n">
        <f aca="false">IF(MAX(0,$A53-'1. Inputs'!$C$25-'1. Inputs'!$B$30+1)&lt;=0,0,'1. Inputs'!$B$25*'1. Inputs'!$B$5*MAX(0,$A53-'1. Inputs'!$C$25-'1. Inputs'!$B$30+1)^'1. Inputs'!$B$7/('1. Inputs'!$B$6^'1. Inputs'!$B$7+MAX(0,$A53-'1. Inputs'!$C$25-'1. Inputs'!$B$30+1)^'1. Inputs'!$B$7)*('1. Inputs'!$B$9+'1. Inputs'!$B$10*MAX(0,$A53-'1. Inputs'!$C$25-'1. Inputs'!$B$30+1)/(MAX(0,$A53-'1. Inputs'!$C$25-'1. Inputs'!$B$30+1)+'1. Inputs'!$B$11))*'1. Inputs'!$B$13*(1+'1. Inputs'!$B$14*MIN(MAX(0,$A53-'1. Inputs'!$C$25-'1. Inputs'!$B$30+1),'1. Inputs'!$B$15))*'1. Inputs'!$B$31)</f>
        <v>5332756.17515454</v>
      </c>
      <c r="D53" s="22" t="n">
        <f aca="false">IF(MAX(0,$A53-'1. Inputs'!$C$26-'1. Inputs'!$B$30+1)&lt;=0,0,'1. Inputs'!$B$26*'1. Inputs'!$B$5*MAX(0,$A53-'1. Inputs'!$C$26-'1. Inputs'!$B$30+1)^'1. Inputs'!$B$7/('1. Inputs'!$B$6^'1. Inputs'!$B$7+MAX(0,$A53-'1. Inputs'!$C$26-'1. Inputs'!$B$30+1)^'1. Inputs'!$B$7)*('1. Inputs'!$B$9+'1. Inputs'!$B$10*MAX(0,$A53-'1. Inputs'!$C$26-'1. Inputs'!$B$30+1)/(MAX(0,$A53-'1. Inputs'!$C$26-'1. Inputs'!$B$30+1)+'1. Inputs'!$B$11))*'1. Inputs'!$B$13*(1+'1. Inputs'!$B$14*MIN(MAX(0,$A53-'1. Inputs'!$C$26-'1. Inputs'!$B$30+1),'1. Inputs'!$B$15))*'1. Inputs'!$B$31)</f>
        <v>2277690.13558436</v>
      </c>
      <c r="E53" s="22" t="n">
        <f aca="false">IF(MAX(0,$A53-'1. Inputs'!$C$27-'1. Inputs'!$B$30+1)&lt;=0,0,'1. Inputs'!$B$27*'1. Inputs'!$B$5*MAX(0,$A53-'1. Inputs'!$C$27-'1. Inputs'!$B$30+1)^'1. Inputs'!$B$7/('1. Inputs'!$B$6^'1. Inputs'!$B$7+MAX(0,$A53-'1. Inputs'!$C$27-'1. Inputs'!$B$30+1)^'1. Inputs'!$B$7)*('1. Inputs'!$B$9+'1. Inputs'!$B$10*MAX(0,$A53-'1. Inputs'!$C$27-'1. Inputs'!$B$30+1)/(MAX(0,$A53-'1. Inputs'!$C$27-'1. Inputs'!$B$30+1)+'1. Inputs'!$B$11))*'1. Inputs'!$B$13*(1+'1. Inputs'!$B$14*MIN(MAX(0,$A53-'1. Inputs'!$C$27-'1. Inputs'!$B$30+1),'1. Inputs'!$B$15))*'1. Inputs'!$B$31)</f>
        <v>1617405.67178658</v>
      </c>
      <c r="F53" s="22" t="n">
        <f aca="false">SUM(B53:E53)</f>
        <v>13298621.2132947</v>
      </c>
      <c r="G53" s="22" t="n">
        <f aca="false">IF($A53=MAX('1. Inputs'!$B$17,1),'1. Inputs'!$B$3,0)+IF($A53-'1. Inputs'!$B$17&gt;=1,INDEX(F$3:F$86,$A53-'1. Inputs'!$B$17),0)</f>
        <v>12254416.1033711</v>
      </c>
      <c r="H53" s="22" t="n">
        <f aca="false">H52*(1-'1. Inputs'!$B$18)+G53</f>
        <v>293029287.42564</v>
      </c>
      <c r="I53" s="22" t="n">
        <f aca="false">H53*'1. Inputs'!$B$18</f>
        <v>2930292.8742564</v>
      </c>
      <c r="J53" s="22" t="n">
        <f aca="false">J52+F53-I53</f>
        <v>444803143.602332</v>
      </c>
      <c r="K53" s="22" t="n">
        <f aca="false">IF(MAX(0,$A53-'1. Inputs'!$C$24-'1. Inputs'!$B$30+1)&lt;=0,0,'1. Inputs'!$B$24*('1. Inputs'!$B$5-'5. Diagnosing a miss'!$B$21)*MAX(0,$A53-'1. Inputs'!$C$24-'1. Inputs'!$B$30+1)^'1. Inputs'!$B$7/('1. Inputs'!$B$6^'1. Inputs'!$B$7+MAX(0,$A53-'1. Inputs'!$C$24-'1. Inputs'!$B$30+1)^'1. Inputs'!$B$7)*('1. Inputs'!$B$9+'1. Inputs'!$B$10*MAX(0,$A53-'1. Inputs'!$C$24-'1. Inputs'!$B$30+1)/(MAX(0,$A53-'1. Inputs'!$C$24-'1. Inputs'!$B$30+1)+'1. Inputs'!$B$11))*'1. Inputs'!$B$13*(1+'1. Inputs'!$B$14*MIN(MAX(0,$A53-'1. Inputs'!$C$24-'1. Inputs'!$B$30+1),'1. Inputs'!$B$15))*'1. Inputs'!$B$31)</f>
        <v>3618461.53846154</v>
      </c>
      <c r="L53" s="22" t="n">
        <f aca="false">IF(MAX(0,$A53-'1. Inputs'!$C$25-'1. Inputs'!$B$30+1)&lt;=0,0,'1. Inputs'!$B$25*('1. Inputs'!$B$5-'5. Diagnosing a miss'!$B$21)*MAX(0,$A53-'1. Inputs'!$C$25-'1. Inputs'!$B$30+1)^'1. Inputs'!$B$7/('1. Inputs'!$B$6^'1. Inputs'!$B$7+MAX(0,$A53-'1. Inputs'!$C$25-'1. Inputs'!$B$30+1)^'1. Inputs'!$B$7)*('1. Inputs'!$B$9+'1. Inputs'!$B$10*MAX(0,$A53-'1. Inputs'!$C$25-'1. Inputs'!$B$30+1)/(MAX(0,$A53-'1. Inputs'!$C$25-'1. Inputs'!$B$30+1)+'1. Inputs'!$B$11))*'1. Inputs'!$B$13*(1+'1. Inputs'!$B$14*MIN(MAX(0,$A53-'1. Inputs'!$C$25-'1. Inputs'!$B$30+1),'1. Inputs'!$B$15))*'1. Inputs'!$B$31)</f>
        <v>4740227.71124848</v>
      </c>
      <c r="M53" s="22" t="n">
        <f aca="false">IF(MAX(0,$A53-'1. Inputs'!$C$26-'1. Inputs'!$B$30+1)&lt;=0,0,'1. Inputs'!$B$26*('1. Inputs'!$B$5-'5. Diagnosing a miss'!$B$21)*MAX(0,$A53-'1. Inputs'!$C$26-'1. Inputs'!$B$30+1)^'1. Inputs'!$B$7/('1. Inputs'!$B$6^'1. Inputs'!$B$7+MAX(0,$A53-'1. Inputs'!$C$26-'1. Inputs'!$B$30+1)^'1. Inputs'!$B$7)*('1. Inputs'!$B$9+'1. Inputs'!$B$10*MAX(0,$A53-'1. Inputs'!$C$26-'1. Inputs'!$B$30+1)/(MAX(0,$A53-'1. Inputs'!$C$26-'1. Inputs'!$B$30+1)+'1. Inputs'!$B$11))*'1. Inputs'!$B$13*(1+'1. Inputs'!$B$14*MIN(MAX(0,$A53-'1. Inputs'!$C$26-'1. Inputs'!$B$30+1),'1. Inputs'!$B$15))*'1. Inputs'!$B$31)</f>
        <v>2024613.45385276</v>
      </c>
      <c r="N53" s="22" t="n">
        <f aca="false">IF(MAX(0,$A53-'1. Inputs'!$C$27-'1. Inputs'!$B$30+1)&lt;=0,0,'1. Inputs'!$B$27*('1. Inputs'!$B$5-'5. Diagnosing a miss'!$B$21)*MAX(0,$A53-'1. Inputs'!$C$27-'1. Inputs'!$B$30+1)^'1. Inputs'!$B$7/('1. Inputs'!$B$6^'1. Inputs'!$B$7+MAX(0,$A53-'1. Inputs'!$C$27-'1. Inputs'!$B$30+1)^'1. Inputs'!$B$7)*('1. Inputs'!$B$9+'1. Inputs'!$B$10*MAX(0,$A53-'1. Inputs'!$C$27-'1. Inputs'!$B$30+1)/(MAX(0,$A53-'1. Inputs'!$C$27-'1. Inputs'!$B$30+1)+'1. Inputs'!$B$11))*'1. Inputs'!$B$13*(1+'1. Inputs'!$B$14*MIN(MAX(0,$A53-'1. Inputs'!$C$27-'1. Inputs'!$B$30+1),'1. Inputs'!$B$15))*'1. Inputs'!$B$31)</f>
        <v>1437693.93047696</v>
      </c>
      <c r="O53" s="22" t="n">
        <f aca="false">SUM(K53:N53)</f>
        <v>11820996.6340397</v>
      </c>
      <c r="P53" s="22" t="n">
        <f aca="false">IF($A53=MAX('1. Inputs'!$B$17,1),'1. Inputs'!$B$3,0)+IF($A53-'1. Inputs'!$B$17&gt;=1,INDEX(O$3:O$86,$A53-'1. Inputs'!$B$17),0)</f>
        <v>10892814.3141077</v>
      </c>
      <c r="Q53" s="22" t="n">
        <f aca="false">Q52*(1-'1. Inputs'!$B$18)+P53</f>
        <v>271732628.529351</v>
      </c>
      <c r="R53" s="22" t="n">
        <f aca="false">Q53*'1. Inputs'!$B$18</f>
        <v>2717326.28529351</v>
      </c>
      <c r="S53" s="22" t="n">
        <f aca="false">S52+O53-R53</f>
        <v>406530101.400456</v>
      </c>
      <c r="T53" s="22" t="n">
        <f aca="false">IF(MAX(0,$A53-'1. Inputs'!$C$24-'1. Inputs'!$B$30+1)&lt;=0,0,'1. Inputs'!$B$24*'1. Inputs'!$B$5*MAX(0,$A53-'1. Inputs'!$C$24-'1. Inputs'!$B$30+1)^'1. Inputs'!$B$7/('1. Inputs'!$B$6^'1. Inputs'!$B$7+MAX(0,$A53-'1. Inputs'!$C$24-'1. Inputs'!$B$30+1)^'1. Inputs'!$B$7)*('1. Inputs'!$B$9+'1. Inputs'!$B$10*MAX(0,$A53-'1. Inputs'!$C$24-'1. Inputs'!$B$30+1)/(MAX(0,$A53-'1. Inputs'!$C$24-'1. Inputs'!$B$30+1)+'1. Inputs'!$B$11))*'1. Inputs'!$B$13*(1+'1. Inputs'!$B$14*MIN(MAX(0,$A53-'1. Inputs'!$C$24-'1. Inputs'!$B$30+1),'1. Inputs'!$B$15))*('1. Inputs'!$B$31*'5. Diagnosing a miss'!$B$22))</f>
        <v>3663692.30769231</v>
      </c>
      <c r="U53" s="22" t="n">
        <f aca="false">IF(MAX(0,$A53-'1. Inputs'!$C$25-'1. Inputs'!$B$30+1)&lt;=0,0,'1. Inputs'!$B$25*'1. Inputs'!$B$5*MAX(0,$A53-'1. Inputs'!$C$25-'1. Inputs'!$B$30+1)^'1. Inputs'!$B$7/('1. Inputs'!$B$6^'1. Inputs'!$B$7+MAX(0,$A53-'1. Inputs'!$C$25-'1. Inputs'!$B$30+1)^'1. Inputs'!$B$7)*('1. Inputs'!$B$9+'1. Inputs'!$B$10*MAX(0,$A53-'1. Inputs'!$C$25-'1. Inputs'!$B$30+1)/(MAX(0,$A53-'1. Inputs'!$C$25-'1. Inputs'!$B$30+1)+'1. Inputs'!$B$11))*'1. Inputs'!$B$13*(1+'1. Inputs'!$B$14*MIN(MAX(0,$A53-'1. Inputs'!$C$25-'1. Inputs'!$B$30+1),'1. Inputs'!$B$15))*('1. Inputs'!$B$31*'5. Diagnosing a miss'!$B$22))</f>
        <v>4799480.55763909</v>
      </c>
      <c r="V53" s="22" t="n">
        <f aca="false">IF(MAX(0,$A53-'1. Inputs'!$C$26-'1. Inputs'!$B$30+1)&lt;=0,0,'1. Inputs'!$B$26*'1. Inputs'!$B$5*MAX(0,$A53-'1. Inputs'!$C$26-'1. Inputs'!$B$30+1)^'1. Inputs'!$B$7/('1. Inputs'!$B$6^'1. Inputs'!$B$7+MAX(0,$A53-'1. Inputs'!$C$26-'1. Inputs'!$B$30+1)^'1. Inputs'!$B$7)*('1. Inputs'!$B$9+'1. Inputs'!$B$10*MAX(0,$A53-'1. Inputs'!$C$26-'1. Inputs'!$B$30+1)/(MAX(0,$A53-'1. Inputs'!$C$26-'1. Inputs'!$B$30+1)+'1. Inputs'!$B$11))*'1. Inputs'!$B$13*(1+'1. Inputs'!$B$14*MIN(MAX(0,$A53-'1. Inputs'!$C$26-'1. Inputs'!$B$30+1),'1. Inputs'!$B$15))*('1. Inputs'!$B$31*'5. Diagnosing a miss'!$B$22))</f>
        <v>2049921.12202592</v>
      </c>
      <c r="W53" s="22" t="n">
        <f aca="false">IF(MAX(0,$A53-'1. Inputs'!$C$27-'1. Inputs'!$B$30+1)&lt;=0,0,'1. Inputs'!$B$27*'1. Inputs'!$B$5*MAX(0,$A53-'1. Inputs'!$C$27-'1. Inputs'!$B$30+1)^'1. Inputs'!$B$7/('1. Inputs'!$B$6^'1. Inputs'!$B$7+MAX(0,$A53-'1. Inputs'!$C$27-'1. Inputs'!$B$30+1)^'1. Inputs'!$B$7)*('1. Inputs'!$B$9+'1. Inputs'!$B$10*MAX(0,$A53-'1. Inputs'!$C$27-'1. Inputs'!$B$30+1)/(MAX(0,$A53-'1. Inputs'!$C$27-'1. Inputs'!$B$30+1)+'1. Inputs'!$B$11))*'1. Inputs'!$B$13*(1+'1. Inputs'!$B$14*MIN(MAX(0,$A53-'1. Inputs'!$C$27-'1. Inputs'!$B$30+1),'1. Inputs'!$B$15))*('1. Inputs'!$B$31*'5. Diagnosing a miss'!$B$22))</f>
        <v>1455665.10460792</v>
      </c>
      <c r="X53" s="22" t="n">
        <f aca="false">SUM(T53:W53)</f>
        <v>11968759.0919652</v>
      </c>
      <c r="Y53" s="22" t="n">
        <f aca="false">IF($A53=MAX('1. Inputs'!$B$17,1),'1. Inputs'!$B$3,0)+IF($A53-'1. Inputs'!$B$17&gt;=1,INDEX(X$3:X$86,$A53-'1. Inputs'!$B$17),0)</f>
        <v>11028974.493034</v>
      </c>
      <c r="Z53" s="22" t="n">
        <f aca="false">Z52*(1-'1. Inputs'!$B$18)+Y53</f>
        <v>273862294.41898</v>
      </c>
      <c r="AA53" s="22" t="n">
        <f aca="false">Z53*'1. Inputs'!$B$18</f>
        <v>2738622.9441898</v>
      </c>
      <c r="AB53" s="22" t="n">
        <f aca="false">AB52+X53-AA53</f>
        <v>410357405.620644</v>
      </c>
      <c r="AC53" s="22" t="n">
        <f aca="false">IF(MAX(0,$A53-'1. Inputs'!$C$24-('1. Inputs'!$B$30+'5. Diagnosing a miss'!$B$23)+1)&lt;=0,0,'1. Inputs'!$B$24*'1. Inputs'!$B$5*MAX(0,$A53-'1. Inputs'!$C$24-('1. Inputs'!$B$30+'5. Diagnosing a miss'!$B$23)+1)^'1. Inputs'!$B$7/('1. Inputs'!$B$6^'1. Inputs'!$B$7+MAX(0,$A53-'1. Inputs'!$C$24-('1. Inputs'!$B$30+'5. Diagnosing a miss'!$B$23)+1)^'1. Inputs'!$B$7)*('1. Inputs'!$B$9+'1. Inputs'!$B$10*MAX(0,$A53-'1. Inputs'!$C$24-('1. Inputs'!$B$30+'5. Diagnosing a miss'!$B$23)+1)/(MAX(0,$A53-'1. Inputs'!$C$24-('1. Inputs'!$B$30+'5. Diagnosing a miss'!$B$23)+1)+'1. Inputs'!$B$11))*'1. Inputs'!$B$13*(1+'1. Inputs'!$B$14*MIN(MAX(0,$A53-'1. Inputs'!$C$24-('1. Inputs'!$B$30+'5. Diagnosing a miss'!$B$23)+1),'1. Inputs'!$B$15))*'1. Inputs'!$B$31)</f>
        <v>4030387.2</v>
      </c>
      <c r="AD53" s="22" t="n">
        <f aca="false">IF(MAX(0,$A53-'1. Inputs'!$C$25-('1. Inputs'!$B$30+'5. Diagnosing a miss'!$B$23)+1)&lt;=0,0,'1. Inputs'!$B$25*'1. Inputs'!$B$5*MAX(0,$A53-'1. Inputs'!$C$25-('1. Inputs'!$B$30+'5. Diagnosing a miss'!$B$23)+1)^'1. Inputs'!$B$7/('1. Inputs'!$B$6^'1. Inputs'!$B$7+MAX(0,$A53-'1. Inputs'!$C$25-('1. Inputs'!$B$30+'5. Diagnosing a miss'!$B$23)+1)^'1. Inputs'!$B$7)*('1. Inputs'!$B$9+'1. Inputs'!$B$10*MAX(0,$A53-'1. Inputs'!$C$25-('1. Inputs'!$B$30+'5. Diagnosing a miss'!$B$23)+1)/(MAX(0,$A53-'1. Inputs'!$C$25-('1. Inputs'!$B$30+'5. Diagnosing a miss'!$B$23)+1)+'1. Inputs'!$B$11))*'1. Inputs'!$B$13*(1+'1. Inputs'!$B$14*MIN(MAX(0,$A53-'1. Inputs'!$C$25-('1. Inputs'!$B$30+'5. Diagnosing a miss'!$B$23)+1),'1. Inputs'!$B$15))*'1. Inputs'!$B$31)</f>
        <v>5261479.21501203</v>
      </c>
      <c r="AE53" s="22" t="n">
        <f aca="false">IF(MAX(0,$A53-'1. Inputs'!$C$26-('1. Inputs'!$B$30+'5. Diagnosing a miss'!$B$23)+1)&lt;=0,0,'1. Inputs'!$B$26*'1. Inputs'!$B$5*MAX(0,$A53-'1. Inputs'!$C$26-('1. Inputs'!$B$30+'5. Diagnosing a miss'!$B$23)+1)^'1. Inputs'!$B$7/('1. Inputs'!$B$6^'1. Inputs'!$B$7+MAX(0,$A53-'1. Inputs'!$C$26-('1. Inputs'!$B$30+'5. Diagnosing a miss'!$B$23)+1)^'1. Inputs'!$B$7)*('1. Inputs'!$B$9+'1. Inputs'!$B$10*MAX(0,$A53-'1. Inputs'!$C$26-('1. Inputs'!$B$30+'5. Diagnosing a miss'!$B$23)+1)/(MAX(0,$A53-'1. Inputs'!$C$26-('1. Inputs'!$B$30+'5. Diagnosing a miss'!$B$23)+1)+'1. Inputs'!$B$11))*'1. Inputs'!$B$13*(1+'1. Inputs'!$B$14*MIN(MAX(0,$A53-'1. Inputs'!$C$26-('1. Inputs'!$B$30+'5. Diagnosing a miss'!$B$23)+1),'1. Inputs'!$B$15))*'1. Inputs'!$B$31)</f>
        <v>2234883.73117409</v>
      </c>
      <c r="AF53" s="22" t="n">
        <f aca="false">IF(MAX(0,$A53-'1. Inputs'!$C$27-('1. Inputs'!$B$30+'5. Diagnosing a miss'!$B$23)+1)&lt;=0,0,'1. Inputs'!$B$27*'1. Inputs'!$B$5*MAX(0,$A53-'1. Inputs'!$C$27-('1. Inputs'!$B$30+'5. Diagnosing a miss'!$B$23)+1)^'1. Inputs'!$B$7/('1. Inputs'!$B$6^'1. Inputs'!$B$7+MAX(0,$A53-'1. Inputs'!$C$27-('1. Inputs'!$B$30+'5. Diagnosing a miss'!$B$23)+1)^'1. Inputs'!$B$7)*('1. Inputs'!$B$9+'1. Inputs'!$B$10*MAX(0,$A53-'1. Inputs'!$C$27-('1. Inputs'!$B$30+'5. Diagnosing a miss'!$B$23)+1)/(MAX(0,$A53-'1. Inputs'!$C$27-('1. Inputs'!$B$30+'5. Diagnosing a miss'!$B$23)+1)+'1. Inputs'!$B$11))*'1. Inputs'!$B$13*(1+'1. Inputs'!$B$14*MIN(MAX(0,$A53-'1. Inputs'!$C$27-('1. Inputs'!$B$30+'5. Diagnosing a miss'!$B$23)+1),'1. Inputs'!$B$15))*'1. Inputs'!$B$31)</f>
        <v>1584664.42288738</v>
      </c>
      <c r="AG53" s="22" t="n">
        <f aca="false">SUM(AC53:AF53)</f>
        <v>13111414.5690735</v>
      </c>
      <c r="AH53" s="22" t="n">
        <f aca="false">IF($A53=MAX('1. Inputs'!$B$17,1),'1. Inputs'!$B$3,0)+IF($A53-'1. Inputs'!$B$17&gt;=1,INDEX(AG$3:AG$86,$A53-'1. Inputs'!$B$17),0)</f>
        <v>11805457.9222806</v>
      </c>
      <c r="AI53" s="22" t="n">
        <f aca="false">AI52*(1-'1. Inputs'!$B$18)+AH53</f>
        <v>261814324.167166</v>
      </c>
      <c r="AJ53" s="22" t="n">
        <f aca="false">AI53*'1. Inputs'!$B$18</f>
        <v>2618143.24167166</v>
      </c>
      <c r="AK53" s="22" t="n">
        <f aca="false">AK52+AG53-AJ53</f>
        <v>410523970.402219</v>
      </c>
    </row>
    <row r="54" customFormat="false" ht="15" hidden="false" customHeight="false" outlineLevel="0" collapsed="false">
      <c r="A54" s="7" t="n">
        <v>52</v>
      </c>
      <c r="B54" s="22" t="n">
        <f aca="false">IF(MAX(0,$A54-'1. Inputs'!$C$24-'1. Inputs'!$B$30+1)&lt;=0,0,'1. Inputs'!$B$24*'1. Inputs'!$B$5*MAX(0,$A54-'1. Inputs'!$C$24-'1. Inputs'!$B$30+1)^'1. Inputs'!$B$7/('1. Inputs'!$B$6^'1. Inputs'!$B$7+MAX(0,$A54-'1. Inputs'!$C$24-'1. Inputs'!$B$30+1)^'1. Inputs'!$B$7)*('1. Inputs'!$B$9+'1. Inputs'!$B$10*MAX(0,$A54-'1. Inputs'!$C$24-'1. Inputs'!$B$30+1)/(MAX(0,$A54-'1. Inputs'!$C$24-'1. Inputs'!$B$30+1)+'1. Inputs'!$B$11))*'1. Inputs'!$B$13*(1+'1. Inputs'!$B$14*MIN(MAX(0,$A54-'1. Inputs'!$C$24-'1. Inputs'!$B$30+1),'1. Inputs'!$B$15))*'1. Inputs'!$B$31)</f>
        <v>4082890.6416442</v>
      </c>
      <c r="C54" s="22" t="n">
        <f aca="false">IF(MAX(0,$A54-'1. Inputs'!$C$25-'1. Inputs'!$B$30+1)&lt;=0,0,'1. Inputs'!$B$25*'1. Inputs'!$B$5*MAX(0,$A54-'1. Inputs'!$C$25-'1. Inputs'!$B$30+1)^'1. Inputs'!$B$7/('1. Inputs'!$B$6^'1. Inputs'!$B$7+MAX(0,$A54-'1. Inputs'!$C$25-'1. Inputs'!$B$30+1)^'1. Inputs'!$B$7)*('1. Inputs'!$B$9+'1. Inputs'!$B$10*MAX(0,$A54-'1. Inputs'!$C$25-'1. Inputs'!$B$30+1)/(MAX(0,$A54-'1. Inputs'!$C$25-'1. Inputs'!$B$30+1)+'1. Inputs'!$B$11))*'1. Inputs'!$B$13*(1+'1. Inputs'!$B$14*MIN(MAX(0,$A54-'1. Inputs'!$C$25-'1. Inputs'!$B$30+1),'1. Inputs'!$B$15))*'1. Inputs'!$B$31)</f>
        <v>5353877.86451566</v>
      </c>
      <c r="D54" s="22" t="n">
        <f aca="false">IF(MAX(0,$A54-'1. Inputs'!$C$26-'1. Inputs'!$B$30+1)&lt;=0,0,'1. Inputs'!$B$26*'1. Inputs'!$B$5*MAX(0,$A54-'1. Inputs'!$C$26-'1. Inputs'!$B$30+1)^'1. Inputs'!$B$7/('1. Inputs'!$B$6^'1. Inputs'!$B$7+MAX(0,$A54-'1. Inputs'!$C$26-'1. Inputs'!$B$30+1)^'1. Inputs'!$B$7)*('1. Inputs'!$B$9+'1. Inputs'!$B$10*MAX(0,$A54-'1. Inputs'!$C$26-'1. Inputs'!$B$30+1)/(MAX(0,$A54-'1. Inputs'!$C$26-'1. Inputs'!$B$30+1)+'1. Inputs'!$B$11))*'1. Inputs'!$B$13*(1+'1. Inputs'!$B$14*MIN(MAX(0,$A54-'1. Inputs'!$C$26-'1. Inputs'!$B$30+1),'1. Inputs'!$B$15))*'1. Inputs'!$B$31)</f>
        <v>2290176</v>
      </c>
      <c r="E54" s="22" t="n">
        <f aca="false">IF(MAX(0,$A54-'1. Inputs'!$C$27-'1. Inputs'!$B$30+1)&lt;=0,0,'1. Inputs'!$B$27*'1. Inputs'!$B$5*MAX(0,$A54-'1. Inputs'!$C$27-'1. Inputs'!$B$30+1)^'1. Inputs'!$B$7/('1. Inputs'!$B$6^'1. Inputs'!$B$7+MAX(0,$A54-'1. Inputs'!$C$27-'1. Inputs'!$B$30+1)^'1. Inputs'!$B$7)*('1. Inputs'!$B$9+'1. Inputs'!$B$10*MAX(0,$A54-'1. Inputs'!$C$27-'1. Inputs'!$B$30+1)/(MAX(0,$A54-'1. Inputs'!$C$27-'1. Inputs'!$B$30+1)+'1. Inputs'!$B$11))*'1. Inputs'!$B$13*(1+'1. Inputs'!$B$14*MIN(MAX(0,$A54-'1. Inputs'!$C$27-'1. Inputs'!$B$30+1),'1. Inputs'!$B$15))*'1. Inputs'!$B$31)</f>
        <v>1626921.5254174</v>
      </c>
      <c r="F54" s="22" t="n">
        <f aca="false">SUM(B54:E54)</f>
        <v>13353866.0315773</v>
      </c>
      <c r="G54" s="22" t="n">
        <f aca="false">IF($A54=MAX('1. Inputs'!$B$17,1),'1. Inputs'!$B$3,0)+IF($A54-'1. Inputs'!$B$17&gt;=1,INDEX(F$3:F$86,$A54-'1. Inputs'!$B$17),0)</f>
        <v>12380650.5568336</v>
      </c>
      <c r="H54" s="22" t="n">
        <f aca="false">H53*(1-'1. Inputs'!$B$18)+G54</f>
        <v>302479645.108217</v>
      </c>
      <c r="I54" s="22" t="n">
        <f aca="false">H54*'1. Inputs'!$B$18</f>
        <v>3024796.45108217</v>
      </c>
      <c r="J54" s="22" t="n">
        <f aca="false">J53+F54-I54</f>
        <v>455132213.182827</v>
      </c>
      <c r="K54" s="22" t="n">
        <f aca="false">IF(MAX(0,$A54-'1. Inputs'!$C$24-'1. Inputs'!$B$30+1)&lt;=0,0,'1. Inputs'!$B$24*('1. Inputs'!$B$5-'5. Diagnosing a miss'!$B$21)*MAX(0,$A54-'1. Inputs'!$C$24-'1. Inputs'!$B$30+1)^'1. Inputs'!$B$7/('1. Inputs'!$B$6^'1. Inputs'!$B$7+MAX(0,$A54-'1. Inputs'!$C$24-'1. Inputs'!$B$30+1)^'1. Inputs'!$B$7)*('1. Inputs'!$B$9+'1. Inputs'!$B$10*MAX(0,$A54-'1. Inputs'!$C$24-'1. Inputs'!$B$30+1)/(MAX(0,$A54-'1. Inputs'!$C$24-'1. Inputs'!$B$30+1)+'1. Inputs'!$B$11))*'1. Inputs'!$B$13*(1+'1. Inputs'!$B$14*MIN(MAX(0,$A54-'1. Inputs'!$C$24-'1. Inputs'!$B$30+1),'1. Inputs'!$B$15))*'1. Inputs'!$B$31)</f>
        <v>3629236.12590595</v>
      </c>
      <c r="L54" s="22" t="n">
        <f aca="false">IF(MAX(0,$A54-'1. Inputs'!$C$25-'1. Inputs'!$B$30+1)&lt;=0,0,'1. Inputs'!$B$25*('1. Inputs'!$B$5-'5. Diagnosing a miss'!$B$21)*MAX(0,$A54-'1. Inputs'!$C$25-'1. Inputs'!$B$30+1)^'1. Inputs'!$B$7/('1. Inputs'!$B$6^'1. Inputs'!$B$7+MAX(0,$A54-'1. Inputs'!$C$25-'1. Inputs'!$B$30+1)^'1. Inputs'!$B$7)*('1. Inputs'!$B$9+'1. Inputs'!$B$10*MAX(0,$A54-'1. Inputs'!$C$25-'1. Inputs'!$B$30+1)/(MAX(0,$A54-'1. Inputs'!$C$25-'1. Inputs'!$B$30+1)+'1. Inputs'!$B$11))*'1. Inputs'!$B$13*(1+'1. Inputs'!$B$14*MIN(MAX(0,$A54-'1. Inputs'!$C$25-'1. Inputs'!$B$30+1),'1. Inputs'!$B$15))*'1. Inputs'!$B$31)</f>
        <v>4759002.54623614</v>
      </c>
      <c r="M54" s="22" t="n">
        <f aca="false">IF(MAX(0,$A54-'1. Inputs'!$C$26-'1. Inputs'!$B$30+1)&lt;=0,0,'1. Inputs'!$B$26*('1. Inputs'!$B$5-'5. Diagnosing a miss'!$B$21)*MAX(0,$A54-'1. Inputs'!$C$26-'1. Inputs'!$B$30+1)^'1. Inputs'!$B$7/('1. Inputs'!$B$6^'1. Inputs'!$B$7+MAX(0,$A54-'1. Inputs'!$C$26-'1. Inputs'!$B$30+1)^'1. Inputs'!$B$7)*('1. Inputs'!$B$9+'1. Inputs'!$B$10*MAX(0,$A54-'1. Inputs'!$C$26-'1. Inputs'!$B$30+1)/(MAX(0,$A54-'1. Inputs'!$C$26-'1. Inputs'!$B$30+1)+'1. Inputs'!$B$11))*'1. Inputs'!$B$13*(1+'1. Inputs'!$B$14*MIN(MAX(0,$A54-'1. Inputs'!$C$26-'1. Inputs'!$B$30+1),'1. Inputs'!$B$15))*'1. Inputs'!$B$31)</f>
        <v>2035712</v>
      </c>
      <c r="N54" s="22" t="n">
        <f aca="false">IF(MAX(0,$A54-'1. Inputs'!$C$27-'1. Inputs'!$B$30+1)&lt;=0,0,'1. Inputs'!$B$27*('1. Inputs'!$B$5-'5. Diagnosing a miss'!$B$21)*MAX(0,$A54-'1. Inputs'!$C$27-'1. Inputs'!$B$30+1)^'1. Inputs'!$B$7/('1. Inputs'!$B$6^'1. Inputs'!$B$7+MAX(0,$A54-'1. Inputs'!$C$27-'1. Inputs'!$B$30+1)^'1. Inputs'!$B$7)*('1. Inputs'!$B$9+'1. Inputs'!$B$10*MAX(0,$A54-'1. Inputs'!$C$27-'1. Inputs'!$B$30+1)/(MAX(0,$A54-'1. Inputs'!$C$27-'1. Inputs'!$B$30+1)+'1. Inputs'!$B$11))*'1. Inputs'!$B$13*(1+'1. Inputs'!$B$14*MIN(MAX(0,$A54-'1. Inputs'!$C$27-'1. Inputs'!$B$30+1),'1. Inputs'!$B$15))*'1. Inputs'!$B$31)</f>
        <v>1446152.46703769</v>
      </c>
      <c r="O54" s="22" t="n">
        <f aca="false">SUM(K54:N54)</f>
        <v>11870103.1391798</v>
      </c>
      <c r="P54" s="22" t="n">
        <f aca="false">IF($A54=MAX('1. Inputs'!$B$17,1),'1. Inputs'!$B$3,0)+IF($A54-'1. Inputs'!$B$17&gt;=1,INDEX(O$3:O$86,$A54-'1. Inputs'!$B$17),0)</f>
        <v>11005022.7171855</v>
      </c>
      <c r="Q54" s="22" t="n">
        <f aca="false">Q53*(1-'1. Inputs'!$B$18)+P54</f>
        <v>280020324.961243</v>
      </c>
      <c r="R54" s="22" t="n">
        <f aca="false">Q54*'1. Inputs'!$B$18</f>
        <v>2800203.24961243</v>
      </c>
      <c r="S54" s="22" t="n">
        <f aca="false">S53+O54-R54</f>
        <v>415600001.290024</v>
      </c>
      <c r="T54" s="22" t="n">
        <f aca="false">IF(MAX(0,$A54-'1. Inputs'!$C$24-'1. Inputs'!$B$30+1)&lt;=0,0,'1. Inputs'!$B$24*'1. Inputs'!$B$5*MAX(0,$A54-'1. Inputs'!$C$24-'1. Inputs'!$B$30+1)^'1. Inputs'!$B$7/('1. Inputs'!$B$6^'1. Inputs'!$B$7+MAX(0,$A54-'1. Inputs'!$C$24-'1. Inputs'!$B$30+1)^'1. Inputs'!$B$7)*('1. Inputs'!$B$9+'1. Inputs'!$B$10*MAX(0,$A54-'1. Inputs'!$C$24-'1. Inputs'!$B$30+1)/(MAX(0,$A54-'1. Inputs'!$C$24-'1. Inputs'!$B$30+1)+'1. Inputs'!$B$11))*'1. Inputs'!$B$13*(1+'1. Inputs'!$B$14*MIN(MAX(0,$A54-'1. Inputs'!$C$24-'1. Inputs'!$B$30+1),'1. Inputs'!$B$15))*('1. Inputs'!$B$31*'5. Diagnosing a miss'!$B$22))</f>
        <v>3674601.57747978</v>
      </c>
      <c r="U54" s="22" t="n">
        <f aca="false">IF(MAX(0,$A54-'1. Inputs'!$C$25-'1. Inputs'!$B$30+1)&lt;=0,0,'1. Inputs'!$B$25*'1. Inputs'!$B$5*MAX(0,$A54-'1. Inputs'!$C$25-'1. Inputs'!$B$30+1)^'1. Inputs'!$B$7/('1. Inputs'!$B$6^'1. Inputs'!$B$7+MAX(0,$A54-'1. Inputs'!$C$25-'1. Inputs'!$B$30+1)^'1. Inputs'!$B$7)*('1. Inputs'!$B$9+'1. Inputs'!$B$10*MAX(0,$A54-'1. Inputs'!$C$25-'1. Inputs'!$B$30+1)/(MAX(0,$A54-'1. Inputs'!$C$25-'1. Inputs'!$B$30+1)+'1. Inputs'!$B$11))*'1. Inputs'!$B$13*(1+'1. Inputs'!$B$14*MIN(MAX(0,$A54-'1. Inputs'!$C$25-'1. Inputs'!$B$30+1),'1. Inputs'!$B$15))*('1. Inputs'!$B$31*'5. Diagnosing a miss'!$B$22))</f>
        <v>4818490.0780641</v>
      </c>
      <c r="V54" s="22" t="n">
        <f aca="false">IF(MAX(0,$A54-'1. Inputs'!$C$26-'1. Inputs'!$B$30+1)&lt;=0,0,'1. Inputs'!$B$26*'1. Inputs'!$B$5*MAX(0,$A54-'1. Inputs'!$C$26-'1. Inputs'!$B$30+1)^'1. Inputs'!$B$7/('1. Inputs'!$B$6^'1. Inputs'!$B$7+MAX(0,$A54-'1. Inputs'!$C$26-'1. Inputs'!$B$30+1)^'1. Inputs'!$B$7)*('1. Inputs'!$B$9+'1. Inputs'!$B$10*MAX(0,$A54-'1. Inputs'!$C$26-'1. Inputs'!$B$30+1)/(MAX(0,$A54-'1. Inputs'!$C$26-'1. Inputs'!$B$30+1)+'1. Inputs'!$B$11))*'1. Inputs'!$B$13*(1+'1. Inputs'!$B$14*MIN(MAX(0,$A54-'1. Inputs'!$C$26-'1. Inputs'!$B$30+1),'1. Inputs'!$B$15))*('1. Inputs'!$B$31*'5. Diagnosing a miss'!$B$22))</f>
        <v>2061158.4</v>
      </c>
      <c r="W54" s="22" t="n">
        <f aca="false">IF(MAX(0,$A54-'1. Inputs'!$C$27-'1. Inputs'!$B$30+1)&lt;=0,0,'1. Inputs'!$B$27*'1. Inputs'!$B$5*MAX(0,$A54-'1. Inputs'!$C$27-'1. Inputs'!$B$30+1)^'1. Inputs'!$B$7/('1. Inputs'!$B$6^'1. Inputs'!$B$7+MAX(0,$A54-'1. Inputs'!$C$27-'1. Inputs'!$B$30+1)^'1. Inputs'!$B$7)*('1. Inputs'!$B$9+'1. Inputs'!$B$10*MAX(0,$A54-'1. Inputs'!$C$27-'1. Inputs'!$B$30+1)/(MAX(0,$A54-'1. Inputs'!$C$27-'1. Inputs'!$B$30+1)+'1. Inputs'!$B$11))*'1. Inputs'!$B$13*(1+'1. Inputs'!$B$14*MIN(MAX(0,$A54-'1. Inputs'!$C$27-'1. Inputs'!$B$30+1),'1. Inputs'!$B$15))*('1. Inputs'!$B$31*'5. Diagnosing a miss'!$B$22))</f>
        <v>1464229.37287566</v>
      </c>
      <c r="X54" s="22" t="n">
        <f aca="false">SUM(T54:W54)</f>
        <v>12018479.4284195</v>
      </c>
      <c r="Y54" s="22" t="n">
        <f aca="false">IF($A54=MAX('1. Inputs'!$B$17,1),'1. Inputs'!$B$3,0)+IF($A54-'1. Inputs'!$B$17&gt;=1,INDEX(X$3:X$86,$A54-'1. Inputs'!$B$17),0)</f>
        <v>11142585.5011503</v>
      </c>
      <c r="Z54" s="22" t="n">
        <f aca="false">Z53*(1-'1. Inputs'!$B$18)+Y54</f>
        <v>282266256.97594</v>
      </c>
      <c r="AA54" s="22" t="n">
        <f aca="false">Z54*'1. Inputs'!$B$18</f>
        <v>2822662.5697594</v>
      </c>
      <c r="AB54" s="22" t="n">
        <f aca="false">AB53+X54-AA54</f>
        <v>419553222.479304</v>
      </c>
      <c r="AC54" s="22" t="n">
        <f aca="false">IF(MAX(0,$A54-'1. Inputs'!$C$24-('1. Inputs'!$B$30+'5. Diagnosing a miss'!$B$23)+1)&lt;=0,0,'1. Inputs'!$B$24*'1. Inputs'!$B$5*MAX(0,$A54-'1. Inputs'!$C$24-('1. Inputs'!$B$30+'5. Diagnosing a miss'!$B$23)+1)^'1. Inputs'!$B$7/('1. Inputs'!$B$6^'1. Inputs'!$B$7+MAX(0,$A54-'1. Inputs'!$C$24-('1. Inputs'!$B$30+'5. Diagnosing a miss'!$B$23)+1)^'1. Inputs'!$B$7)*('1. Inputs'!$B$9+'1. Inputs'!$B$10*MAX(0,$A54-'1. Inputs'!$C$24-('1. Inputs'!$B$30+'5. Diagnosing a miss'!$B$23)+1)/(MAX(0,$A54-'1. Inputs'!$C$24-('1. Inputs'!$B$30+'5. Diagnosing a miss'!$B$23)+1)+'1. Inputs'!$B$11))*'1. Inputs'!$B$13*(1+'1. Inputs'!$B$14*MIN(MAX(0,$A54-'1. Inputs'!$C$24-('1. Inputs'!$B$30+'5. Diagnosing a miss'!$B$23)+1),'1. Inputs'!$B$15))*'1. Inputs'!$B$31)</f>
        <v>4044568.56728349</v>
      </c>
      <c r="AD54" s="22" t="n">
        <f aca="false">IF(MAX(0,$A54-'1. Inputs'!$C$25-('1. Inputs'!$B$30+'5. Diagnosing a miss'!$B$23)+1)&lt;=0,0,'1. Inputs'!$B$25*'1. Inputs'!$B$5*MAX(0,$A54-'1. Inputs'!$C$25-('1. Inputs'!$B$30+'5. Diagnosing a miss'!$B$23)+1)^'1. Inputs'!$B$7/('1. Inputs'!$B$6^'1. Inputs'!$B$7+MAX(0,$A54-'1. Inputs'!$C$25-('1. Inputs'!$B$30+'5. Diagnosing a miss'!$B$23)+1)^'1. Inputs'!$B$7)*('1. Inputs'!$B$9+'1. Inputs'!$B$10*MAX(0,$A54-'1. Inputs'!$C$25-('1. Inputs'!$B$30+'5. Diagnosing a miss'!$B$23)+1)/(MAX(0,$A54-'1. Inputs'!$C$25-('1. Inputs'!$B$30+'5. Diagnosing a miss'!$B$23)+1)+'1. Inputs'!$B$11))*'1. Inputs'!$B$13*(1+'1. Inputs'!$B$14*MIN(MAX(0,$A54-'1. Inputs'!$C$25-('1. Inputs'!$B$30+'5. Diagnosing a miss'!$B$23)+1),'1. Inputs'!$B$15))*'1. Inputs'!$B$31)</f>
        <v>5286668.98694486</v>
      </c>
      <c r="AE54" s="22" t="n">
        <f aca="false">IF(MAX(0,$A54-'1. Inputs'!$C$26-('1. Inputs'!$B$30+'5. Diagnosing a miss'!$B$23)+1)&lt;=0,0,'1. Inputs'!$B$26*'1. Inputs'!$B$5*MAX(0,$A54-'1. Inputs'!$C$26-('1. Inputs'!$B$30+'5. Diagnosing a miss'!$B$23)+1)^'1. Inputs'!$B$7/('1. Inputs'!$B$6^'1. Inputs'!$B$7+MAX(0,$A54-'1. Inputs'!$C$26-('1. Inputs'!$B$30+'5. Diagnosing a miss'!$B$23)+1)^'1. Inputs'!$B$7)*('1. Inputs'!$B$9+'1. Inputs'!$B$10*MAX(0,$A54-'1. Inputs'!$C$26-('1. Inputs'!$B$30+'5. Diagnosing a miss'!$B$23)+1)/(MAX(0,$A54-'1. Inputs'!$C$26-('1. Inputs'!$B$30+'5. Diagnosing a miss'!$B$23)+1)+'1. Inputs'!$B$11))*'1. Inputs'!$B$13*(1+'1. Inputs'!$B$14*MIN(MAX(0,$A54-'1. Inputs'!$C$26-('1. Inputs'!$B$30+'5. Diagnosing a miss'!$B$23)+1),'1. Inputs'!$B$15))*'1. Inputs'!$B$31)</f>
        <v>2250129.1739645</v>
      </c>
      <c r="AF54" s="22" t="n">
        <f aca="false">IF(MAX(0,$A54-'1. Inputs'!$C$27-('1. Inputs'!$B$30+'5. Diagnosing a miss'!$B$23)+1)&lt;=0,0,'1. Inputs'!$B$27*'1. Inputs'!$B$5*MAX(0,$A54-'1. Inputs'!$C$27-('1. Inputs'!$B$30+'5. Diagnosing a miss'!$B$23)+1)^'1. Inputs'!$B$7/('1. Inputs'!$B$6^'1. Inputs'!$B$7+MAX(0,$A54-'1. Inputs'!$C$27-('1. Inputs'!$B$30+'5. Diagnosing a miss'!$B$23)+1)^'1. Inputs'!$B$7)*('1. Inputs'!$B$9+'1. Inputs'!$B$10*MAX(0,$A54-'1. Inputs'!$C$27-('1. Inputs'!$B$30+'5. Diagnosing a miss'!$B$23)+1)/(MAX(0,$A54-'1. Inputs'!$C$27-('1. Inputs'!$B$30+'5. Diagnosing a miss'!$B$23)+1)+'1. Inputs'!$B$11))*'1. Inputs'!$B$13*(1+'1. Inputs'!$B$14*MIN(MAX(0,$A54-'1. Inputs'!$C$27-('1. Inputs'!$B$30+'5. Diagnosing a miss'!$B$23)+1),'1. Inputs'!$B$15))*'1. Inputs'!$B$31)</f>
        <v>1596345.52226721</v>
      </c>
      <c r="AG54" s="22" t="n">
        <f aca="false">SUM(AC54:AF54)</f>
        <v>13177712.2504601</v>
      </c>
      <c r="AH54" s="22" t="n">
        <f aca="false">IF($A54=MAX('1. Inputs'!$B$17,1),'1. Inputs'!$B$3,0)+IF($A54-'1. Inputs'!$B$17&gt;=1,INDEX(AG$3:AG$86,$A54-'1. Inputs'!$B$17),0)</f>
        <v>11968199.3230242</v>
      </c>
      <c r="AI54" s="22" t="n">
        <f aca="false">AI53*(1-'1. Inputs'!$B$18)+AH54</f>
        <v>271164380.248519</v>
      </c>
      <c r="AJ54" s="22" t="n">
        <f aca="false">AI54*'1. Inputs'!$B$18</f>
        <v>2711643.80248519</v>
      </c>
      <c r="AK54" s="22" t="n">
        <f aca="false">AK53+AG54-AJ54</f>
        <v>420990038.850194</v>
      </c>
    </row>
    <row r="55" customFormat="false" ht="15" hidden="false" customHeight="false" outlineLevel="0" collapsed="false">
      <c r="A55" s="7" t="n">
        <v>53</v>
      </c>
      <c r="B55" s="22" t="n">
        <f aca="false">IF(MAX(0,$A55-'1. Inputs'!$C$24-'1. Inputs'!$B$30+1)&lt;=0,0,'1. Inputs'!$B$24*'1. Inputs'!$B$5*MAX(0,$A55-'1. Inputs'!$C$24-'1. Inputs'!$B$30+1)^'1. Inputs'!$B$7/('1. Inputs'!$B$6^'1. Inputs'!$B$7+MAX(0,$A55-'1. Inputs'!$C$24-'1. Inputs'!$B$30+1)^'1. Inputs'!$B$7)*('1. Inputs'!$B$9+'1. Inputs'!$B$10*MAX(0,$A55-'1. Inputs'!$C$24-'1. Inputs'!$B$30+1)/(MAX(0,$A55-'1. Inputs'!$C$24-'1. Inputs'!$B$30+1)+'1. Inputs'!$B$11))*'1. Inputs'!$B$13*(1+'1. Inputs'!$B$14*MIN(MAX(0,$A55-'1. Inputs'!$C$24-'1. Inputs'!$B$30+1),'1. Inputs'!$B$15))*'1. Inputs'!$B$31)</f>
        <v>4094419.95774903</v>
      </c>
      <c r="C55" s="22" t="n">
        <f aca="false">IF(MAX(0,$A55-'1. Inputs'!$C$25-'1. Inputs'!$B$30+1)&lt;=0,0,'1. Inputs'!$B$25*'1. Inputs'!$B$5*MAX(0,$A55-'1. Inputs'!$C$25-'1. Inputs'!$B$30+1)^'1. Inputs'!$B$7/('1. Inputs'!$B$6^'1. Inputs'!$B$7+MAX(0,$A55-'1. Inputs'!$C$25-'1. Inputs'!$B$30+1)^'1. Inputs'!$B$7)*('1. Inputs'!$B$9+'1. Inputs'!$B$10*MAX(0,$A55-'1. Inputs'!$C$25-'1. Inputs'!$B$30+1)/(MAX(0,$A55-'1. Inputs'!$C$25-'1. Inputs'!$B$30+1)+'1. Inputs'!$B$11))*'1. Inputs'!$B$13*(1+'1. Inputs'!$B$14*MIN(MAX(0,$A55-'1. Inputs'!$C$25-'1. Inputs'!$B$30+1),'1. Inputs'!$B$15))*'1. Inputs'!$B$31)</f>
        <v>5373849.6</v>
      </c>
      <c r="D55" s="22" t="n">
        <f aca="false">IF(MAX(0,$A55-'1. Inputs'!$C$26-'1. Inputs'!$B$30+1)&lt;=0,0,'1. Inputs'!$B$26*'1. Inputs'!$B$5*MAX(0,$A55-'1. Inputs'!$C$26-'1. Inputs'!$B$30+1)^'1. Inputs'!$B$7/('1. Inputs'!$B$6^'1. Inputs'!$B$7+MAX(0,$A55-'1. Inputs'!$C$26-'1. Inputs'!$B$30+1)^'1. Inputs'!$B$7)*('1. Inputs'!$B$9+'1. Inputs'!$B$10*MAX(0,$A55-'1. Inputs'!$C$26-'1. Inputs'!$B$30+1)/(MAX(0,$A55-'1. Inputs'!$C$26-'1. Inputs'!$B$30+1)+'1. Inputs'!$B$11))*'1. Inputs'!$B$13*(1+'1. Inputs'!$B$14*MIN(MAX(0,$A55-'1. Inputs'!$C$26-'1. Inputs'!$B$30+1),'1. Inputs'!$B$15))*'1. Inputs'!$B$31)</f>
        <v>2301897.15656776</v>
      </c>
      <c r="E55" s="22" t="n">
        <f aca="false">IF(MAX(0,$A55-'1. Inputs'!$C$27-'1. Inputs'!$B$30+1)&lt;=0,0,'1. Inputs'!$B$27*'1. Inputs'!$B$5*MAX(0,$A55-'1. Inputs'!$C$27-'1. Inputs'!$B$30+1)^'1. Inputs'!$B$7/('1. Inputs'!$B$6^'1. Inputs'!$B$7+MAX(0,$A55-'1. Inputs'!$C$27-'1. Inputs'!$B$30+1)^'1. Inputs'!$B$7)*('1. Inputs'!$B$9+'1. Inputs'!$B$10*MAX(0,$A55-'1. Inputs'!$C$27-'1. Inputs'!$B$30+1)/(MAX(0,$A55-'1. Inputs'!$C$27-'1. Inputs'!$B$30+1)+'1. Inputs'!$B$11))*'1. Inputs'!$B$13*(1+'1. Inputs'!$B$14*MIN(MAX(0,$A55-'1. Inputs'!$C$27-'1. Inputs'!$B$30+1),'1. Inputs'!$B$15))*'1. Inputs'!$B$31)</f>
        <v>1635840</v>
      </c>
      <c r="F55" s="22" t="n">
        <f aca="false">SUM(B55:E55)</f>
        <v>13406006.7143168</v>
      </c>
      <c r="G55" s="22" t="n">
        <f aca="false">IF($A55=MAX('1. Inputs'!$B$17,1),'1. Inputs'!$B$3,0)+IF($A55-'1. Inputs'!$B$17&gt;=1,INDEX(F$3:F$86,$A55-'1. Inputs'!$B$17),0)</f>
        <v>12497192.7754761</v>
      </c>
      <c r="H55" s="22" t="n">
        <f aca="false">H54*(1-'1. Inputs'!$B$18)+G55</f>
        <v>311952041.432611</v>
      </c>
      <c r="I55" s="22" t="n">
        <f aca="false">H55*'1. Inputs'!$B$18</f>
        <v>3119520.41432611</v>
      </c>
      <c r="J55" s="22" t="n">
        <f aca="false">J54+F55-I55</f>
        <v>465418699.482818</v>
      </c>
      <c r="K55" s="22" t="n">
        <f aca="false">IF(MAX(0,$A55-'1. Inputs'!$C$24-'1. Inputs'!$B$30+1)&lt;=0,0,'1. Inputs'!$B$24*('1. Inputs'!$B$5-'5. Diagnosing a miss'!$B$21)*MAX(0,$A55-'1. Inputs'!$C$24-'1. Inputs'!$B$30+1)^'1. Inputs'!$B$7/('1. Inputs'!$B$6^'1. Inputs'!$B$7+MAX(0,$A55-'1. Inputs'!$C$24-'1. Inputs'!$B$30+1)^'1. Inputs'!$B$7)*('1. Inputs'!$B$9+'1. Inputs'!$B$10*MAX(0,$A55-'1. Inputs'!$C$24-'1. Inputs'!$B$30+1)/(MAX(0,$A55-'1. Inputs'!$C$24-'1. Inputs'!$B$30+1)+'1. Inputs'!$B$11))*'1. Inputs'!$B$13*(1+'1. Inputs'!$B$14*MIN(MAX(0,$A55-'1. Inputs'!$C$24-'1. Inputs'!$B$30+1),'1. Inputs'!$B$15))*'1. Inputs'!$B$31)</f>
        <v>3639484.40688803</v>
      </c>
      <c r="L55" s="22" t="n">
        <f aca="false">IF(MAX(0,$A55-'1. Inputs'!$C$25-'1. Inputs'!$B$30+1)&lt;=0,0,'1. Inputs'!$B$25*('1. Inputs'!$B$5-'5. Diagnosing a miss'!$B$21)*MAX(0,$A55-'1. Inputs'!$C$25-'1. Inputs'!$B$30+1)^'1. Inputs'!$B$7/('1. Inputs'!$B$6^'1. Inputs'!$B$7+MAX(0,$A55-'1. Inputs'!$C$25-'1. Inputs'!$B$30+1)^'1. Inputs'!$B$7)*('1. Inputs'!$B$9+'1. Inputs'!$B$10*MAX(0,$A55-'1. Inputs'!$C$25-'1. Inputs'!$B$30+1)/(MAX(0,$A55-'1. Inputs'!$C$25-'1. Inputs'!$B$30+1)+'1. Inputs'!$B$11))*'1. Inputs'!$B$13*(1+'1. Inputs'!$B$14*MIN(MAX(0,$A55-'1. Inputs'!$C$25-'1. Inputs'!$B$30+1),'1. Inputs'!$B$15))*'1. Inputs'!$B$31)</f>
        <v>4776755.2</v>
      </c>
      <c r="M55" s="22" t="n">
        <f aca="false">IF(MAX(0,$A55-'1. Inputs'!$C$26-'1. Inputs'!$B$30+1)&lt;=0,0,'1. Inputs'!$B$26*('1. Inputs'!$B$5-'5. Diagnosing a miss'!$B$21)*MAX(0,$A55-'1. Inputs'!$C$26-'1. Inputs'!$B$30+1)^'1. Inputs'!$B$7/('1. Inputs'!$B$6^'1. Inputs'!$B$7+MAX(0,$A55-'1. Inputs'!$C$26-'1. Inputs'!$B$30+1)^'1. Inputs'!$B$7)*('1. Inputs'!$B$9+'1. Inputs'!$B$10*MAX(0,$A55-'1. Inputs'!$C$26-'1. Inputs'!$B$30+1)/(MAX(0,$A55-'1. Inputs'!$C$26-'1. Inputs'!$B$30+1)+'1. Inputs'!$B$11))*'1. Inputs'!$B$13*(1+'1. Inputs'!$B$14*MIN(MAX(0,$A55-'1. Inputs'!$C$26-'1. Inputs'!$B$30+1),'1. Inputs'!$B$15))*'1. Inputs'!$B$31)</f>
        <v>2046130.80583801</v>
      </c>
      <c r="N55" s="22" t="n">
        <f aca="false">IF(MAX(0,$A55-'1. Inputs'!$C$27-'1. Inputs'!$B$30+1)&lt;=0,0,'1. Inputs'!$B$27*('1. Inputs'!$B$5-'5. Diagnosing a miss'!$B$21)*MAX(0,$A55-'1. Inputs'!$C$27-'1. Inputs'!$B$30+1)^'1. Inputs'!$B$7/('1. Inputs'!$B$6^'1. Inputs'!$B$7+MAX(0,$A55-'1. Inputs'!$C$27-'1. Inputs'!$B$30+1)^'1. Inputs'!$B$7)*('1. Inputs'!$B$9+'1. Inputs'!$B$10*MAX(0,$A55-'1. Inputs'!$C$27-'1. Inputs'!$B$30+1)/(MAX(0,$A55-'1. Inputs'!$C$27-'1. Inputs'!$B$30+1)+'1. Inputs'!$B$11))*'1. Inputs'!$B$13*(1+'1. Inputs'!$B$14*MIN(MAX(0,$A55-'1. Inputs'!$C$27-'1. Inputs'!$B$30+1),'1. Inputs'!$B$15))*'1. Inputs'!$B$31)</f>
        <v>1454080</v>
      </c>
      <c r="O55" s="22" t="n">
        <f aca="false">SUM(K55:N55)</f>
        <v>11916450.412726</v>
      </c>
      <c r="P55" s="22" t="n">
        <f aca="false">IF($A55=MAX('1. Inputs'!$B$17,1),'1. Inputs'!$B$3,0)+IF($A55-'1. Inputs'!$B$17&gt;=1,INDEX(O$3:O$86,$A55-'1. Inputs'!$B$17),0)</f>
        <v>11108615.8004232</v>
      </c>
      <c r="Q55" s="22" t="n">
        <f aca="false">Q54*(1-'1. Inputs'!$B$18)+P55</f>
        <v>288328737.512053</v>
      </c>
      <c r="R55" s="22" t="n">
        <f aca="false">Q55*'1. Inputs'!$B$18</f>
        <v>2883287.37512053</v>
      </c>
      <c r="S55" s="22" t="n">
        <f aca="false">S54+O55-R55</f>
        <v>424633164.327629</v>
      </c>
      <c r="T55" s="22" t="n">
        <f aca="false">IF(MAX(0,$A55-'1. Inputs'!$C$24-'1. Inputs'!$B$30+1)&lt;=0,0,'1. Inputs'!$B$24*'1. Inputs'!$B$5*MAX(0,$A55-'1. Inputs'!$C$24-'1. Inputs'!$B$30+1)^'1. Inputs'!$B$7/('1. Inputs'!$B$6^'1. Inputs'!$B$7+MAX(0,$A55-'1. Inputs'!$C$24-'1. Inputs'!$B$30+1)^'1. Inputs'!$B$7)*('1. Inputs'!$B$9+'1. Inputs'!$B$10*MAX(0,$A55-'1. Inputs'!$C$24-'1. Inputs'!$B$30+1)/(MAX(0,$A55-'1. Inputs'!$C$24-'1. Inputs'!$B$30+1)+'1. Inputs'!$B$11))*'1. Inputs'!$B$13*(1+'1. Inputs'!$B$14*MIN(MAX(0,$A55-'1. Inputs'!$C$24-'1. Inputs'!$B$30+1),'1. Inputs'!$B$15))*('1. Inputs'!$B$31*'5. Diagnosing a miss'!$B$22))</f>
        <v>3684977.96197413</v>
      </c>
      <c r="U55" s="22" t="n">
        <f aca="false">IF(MAX(0,$A55-'1. Inputs'!$C$25-'1. Inputs'!$B$30+1)&lt;=0,0,'1. Inputs'!$B$25*'1. Inputs'!$B$5*MAX(0,$A55-'1. Inputs'!$C$25-'1. Inputs'!$B$30+1)^'1. Inputs'!$B$7/('1. Inputs'!$B$6^'1. Inputs'!$B$7+MAX(0,$A55-'1. Inputs'!$C$25-'1. Inputs'!$B$30+1)^'1. Inputs'!$B$7)*('1. Inputs'!$B$9+'1. Inputs'!$B$10*MAX(0,$A55-'1. Inputs'!$C$25-'1. Inputs'!$B$30+1)/(MAX(0,$A55-'1. Inputs'!$C$25-'1. Inputs'!$B$30+1)+'1. Inputs'!$B$11))*'1. Inputs'!$B$13*(1+'1. Inputs'!$B$14*MIN(MAX(0,$A55-'1. Inputs'!$C$25-'1. Inputs'!$B$30+1),'1. Inputs'!$B$15))*('1. Inputs'!$B$31*'5. Diagnosing a miss'!$B$22))</f>
        <v>4836464.64</v>
      </c>
      <c r="V55" s="22" t="n">
        <f aca="false">IF(MAX(0,$A55-'1. Inputs'!$C$26-'1. Inputs'!$B$30+1)&lt;=0,0,'1. Inputs'!$B$26*'1. Inputs'!$B$5*MAX(0,$A55-'1. Inputs'!$C$26-'1. Inputs'!$B$30+1)^'1. Inputs'!$B$7/('1. Inputs'!$B$6^'1. Inputs'!$B$7+MAX(0,$A55-'1. Inputs'!$C$26-'1. Inputs'!$B$30+1)^'1. Inputs'!$B$7)*('1. Inputs'!$B$9+'1. Inputs'!$B$10*MAX(0,$A55-'1. Inputs'!$C$26-'1. Inputs'!$B$30+1)/(MAX(0,$A55-'1. Inputs'!$C$26-'1. Inputs'!$B$30+1)+'1. Inputs'!$B$11))*'1. Inputs'!$B$13*(1+'1. Inputs'!$B$14*MIN(MAX(0,$A55-'1. Inputs'!$C$26-'1. Inputs'!$B$30+1),'1. Inputs'!$B$15))*('1. Inputs'!$B$31*'5. Diagnosing a miss'!$B$22))</f>
        <v>2071707.44091099</v>
      </c>
      <c r="W55" s="22" t="n">
        <f aca="false">IF(MAX(0,$A55-'1. Inputs'!$C$27-'1. Inputs'!$B$30+1)&lt;=0,0,'1. Inputs'!$B$27*'1. Inputs'!$B$5*MAX(0,$A55-'1. Inputs'!$C$27-'1. Inputs'!$B$30+1)^'1. Inputs'!$B$7/('1. Inputs'!$B$6^'1. Inputs'!$B$7+MAX(0,$A55-'1. Inputs'!$C$27-'1. Inputs'!$B$30+1)^'1. Inputs'!$B$7)*('1. Inputs'!$B$9+'1. Inputs'!$B$10*MAX(0,$A55-'1. Inputs'!$C$27-'1. Inputs'!$B$30+1)/(MAX(0,$A55-'1. Inputs'!$C$27-'1. Inputs'!$B$30+1)+'1. Inputs'!$B$11))*'1. Inputs'!$B$13*(1+'1. Inputs'!$B$14*MIN(MAX(0,$A55-'1. Inputs'!$C$27-'1. Inputs'!$B$30+1),'1. Inputs'!$B$15))*('1. Inputs'!$B$31*'5. Diagnosing a miss'!$B$22))</f>
        <v>1472256</v>
      </c>
      <c r="X55" s="22" t="n">
        <f aca="false">SUM(T55:W55)</f>
        <v>12065406.0428851</v>
      </c>
      <c r="Y55" s="22" t="n">
        <f aca="false">IF($A55=MAX('1. Inputs'!$B$17,1),'1. Inputs'!$B$3,0)+IF($A55-'1. Inputs'!$B$17&gt;=1,INDEX(X$3:X$86,$A55-'1. Inputs'!$B$17),0)</f>
        <v>11247473.4979285</v>
      </c>
      <c r="Z55" s="22" t="n">
        <f aca="false">Z54*(1-'1. Inputs'!$B$18)+Y55</f>
        <v>290691067.904109</v>
      </c>
      <c r="AA55" s="22" t="n">
        <f aca="false">Z55*'1. Inputs'!$B$18</f>
        <v>2906910.67904109</v>
      </c>
      <c r="AB55" s="22" t="n">
        <f aca="false">AB54+X55-AA55</f>
        <v>428711717.843148</v>
      </c>
      <c r="AC55" s="22" t="n">
        <f aca="false">IF(MAX(0,$A55-'1. Inputs'!$C$24-('1. Inputs'!$B$30+'5. Diagnosing a miss'!$B$23)+1)&lt;=0,0,'1. Inputs'!$B$24*'1. Inputs'!$B$5*MAX(0,$A55-'1. Inputs'!$C$24-('1. Inputs'!$B$30+'5. Diagnosing a miss'!$B$23)+1)^'1. Inputs'!$B$7/('1. Inputs'!$B$6^'1. Inputs'!$B$7+MAX(0,$A55-'1. Inputs'!$C$24-('1. Inputs'!$B$30+'5. Diagnosing a miss'!$B$23)+1)^'1. Inputs'!$B$7)*('1. Inputs'!$B$9+'1. Inputs'!$B$10*MAX(0,$A55-'1. Inputs'!$C$24-('1. Inputs'!$B$30+'5. Diagnosing a miss'!$B$23)+1)/(MAX(0,$A55-'1. Inputs'!$C$24-('1. Inputs'!$B$30+'5. Diagnosing a miss'!$B$23)+1)+'1. Inputs'!$B$11))*'1. Inputs'!$B$13*(1+'1. Inputs'!$B$14*MIN(MAX(0,$A55-'1. Inputs'!$C$24-('1. Inputs'!$B$30+'5. Diagnosing a miss'!$B$23)+1),'1. Inputs'!$B$15))*'1. Inputs'!$B$31)</f>
        <v>4058011.41751116</v>
      </c>
      <c r="AD55" s="22" t="n">
        <f aca="false">IF(MAX(0,$A55-'1. Inputs'!$C$25-('1. Inputs'!$B$30+'5. Diagnosing a miss'!$B$23)+1)&lt;=0,0,'1. Inputs'!$B$25*'1. Inputs'!$B$5*MAX(0,$A55-'1. Inputs'!$C$25-('1. Inputs'!$B$30+'5. Diagnosing a miss'!$B$23)+1)^'1. Inputs'!$B$7/('1. Inputs'!$B$6^'1. Inputs'!$B$7+MAX(0,$A55-'1. Inputs'!$C$25-('1. Inputs'!$B$30+'5. Diagnosing a miss'!$B$23)+1)^'1. Inputs'!$B$7)*('1. Inputs'!$B$9+'1. Inputs'!$B$10*MAX(0,$A55-'1. Inputs'!$C$25-('1. Inputs'!$B$30+'5. Diagnosing a miss'!$B$23)+1)/(MAX(0,$A55-'1. Inputs'!$C$25-('1. Inputs'!$B$30+'5. Diagnosing a miss'!$B$23)+1)+'1. Inputs'!$B$11))*'1. Inputs'!$B$13*(1+'1. Inputs'!$B$14*MIN(MAX(0,$A55-'1. Inputs'!$C$25-('1. Inputs'!$B$30+'5. Diagnosing a miss'!$B$23)+1),'1. Inputs'!$B$15))*'1. Inputs'!$B$31)</f>
        <v>5310388.63820225</v>
      </c>
      <c r="AE55" s="22" t="n">
        <f aca="false">IF(MAX(0,$A55-'1. Inputs'!$C$26-('1. Inputs'!$B$30+'5. Diagnosing a miss'!$B$23)+1)&lt;=0,0,'1. Inputs'!$B$26*'1. Inputs'!$B$5*MAX(0,$A55-'1. Inputs'!$C$26-('1. Inputs'!$B$30+'5. Diagnosing a miss'!$B$23)+1)^'1. Inputs'!$B$7/('1. Inputs'!$B$6^'1. Inputs'!$B$7+MAX(0,$A55-'1. Inputs'!$C$26-('1. Inputs'!$B$30+'5. Diagnosing a miss'!$B$23)+1)^'1. Inputs'!$B$7)*('1. Inputs'!$B$9+'1. Inputs'!$B$10*MAX(0,$A55-'1. Inputs'!$C$26-('1. Inputs'!$B$30+'5. Diagnosing a miss'!$B$23)+1)/(MAX(0,$A55-'1. Inputs'!$C$26-('1. Inputs'!$B$30+'5. Diagnosing a miss'!$B$23)+1)+'1. Inputs'!$B$11))*'1. Inputs'!$B$13*(1+'1. Inputs'!$B$14*MIN(MAX(0,$A55-'1. Inputs'!$C$26-('1. Inputs'!$B$30+'5. Diagnosing a miss'!$B$23)+1),'1. Inputs'!$B$15))*'1. Inputs'!$B$31)</f>
        <v>2264367.94050121</v>
      </c>
      <c r="AF55" s="22" t="n">
        <f aca="false">IF(MAX(0,$A55-'1. Inputs'!$C$27-('1. Inputs'!$B$30+'5. Diagnosing a miss'!$B$23)+1)&lt;=0,0,'1. Inputs'!$B$27*'1. Inputs'!$B$5*MAX(0,$A55-'1. Inputs'!$C$27-('1. Inputs'!$B$30+'5. Diagnosing a miss'!$B$23)+1)^'1. Inputs'!$B$7/('1. Inputs'!$B$6^'1. Inputs'!$B$7+MAX(0,$A55-'1. Inputs'!$C$27-('1. Inputs'!$B$30+'5. Diagnosing a miss'!$B$23)+1)^'1. Inputs'!$B$7)*('1. Inputs'!$B$9+'1. Inputs'!$B$10*MAX(0,$A55-'1. Inputs'!$C$27-('1. Inputs'!$B$30+'5. Diagnosing a miss'!$B$23)+1)/(MAX(0,$A55-'1. Inputs'!$C$27-('1. Inputs'!$B$30+'5. Diagnosing a miss'!$B$23)+1)+'1. Inputs'!$B$11))*'1. Inputs'!$B$13*(1+'1. Inputs'!$B$14*MIN(MAX(0,$A55-'1. Inputs'!$C$27-('1. Inputs'!$B$30+'5. Diagnosing a miss'!$B$23)+1),'1. Inputs'!$B$15))*'1. Inputs'!$B$31)</f>
        <v>1607235.12426036</v>
      </c>
      <c r="AG55" s="22" t="n">
        <f aca="false">SUM(AC55:AF55)</f>
        <v>13240003.120475</v>
      </c>
      <c r="AH55" s="22" t="n">
        <f aca="false">IF($A55=MAX('1. Inputs'!$B$17,1),'1. Inputs'!$B$3,0)+IF($A55-'1. Inputs'!$B$17&gt;=1,INDEX(AG$3:AG$86,$A55-'1. Inputs'!$B$17),0)</f>
        <v>12117361.5836102</v>
      </c>
      <c r="AI55" s="22" t="n">
        <f aca="false">AI54*(1-'1. Inputs'!$B$18)+AH55</f>
        <v>280570098.029644</v>
      </c>
      <c r="AJ55" s="22" t="n">
        <f aca="false">AI55*'1. Inputs'!$B$18</f>
        <v>2805700.98029644</v>
      </c>
      <c r="AK55" s="22" t="n">
        <f aca="false">AK54+AG55-AJ55</f>
        <v>431424340.990373</v>
      </c>
    </row>
    <row r="56" customFormat="false" ht="15" hidden="false" customHeight="false" outlineLevel="0" collapsed="false">
      <c r="A56" s="7" t="n">
        <v>54</v>
      </c>
      <c r="B56" s="22" t="n">
        <f aca="false">IF(MAX(0,$A56-'1. Inputs'!$C$24-'1. Inputs'!$B$30+1)&lt;=0,0,'1. Inputs'!$B$24*'1. Inputs'!$B$5*MAX(0,$A56-'1. Inputs'!$C$24-'1. Inputs'!$B$30+1)^'1. Inputs'!$B$7/('1. Inputs'!$B$6^'1. Inputs'!$B$7+MAX(0,$A56-'1. Inputs'!$C$24-'1. Inputs'!$B$30+1)^'1. Inputs'!$B$7)*('1. Inputs'!$B$9+'1. Inputs'!$B$10*MAX(0,$A56-'1. Inputs'!$C$24-'1. Inputs'!$B$30+1)/(MAX(0,$A56-'1. Inputs'!$C$24-'1. Inputs'!$B$30+1)+'1. Inputs'!$B$11))*'1. Inputs'!$B$13*(1+'1. Inputs'!$B$14*MIN(MAX(0,$A56-'1. Inputs'!$C$24-'1. Inputs'!$B$30+1),'1. Inputs'!$B$15))*'1. Inputs'!$B$31)</f>
        <v>4105397.61509434</v>
      </c>
      <c r="C56" s="22" t="n">
        <f aca="false">IF(MAX(0,$A56-'1. Inputs'!$C$25-'1. Inputs'!$B$30+1)&lt;=0,0,'1. Inputs'!$B$25*'1. Inputs'!$B$5*MAX(0,$A56-'1. Inputs'!$C$25-'1. Inputs'!$B$30+1)^'1. Inputs'!$B$7/('1. Inputs'!$B$6^'1. Inputs'!$B$7+MAX(0,$A56-'1. Inputs'!$C$25-'1. Inputs'!$B$30+1)^'1. Inputs'!$B$7)*('1. Inputs'!$B$9+'1. Inputs'!$B$10*MAX(0,$A56-'1. Inputs'!$C$25-'1. Inputs'!$B$30+1)/(MAX(0,$A56-'1. Inputs'!$C$25-'1. Inputs'!$B$30+1)+'1. Inputs'!$B$11))*'1. Inputs'!$B$13*(1+'1. Inputs'!$B$14*MIN(MAX(0,$A56-'1. Inputs'!$C$25-'1. Inputs'!$B$30+1),'1. Inputs'!$B$15))*'1. Inputs'!$B$31)</f>
        <v>5392758.08971133</v>
      </c>
      <c r="D56" s="22" t="n">
        <f aca="false">IF(MAX(0,$A56-'1. Inputs'!$C$26-'1. Inputs'!$B$30+1)&lt;=0,0,'1. Inputs'!$B$26*'1. Inputs'!$B$5*MAX(0,$A56-'1. Inputs'!$C$26-'1. Inputs'!$B$30+1)^'1. Inputs'!$B$7/('1. Inputs'!$B$6^'1. Inputs'!$B$7+MAX(0,$A56-'1. Inputs'!$C$26-'1. Inputs'!$B$30+1)^'1. Inputs'!$B$7)*('1. Inputs'!$B$9+'1. Inputs'!$B$10*MAX(0,$A56-'1. Inputs'!$C$26-'1. Inputs'!$B$30+1)/(MAX(0,$A56-'1. Inputs'!$C$26-'1. Inputs'!$B$30+1)+'1. Inputs'!$B$11))*'1. Inputs'!$B$13*(1+'1. Inputs'!$B$14*MIN(MAX(0,$A56-'1. Inputs'!$C$26-'1. Inputs'!$B$30+1),'1. Inputs'!$B$15))*'1. Inputs'!$B$31)</f>
        <v>2312917.68178838</v>
      </c>
      <c r="E56" s="22" t="n">
        <f aca="false">IF(MAX(0,$A56-'1. Inputs'!$C$27-'1. Inputs'!$B$30+1)&lt;=0,0,'1. Inputs'!$B$27*'1. Inputs'!$B$5*MAX(0,$A56-'1. Inputs'!$C$27-'1. Inputs'!$B$30+1)^'1. Inputs'!$B$7/('1. Inputs'!$B$6^'1. Inputs'!$B$7+MAX(0,$A56-'1. Inputs'!$C$27-'1. Inputs'!$B$30+1)^'1. Inputs'!$B$7)*('1. Inputs'!$B$9+'1. Inputs'!$B$10*MAX(0,$A56-'1. Inputs'!$C$27-'1. Inputs'!$B$30+1)/(MAX(0,$A56-'1. Inputs'!$C$27-'1. Inputs'!$B$30+1)+'1. Inputs'!$B$11))*'1. Inputs'!$B$13*(1+'1. Inputs'!$B$14*MIN(MAX(0,$A56-'1. Inputs'!$C$27-'1. Inputs'!$B$30+1),'1. Inputs'!$B$15))*'1. Inputs'!$B$31)</f>
        <v>1644212.25469126</v>
      </c>
      <c r="F56" s="22" t="n">
        <f aca="false">SUM(B56:E56)</f>
        <v>13455285.6412853</v>
      </c>
      <c r="G56" s="22" t="n">
        <f aca="false">IF($A56=MAX('1. Inputs'!$B$17,1),'1. Inputs'!$B$3,0)+IF($A56-'1. Inputs'!$B$17&gt;=1,INDEX(F$3:F$86,$A56-'1. Inputs'!$B$17),0)</f>
        <v>12605031.9306072</v>
      </c>
      <c r="H56" s="22" t="n">
        <f aca="false">H55*(1-'1. Inputs'!$B$18)+G56</f>
        <v>321437552.948892</v>
      </c>
      <c r="I56" s="22" t="n">
        <f aca="false">H56*'1. Inputs'!$B$18</f>
        <v>3214375.52948892</v>
      </c>
      <c r="J56" s="22" t="n">
        <f aca="false">J55+F56-I56</f>
        <v>475659609.594614</v>
      </c>
      <c r="K56" s="22" t="n">
        <f aca="false">IF(MAX(0,$A56-'1. Inputs'!$C$24-'1. Inputs'!$B$30+1)&lt;=0,0,'1. Inputs'!$B$24*('1. Inputs'!$B$5-'5. Diagnosing a miss'!$B$21)*MAX(0,$A56-'1. Inputs'!$C$24-'1. Inputs'!$B$30+1)^'1. Inputs'!$B$7/('1. Inputs'!$B$6^'1. Inputs'!$B$7+MAX(0,$A56-'1. Inputs'!$C$24-'1. Inputs'!$B$30+1)^'1. Inputs'!$B$7)*('1. Inputs'!$B$9+'1. Inputs'!$B$10*MAX(0,$A56-'1. Inputs'!$C$24-'1. Inputs'!$B$30+1)/(MAX(0,$A56-'1. Inputs'!$C$24-'1. Inputs'!$B$30+1)+'1. Inputs'!$B$11))*'1. Inputs'!$B$13*(1+'1. Inputs'!$B$14*MIN(MAX(0,$A56-'1. Inputs'!$C$24-'1. Inputs'!$B$30+1),'1. Inputs'!$B$15))*'1. Inputs'!$B$31)</f>
        <v>3649242.3245283</v>
      </c>
      <c r="L56" s="22" t="n">
        <f aca="false">IF(MAX(0,$A56-'1. Inputs'!$C$25-'1. Inputs'!$B$30+1)&lt;=0,0,'1. Inputs'!$B$25*('1. Inputs'!$B$5-'5. Diagnosing a miss'!$B$21)*MAX(0,$A56-'1. Inputs'!$C$25-'1. Inputs'!$B$30+1)^'1. Inputs'!$B$7/('1. Inputs'!$B$6^'1. Inputs'!$B$7+MAX(0,$A56-'1. Inputs'!$C$25-'1. Inputs'!$B$30+1)^'1. Inputs'!$B$7)*('1. Inputs'!$B$9+'1. Inputs'!$B$10*MAX(0,$A56-'1. Inputs'!$C$25-'1. Inputs'!$B$30+1)/(MAX(0,$A56-'1. Inputs'!$C$25-'1. Inputs'!$B$30+1)+'1. Inputs'!$B$11))*'1. Inputs'!$B$13*(1+'1. Inputs'!$B$14*MIN(MAX(0,$A56-'1. Inputs'!$C$25-'1. Inputs'!$B$30+1),'1. Inputs'!$B$15))*'1. Inputs'!$B$31)</f>
        <v>4793562.74641007</v>
      </c>
      <c r="M56" s="22" t="n">
        <f aca="false">IF(MAX(0,$A56-'1. Inputs'!$C$26-'1. Inputs'!$B$30+1)&lt;=0,0,'1. Inputs'!$B$26*('1. Inputs'!$B$5-'5. Diagnosing a miss'!$B$21)*MAX(0,$A56-'1. Inputs'!$C$26-'1. Inputs'!$B$30+1)^'1. Inputs'!$B$7/('1. Inputs'!$B$6^'1. Inputs'!$B$7+MAX(0,$A56-'1. Inputs'!$C$26-'1. Inputs'!$B$30+1)^'1. Inputs'!$B$7)*('1. Inputs'!$B$9+'1. Inputs'!$B$10*MAX(0,$A56-'1. Inputs'!$C$26-'1. Inputs'!$B$30+1)/(MAX(0,$A56-'1. Inputs'!$C$26-'1. Inputs'!$B$30+1)+'1. Inputs'!$B$11))*'1. Inputs'!$B$13*(1+'1. Inputs'!$B$14*MIN(MAX(0,$A56-'1. Inputs'!$C$26-'1. Inputs'!$B$30+1),'1. Inputs'!$B$15))*'1. Inputs'!$B$31)</f>
        <v>2055926.82825633</v>
      </c>
      <c r="N56" s="22" t="n">
        <f aca="false">IF(MAX(0,$A56-'1. Inputs'!$C$27-'1. Inputs'!$B$30+1)&lt;=0,0,'1. Inputs'!$B$27*('1. Inputs'!$B$5-'5. Diagnosing a miss'!$B$21)*MAX(0,$A56-'1. Inputs'!$C$27-'1. Inputs'!$B$30+1)^'1. Inputs'!$B$7/('1. Inputs'!$B$6^'1. Inputs'!$B$7+MAX(0,$A56-'1. Inputs'!$C$27-'1. Inputs'!$B$30+1)^'1. Inputs'!$B$7)*('1. Inputs'!$B$9+'1. Inputs'!$B$10*MAX(0,$A56-'1. Inputs'!$C$27-'1. Inputs'!$B$30+1)/(MAX(0,$A56-'1. Inputs'!$C$27-'1. Inputs'!$B$30+1)+'1. Inputs'!$B$11))*'1. Inputs'!$B$13*(1+'1. Inputs'!$B$14*MIN(MAX(0,$A56-'1. Inputs'!$C$27-'1. Inputs'!$B$30+1),'1. Inputs'!$B$15))*'1. Inputs'!$B$31)</f>
        <v>1461522.00417001</v>
      </c>
      <c r="O56" s="22" t="n">
        <f aca="false">SUM(K56:N56)</f>
        <v>11960253.9033647</v>
      </c>
      <c r="P56" s="22" t="n">
        <f aca="false">IF($A56=MAX('1. Inputs'!$B$17,1),'1. Inputs'!$B$3,0)+IF($A56-'1. Inputs'!$B$17&gt;=1,INDEX(O$3:O$86,$A56-'1. Inputs'!$B$17),0)</f>
        <v>11204472.8272064</v>
      </c>
      <c r="Q56" s="22" t="n">
        <f aca="false">Q55*(1-'1. Inputs'!$B$18)+P56</f>
        <v>296649922.964139</v>
      </c>
      <c r="R56" s="22" t="n">
        <f aca="false">Q56*'1. Inputs'!$B$18</f>
        <v>2966499.22964139</v>
      </c>
      <c r="S56" s="22" t="n">
        <f aca="false">S55+O56-R56</f>
        <v>433626919.001353</v>
      </c>
      <c r="T56" s="22" t="n">
        <f aca="false">IF(MAX(0,$A56-'1. Inputs'!$C$24-'1. Inputs'!$B$30+1)&lt;=0,0,'1. Inputs'!$B$24*'1. Inputs'!$B$5*MAX(0,$A56-'1. Inputs'!$C$24-'1. Inputs'!$B$30+1)^'1. Inputs'!$B$7/('1. Inputs'!$B$6^'1. Inputs'!$B$7+MAX(0,$A56-'1. Inputs'!$C$24-'1. Inputs'!$B$30+1)^'1. Inputs'!$B$7)*('1. Inputs'!$B$9+'1. Inputs'!$B$10*MAX(0,$A56-'1. Inputs'!$C$24-'1. Inputs'!$B$30+1)/(MAX(0,$A56-'1. Inputs'!$C$24-'1. Inputs'!$B$30+1)+'1. Inputs'!$B$11))*'1. Inputs'!$B$13*(1+'1. Inputs'!$B$14*MIN(MAX(0,$A56-'1. Inputs'!$C$24-'1. Inputs'!$B$30+1),'1. Inputs'!$B$15))*('1. Inputs'!$B$31*'5. Diagnosing a miss'!$B$22))</f>
        <v>3694857.85358491</v>
      </c>
      <c r="U56" s="22" t="n">
        <f aca="false">IF(MAX(0,$A56-'1. Inputs'!$C$25-'1. Inputs'!$B$30+1)&lt;=0,0,'1. Inputs'!$B$25*'1. Inputs'!$B$5*MAX(0,$A56-'1. Inputs'!$C$25-'1. Inputs'!$B$30+1)^'1. Inputs'!$B$7/('1. Inputs'!$B$6^'1. Inputs'!$B$7+MAX(0,$A56-'1. Inputs'!$C$25-'1. Inputs'!$B$30+1)^'1. Inputs'!$B$7)*('1. Inputs'!$B$9+'1. Inputs'!$B$10*MAX(0,$A56-'1. Inputs'!$C$25-'1. Inputs'!$B$30+1)/(MAX(0,$A56-'1. Inputs'!$C$25-'1. Inputs'!$B$30+1)+'1. Inputs'!$B$11))*'1. Inputs'!$B$13*(1+'1. Inputs'!$B$14*MIN(MAX(0,$A56-'1. Inputs'!$C$25-'1. Inputs'!$B$30+1),'1. Inputs'!$B$15))*('1. Inputs'!$B$31*'5. Diagnosing a miss'!$B$22))</f>
        <v>4853482.28074019</v>
      </c>
      <c r="V56" s="22" t="n">
        <f aca="false">IF(MAX(0,$A56-'1. Inputs'!$C$26-'1. Inputs'!$B$30+1)&lt;=0,0,'1. Inputs'!$B$26*'1. Inputs'!$B$5*MAX(0,$A56-'1. Inputs'!$C$26-'1. Inputs'!$B$30+1)^'1. Inputs'!$B$7/('1. Inputs'!$B$6^'1. Inputs'!$B$7+MAX(0,$A56-'1. Inputs'!$C$26-'1. Inputs'!$B$30+1)^'1. Inputs'!$B$7)*('1. Inputs'!$B$9+'1. Inputs'!$B$10*MAX(0,$A56-'1. Inputs'!$C$26-'1. Inputs'!$B$30+1)/(MAX(0,$A56-'1. Inputs'!$C$26-'1. Inputs'!$B$30+1)+'1. Inputs'!$B$11))*'1. Inputs'!$B$13*(1+'1. Inputs'!$B$14*MIN(MAX(0,$A56-'1. Inputs'!$C$26-'1. Inputs'!$B$30+1),'1. Inputs'!$B$15))*('1. Inputs'!$B$31*'5. Diagnosing a miss'!$B$22))</f>
        <v>2081625.91360954</v>
      </c>
      <c r="W56" s="22" t="n">
        <f aca="false">IF(MAX(0,$A56-'1. Inputs'!$C$27-'1. Inputs'!$B$30+1)&lt;=0,0,'1. Inputs'!$B$27*'1. Inputs'!$B$5*MAX(0,$A56-'1. Inputs'!$C$27-'1. Inputs'!$B$30+1)^'1. Inputs'!$B$7/('1. Inputs'!$B$6^'1. Inputs'!$B$7+MAX(0,$A56-'1. Inputs'!$C$27-'1. Inputs'!$B$30+1)^'1. Inputs'!$B$7)*('1. Inputs'!$B$9+'1. Inputs'!$B$10*MAX(0,$A56-'1. Inputs'!$C$27-'1. Inputs'!$B$30+1)/(MAX(0,$A56-'1. Inputs'!$C$27-'1. Inputs'!$B$30+1)+'1. Inputs'!$B$11))*'1. Inputs'!$B$13*(1+'1. Inputs'!$B$14*MIN(MAX(0,$A56-'1. Inputs'!$C$27-'1. Inputs'!$B$30+1),'1. Inputs'!$B$15))*('1. Inputs'!$B$31*'5. Diagnosing a miss'!$B$22))</f>
        <v>1479791.02922213</v>
      </c>
      <c r="X56" s="22" t="n">
        <f aca="false">SUM(T56:W56)</f>
        <v>12109757.0771568</v>
      </c>
      <c r="Y56" s="22" t="n">
        <f aca="false">IF($A56=MAX('1. Inputs'!$B$17,1),'1. Inputs'!$B$3,0)+IF($A56-'1. Inputs'!$B$17&gt;=1,INDEX(X$3:X$86,$A56-'1. Inputs'!$B$17),0)</f>
        <v>11344528.7375465</v>
      </c>
      <c r="Z56" s="22" t="n">
        <f aca="false">Z55*(1-'1. Inputs'!$B$18)+Y56</f>
        <v>299128685.962615</v>
      </c>
      <c r="AA56" s="22" t="n">
        <f aca="false">Z56*'1. Inputs'!$B$18</f>
        <v>2991286.85962615</v>
      </c>
      <c r="AB56" s="22" t="n">
        <f aca="false">AB55+X56-AA56</f>
        <v>437830188.060679</v>
      </c>
      <c r="AC56" s="22" t="n">
        <f aca="false">IF(MAX(0,$A56-'1. Inputs'!$C$24-('1. Inputs'!$B$30+'5. Diagnosing a miss'!$B$23)+1)&lt;=0,0,'1. Inputs'!$B$24*'1. Inputs'!$B$5*MAX(0,$A56-'1. Inputs'!$C$24-('1. Inputs'!$B$30+'5. Diagnosing a miss'!$B$23)+1)^'1. Inputs'!$B$7/('1. Inputs'!$B$6^'1. Inputs'!$B$7+MAX(0,$A56-'1. Inputs'!$C$24-('1. Inputs'!$B$30+'5. Diagnosing a miss'!$B$23)+1)^'1. Inputs'!$B$7)*('1. Inputs'!$B$9+'1. Inputs'!$B$10*MAX(0,$A56-'1. Inputs'!$C$24-('1. Inputs'!$B$30+'5. Diagnosing a miss'!$B$23)+1)/(MAX(0,$A56-'1. Inputs'!$C$24-('1. Inputs'!$B$30+'5. Diagnosing a miss'!$B$23)+1)+'1. Inputs'!$B$11))*'1. Inputs'!$B$13*(1+'1. Inputs'!$B$14*MIN(MAX(0,$A56-'1. Inputs'!$C$24-('1. Inputs'!$B$30+'5. Diagnosing a miss'!$B$23)+1),'1. Inputs'!$B$15))*'1. Inputs'!$B$31)</f>
        <v>4070769.23076923</v>
      </c>
      <c r="AD56" s="22" t="n">
        <f aca="false">IF(MAX(0,$A56-'1. Inputs'!$C$25-('1. Inputs'!$B$30+'5. Diagnosing a miss'!$B$23)+1)&lt;=0,0,'1. Inputs'!$B$25*'1. Inputs'!$B$5*MAX(0,$A56-'1. Inputs'!$C$25-('1. Inputs'!$B$30+'5. Diagnosing a miss'!$B$23)+1)^'1. Inputs'!$B$7/('1. Inputs'!$B$6^'1. Inputs'!$B$7+MAX(0,$A56-'1. Inputs'!$C$25-('1. Inputs'!$B$30+'5. Diagnosing a miss'!$B$23)+1)^'1. Inputs'!$B$7)*('1. Inputs'!$B$9+'1. Inputs'!$B$10*MAX(0,$A56-'1. Inputs'!$C$25-('1. Inputs'!$B$30+'5. Diagnosing a miss'!$B$23)+1)/(MAX(0,$A56-'1. Inputs'!$C$25-('1. Inputs'!$B$30+'5. Diagnosing a miss'!$B$23)+1)+'1. Inputs'!$B$11))*'1. Inputs'!$B$13*(1+'1. Inputs'!$B$14*MIN(MAX(0,$A56-'1. Inputs'!$C$25-('1. Inputs'!$B$30+'5. Diagnosing a miss'!$B$23)+1),'1. Inputs'!$B$15))*'1. Inputs'!$B$31)</f>
        <v>5332756.17515454</v>
      </c>
      <c r="AE56" s="22" t="n">
        <f aca="false">IF(MAX(0,$A56-'1. Inputs'!$C$26-('1. Inputs'!$B$30+'5. Diagnosing a miss'!$B$23)+1)&lt;=0,0,'1. Inputs'!$B$26*'1. Inputs'!$B$5*MAX(0,$A56-'1. Inputs'!$C$26-('1. Inputs'!$B$30+'5. Diagnosing a miss'!$B$23)+1)^'1. Inputs'!$B$7/('1. Inputs'!$B$6^'1. Inputs'!$B$7+MAX(0,$A56-'1. Inputs'!$C$26-('1. Inputs'!$B$30+'5. Diagnosing a miss'!$B$23)+1)^'1. Inputs'!$B$7)*('1. Inputs'!$B$9+'1. Inputs'!$B$10*MAX(0,$A56-'1. Inputs'!$C$26-('1. Inputs'!$B$30+'5. Diagnosing a miss'!$B$23)+1)/(MAX(0,$A56-'1. Inputs'!$C$26-('1. Inputs'!$B$30+'5. Diagnosing a miss'!$B$23)+1)+'1. Inputs'!$B$11))*'1. Inputs'!$B$13*(1+'1. Inputs'!$B$14*MIN(MAX(0,$A56-'1. Inputs'!$C$26-('1. Inputs'!$B$30+'5. Diagnosing a miss'!$B$23)+1),'1. Inputs'!$B$15))*'1. Inputs'!$B$31)</f>
        <v>2277690.13558436</v>
      </c>
      <c r="AF56" s="22" t="n">
        <f aca="false">IF(MAX(0,$A56-'1. Inputs'!$C$27-('1. Inputs'!$B$30+'5. Diagnosing a miss'!$B$23)+1)&lt;=0,0,'1. Inputs'!$B$27*'1. Inputs'!$B$5*MAX(0,$A56-'1. Inputs'!$C$27-('1. Inputs'!$B$30+'5. Diagnosing a miss'!$B$23)+1)^'1. Inputs'!$B$7/('1. Inputs'!$B$6^'1. Inputs'!$B$7+MAX(0,$A56-'1. Inputs'!$C$27-('1. Inputs'!$B$30+'5. Diagnosing a miss'!$B$23)+1)^'1. Inputs'!$B$7)*('1. Inputs'!$B$9+'1. Inputs'!$B$10*MAX(0,$A56-'1. Inputs'!$C$27-('1. Inputs'!$B$30+'5. Diagnosing a miss'!$B$23)+1)/(MAX(0,$A56-'1. Inputs'!$C$27-('1. Inputs'!$B$30+'5. Diagnosing a miss'!$B$23)+1)+'1. Inputs'!$B$11))*'1. Inputs'!$B$13*(1+'1. Inputs'!$B$14*MIN(MAX(0,$A56-'1. Inputs'!$C$27-('1. Inputs'!$B$30+'5. Diagnosing a miss'!$B$23)+1),'1. Inputs'!$B$15))*'1. Inputs'!$B$31)</f>
        <v>1617405.67178658</v>
      </c>
      <c r="AG56" s="22" t="n">
        <f aca="false">SUM(AC56:AF56)</f>
        <v>13298621.2132947</v>
      </c>
      <c r="AH56" s="22" t="n">
        <f aca="false">IF($A56=MAX('1. Inputs'!$B$17,1),'1. Inputs'!$B$3,0)+IF($A56-'1. Inputs'!$B$17&gt;=1,INDEX(AG$3:AG$86,$A56-'1. Inputs'!$B$17),0)</f>
        <v>12254416.1033711</v>
      </c>
      <c r="AI56" s="22" t="n">
        <f aca="false">AI55*(1-'1. Inputs'!$B$18)+AH56</f>
        <v>290018813.152719</v>
      </c>
      <c r="AJ56" s="22" t="n">
        <f aca="false">AI56*'1. Inputs'!$B$18</f>
        <v>2900188.13152719</v>
      </c>
      <c r="AK56" s="22" t="n">
        <f aca="false">AK55+AG56-AJ56</f>
        <v>441822774.07214</v>
      </c>
    </row>
    <row r="57" customFormat="false" ht="15" hidden="false" customHeight="false" outlineLevel="0" collapsed="false">
      <c r="A57" s="7" t="n">
        <v>55</v>
      </c>
      <c r="B57" s="22" t="n">
        <f aca="false">IF(MAX(0,$A57-'1. Inputs'!$C$24-'1. Inputs'!$B$30+1)&lt;=0,0,'1. Inputs'!$B$24*'1. Inputs'!$B$5*MAX(0,$A57-'1. Inputs'!$C$24-'1. Inputs'!$B$30+1)^'1. Inputs'!$B$7/('1. Inputs'!$B$6^'1. Inputs'!$B$7+MAX(0,$A57-'1. Inputs'!$C$24-'1. Inputs'!$B$30+1)^'1. Inputs'!$B$7)*('1. Inputs'!$B$9+'1. Inputs'!$B$10*MAX(0,$A57-'1. Inputs'!$C$24-'1. Inputs'!$B$30+1)/(MAX(0,$A57-'1. Inputs'!$C$24-'1. Inputs'!$B$30+1)+'1. Inputs'!$B$11))*'1. Inputs'!$B$13*(1+'1. Inputs'!$B$14*MIN(MAX(0,$A57-'1. Inputs'!$C$24-'1. Inputs'!$B$30+1),'1. Inputs'!$B$15))*'1. Inputs'!$B$31)</f>
        <v>4115860.57882939</v>
      </c>
      <c r="C57" s="22" t="n">
        <f aca="false">IF(MAX(0,$A57-'1. Inputs'!$C$25-'1. Inputs'!$B$30+1)&lt;=0,0,'1. Inputs'!$B$25*'1. Inputs'!$B$5*MAX(0,$A57-'1. Inputs'!$C$25-'1. Inputs'!$B$30+1)^'1. Inputs'!$B$7/('1. Inputs'!$B$6^'1. Inputs'!$B$7+MAX(0,$A57-'1. Inputs'!$C$25-'1. Inputs'!$B$30+1)^'1. Inputs'!$B$7)*('1. Inputs'!$B$9+'1. Inputs'!$B$10*MAX(0,$A57-'1. Inputs'!$C$25-'1. Inputs'!$B$30+1)/(MAX(0,$A57-'1. Inputs'!$C$25-'1. Inputs'!$B$30+1)+'1. Inputs'!$B$11))*'1. Inputs'!$B$13*(1+'1. Inputs'!$B$14*MIN(MAX(0,$A57-'1. Inputs'!$C$25-'1. Inputs'!$B$30+1),'1. Inputs'!$B$15))*'1. Inputs'!$B$31)</f>
        <v>5410681.89001487</v>
      </c>
      <c r="D57" s="22" t="n">
        <f aca="false">IF(MAX(0,$A57-'1. Inputs'!$C$26-'1. Inputs'!$B$30+1)&lt;=0,0,'1. Inputs'!$B$26*'1. Inputs'!$B$5*MAX(0,$A57-'1. Inputs'!$C$26-'1. Inputs'!$B$30+1)^'1. Inputs'!$B$7/('1. Inputs'!$B$6^'1. Inputs'!$B$7+MAX(0,$A57-'1. Inputs'!$C$26-'1. Inputs'!$B$30+1)^'1. Inputs'!$B$7)*('1. Inputs'!$B$9+'1. Inputs'!$B$10*MAX(0,$A57-'1. Inputs'!$C$26-'1. Inputs'!$B$30+1)/(MAX(0,$A57-'1. Inputs'!$C$26-'1. Inputs'!$B$30+1)+'1. Inputs'!$B$11))*'1. Inputs'!$B$13*(1+'1. Inputs'!$B$14*MIN(MAX(0,$A57-'1. Inputs'!$C$26-'1. Inputs'!$B$30+1),'1. Inputs'!$B$15))*'1. Inputs'!$B$31)</f>
        <v>2323295.02921348</v>
      </c>
      <c r="E57" s="22" t="n">
        <f aca="false">IF(MAX(0,$A57-'1. Inputs'!$C$27-'1. Inputs'!$B$30+1)&lt;=0,0,'1. Inputs'!$B$27*'1. Inputs'!$B$5*MAX(0,$A57-'1. Inputs'!$C$27-'1. Inputs'!$B$30+1)^'1. Inputs'!$B$7/('1. Inputs'!$B$6^'1. Inputs'!$B$7+MAX(0,$A57-'1. Inputs'!$C$27-'1. Inputs'!$B$30+1)^'1. Inputs'!$B$7)*('1. Inputs'!$B$9+'1. Inputs'!$B$10*MAX(0,$A57-'1. Inputs'!$C$27-'1. Inputs'!$B$30+1)/(MAX(0,$A57-'1. Inputs'!$C$27-'1. Inputs'!$B$30+1)+'1. Inputs'!$B$11))*'1. Inputs'!$B$13*(1+'1. Inputs'!$B$14*MIN(MAX(0,$A57-'1. Inputs'!$C$27-'1. Inputs'!$B$30+1),'1. Inputs'!$B$15))*'1. Inputs'!$B$31)</f>
        <v>1652084.05842027</v>
      </c>
      <c r="F57" s="22" t="n">
        <f aca="false">SUM(B57:E57)</f>
        <v>13501921.556478</v>
      </c>
      <c r="G57" s="22" t="n">
        <f aca="false">IF($A57=MAX('1. Inputs'!$B$17,1),'1. Inputs'!$B$3,0)+IF($A57-'1. Inputs'!$B$17&gt;=1,INDEX(F$3:F$86,$A57-'1. Inputs'!$B$17),0)</f>
        <v>12705037.0780467</v>
      </c>
      <c r="H57" s="22" t="n">
        <f aca="false">H56*(1-'1. Inputs'!$B$18)+G57</f>
        <v>330928214.497449</v>
      </c>
      <c r="I57" s="22" t="n">
        <f aca="false">H57*'1. Inputs'!$B$18</f>
        <v>3309282.1449745</v>
      </c>
      <c r="J57" s="22" t="n">
        <f aca="false">J56+F57-I57</f>
        <v>485852249.006118</v>
      </c>
      <c r="K57" s="22" t="n">
        <f aca="false">IF(MAX(0,$A57-'1. Inputs'!$C$24-'1. Inputs'!$B$30+1)&lt;=0,0,'1. Inputs'!$B$24*('1. Inputs'!$B$5-'5. Diagnosing a miss'!$B$21)*MAX(0,$A57-'1. Inputs'!$C$24-'1. Inputs'!$B$30+1)^'1. Inputs'!$B$7/('1. Inputs'!$B$6^'1. Inputs'!$B$7+MAX(0,$A57-'1. Inputs'!$C$24-'1. Inputs'!$B$30+1)^'1. Inputs'!$B$7)*('1. Inputs'!$B$9+'1. Inputs'!$B$10*MAX(0,$A57-'1. Inputs'!$C$24-'1. Inputs'!$B$30+1)/(MAX(0,$A57-'1. Inputs'!$C$24-'1. Inputs'!$B$30+1)+'1. Inputs'!$B$11))*'1. Inputs'!$B$13*(1+'1. Inputs'!$B$14*MIN(MAX(0,$A57-'1. Inputs'!$C$24-'1. Inputs'!$B$30+1),'1. Inputs'!$B$15))*'1. Inputs'!$B$31)</f>
        <v>3658542.73673724</v>
      </c>
      <c r="L57" s="22" t="n">
        <f aca="false">IF(MAX(0,$A57-'1. Inputs'!$C$25-'1. Inputs'!$B$30+1)&lt;=0,0,'1. Inputs'!$B$25*('1. Inputs'!$B$5-'5. Diagnosing a miss'!$B$21)*MAX(0,$A57-'1. Inputs'!$C$25-'1. Inputs'!$B$30+1)^'1. Inputs'!$B$7/('1. Inputs'!$B$6^'1. Inputs'!$B$7+MAX(0,$A57-'1. Inputs'!$C$25-'1. Inputs'!$B$30+1)^'1. Inputs'!$B$7)*('1. Inputs'!$B$9+'1. Inputs'!$B$10*MAX(0,$A57-'1. Inputs'!$C$25-'1. Inputs'!$B$30+1)/(MAX(0,$A57-'1. Inputs'!$C$25-'1. Inputs'!$B$30+1)+'1. Inputs'!$B$11))*'1. Inputs'!$B$13*(1+'1. Inputs'!$B$14*MIN(MAX(0,$A57-'1. Inputs'!$C$25-'1. Inputs'!$B$30+1),'1. Inputs'!$B$15))*'1. Inputs'!$B$31)</f>
        <v>4809495.01334655</v>
      </c>
      <c r="M57" s="22" t="n">
        <f aca="false">IF(MAX(0,$A57-'1. Inputs'!$C$26-'1. Inputs'!$B$30+1)&lt;=0,0,'1. Inputs'!$B$26*('1. Inputs'!$B$5-'5. Diagnosing a miss'!$B$21)*MAX(0,$A57-'1. Inputs'!$C$26-'1. Inputs'!$B$30+1)^'1. Inputs'!$B$7/('1. Inputs'!$B$6^'1. Inputs'!$B$7+MAX(0,$A57-'1. Inputs'!$C$26-'1. Inputs'!$B$30+1)^'1. Inputs'!$B$7)*('1. Inputs'!$B$9+'1. Inputs'!$B$10*MAX(0,$A57-'1. Inputs'!$C$26-'1. Inputs'!$B$30+1)/(MAX(0,$A57-'1. Inputs'!$C$26-'1. Inputs'!$B$30+1)+'1. Inputs'!$B$11))*'1. Inputs'!$B$13*(1+'1. Inputs'!$B$14*MIN(MAX(0,$A57-'1. Inputs'!$C$26-'1. Inputs'!$B$30+1),'1. Inputs'!$B$15))*'1. Inputs'!$B$31)</f>
        <v>2065151.13707865</v>
      </c>
      <c r="N57" s="22" t="n">
        <f aca="false">IF(MAX(0,$A57-'1. Inputs'!$C$27-'1. Inputs'!$B$30+1)&lt;=0,0,'1. Inputs'!$B$27*('1. Inputs'!$B$5-'5. Diagnosing a miss'!$B$21)*MAX(0,$A57-'1. Inputs'!$C$27-'1. Inputs'!$B$30+1)^'1. Inputs'!$B$7/('1. Inputs'!$B$6^'1. Inputs'!$B$7+MAX(0,$A57-'1. Inputs'!$C$27-'1. Inputs'!$B$30+1)^'1. Inputs'!$B$7)*('1. Inputs'!$B$9+'1. Inputs'!$B$10*MAX(0,$A57-'1. Inputs'!$C$27-'1. Inputs'!$B$30+1)/(MAX(0,$A57-'1. Inputs'!$C$27-'1. Inputs'!$B$30+1)+'1. Inputs'!$B$11))*'1. Inputs'!$B$13*(1+'1. Inputs'!$B$14*MIN(MAX(0,$A57-'1. Inputs'!$C$27-'1. Inputs'!$B$30+1),'1. Inputs'!$B$15))*'1. Inputs'!$B$31)</f>
        <v>1468519.16304024</v>
      </c>
      <c r="O57" s="22" t="n">
        <f aca="false">SUM(K57:N57)</f>
        <v>12001708.0502027</v>
      </c>
      <c r="P57" s="22" t="n">
        <f aca="false">IF($A57=MAX('1. Inputs'!$B$17,1),'1. Inputs'!$B$3,0)+IF($A57-'1. Inputs'!$B$17&gt;=1,INDEX(O$3:O$86,$A57-'1. Inputs'!$B$17),0)</f>
        <v>11293366.2915971</v>
      </c>
      <c r="Q57" s="22" t="n">
        <f aca="false">Q56*(1-'1. Inputs'!$B$18)+P57</f>
        <v>304976790.026095</v>
      </c>
      <c r="R57" s="22" t="n">
        <f aca="false">Q57*'1. Inputs'!$B$18</f>
        <v>3049767.90026095</v>
      </c>
      <c r="S57" s="22" t="n">
        <f aca="false">S56+O57-R57</f>
        <v>442578859.151294</v>
      </c>
      <c r="T57" s="22" t="n">
        <f aca="false">IF(MAX(0,$A57-'1. Inputs'!$C$24-'1. Inputs'!$B$30+1)&lt;=0,0,'1. Inputs'!$B$24*'1. Inputs'!$B$5*MAX(0,$A57-'1. Inputs'!$C$24-'1. Inputs'!$B$30+1)^'1. Inputs'!$B$7/('1. Inputs'!$B$6^'1. Inputs'!$B$7+MAX(0,$A57-'1. Inputs'!$C$24-'1. Inputs'!$B$30+1)^'1. Inputs'!$B$7)*('1. Inputs'!$B$9+'1. Inputs'!$B$10*MAX(0,$A57-'1. Inputs'!$C$24-'1. Inputs'!$B$30+1)/(MAX(0,$A57-'1. Inputs'!$C$24-'1. Inputs'!$B$30+1)+'1. Inputs'!$B$11))*'1. Inputs'!$B$13*(1+'1. Inputs'!$B$14*MIN(MAX(0,$A57-'1. Inputs'!$C$24-'1. Inputs'!$B$30+1),'1. Inputs'!$B$15))*('1. Inputs'!$B$31*'5. Diagnosing a miss'!$B$22))</f>
        <v>3704274.52094645</v>
      </c>
      <c r="U57" s="22" t="n">
        <f aca="false">IF(MAX(0,$A57-'1. Inputs'!$C$25-'1. Inputs'!$B$30+1)&lt;=0,0,'1. Inputs'!$B$25*'1. Inputs'!$B$5*MAX(0,$A57-'1. Inputs'!$C$25-'1. Inputs'!$B$30+1)^'1. Inputs'!$B$7/('1. Inputs'!$B$6^'1. Inputs'!$B$7+MAX(0,$A57-'1. Inputs'!$C$25-'1. Inputs'!$B$30+1)^'1. Inputs'!$B$7)*('1. Inputs'!$B$9+'1. Inputs'!$B$10*MAX(0,$A57-'1. Inputs'!$C$25-'1. Inputs'!$B$30+1)/(MAX(0,$A57-'1. Inputs'!$C$25-'1. Inputs'!$B$30+1)+'1. Inputs'!$B$11))*'1. Inputs'!$B$13*(1+'1. Inputs'!$B$14*MIN(MAX(0,$A57-'1. Inputs'!$C$25-'1. Inputs'!$B$30+1),'1. Inputs'!$B$15))*('1. Inputs'!$B$31*'5. Diagnosing a miss'!$B$22))</f>
        <v>4869613.70101339</v>
      </c>
      <c r="V57" s="22" t="n">
        <f aca="false">IF(MAX(0,$A57-'1. Inputs'!$C$26-'1. Inputs'!$B$30+1)&lt;=0,0,'1. Inputs'!$B$26*'1. Inputs'!$B$5*MAX(0,$A57-'1. Inputs'!$C$26-'1. Inputs'!$B$30+1)^'1. Inputs'!$B$7/('1. Inputs'!$B$6^'1. Inputs'!$B$7+MAX(0,$A57-'1. Inputs'!$C$26-'1. Inputs'!$B$30+1)^'1. Inputs'!$B$7)*('1. Inputs'!$B$9+'1. Inputs'!$B$10*MAX(0,$A57-'1. Inputs'!$C$26-'1. Inputs'!$B$30+1)/(MAX(0,$A57-'1. Inputs'!$C$26-'1. Inputs'!$B$30+1)+'1. Inputs'!$B$11))*'1. Inputs'!$B$13*(1+'1. Inputs'!$B$14*MIN(MAX(0,$A57-'1. Inputs'!$C$26-'1. Inputs'!$B$30+1),'1. Inputs'!$B$15))*('1. Inputs'!$B$31*'5. Diagnosing a miss'!$B$22))</f>
        <v>2090965.52629213</v>
      </c>
      <c r="W57" s="22" t="n">
        <f aca="false">IF(MAX(0,$A57-'1. Inputs'!$C$27-'1. Inputs'!$B$30+1)&lt;=0,0,'1. Inputs'!$B$27*'1. Inputs'!$B$5*MAX(0,$A57-'1. Inputs'!$C$27-'1. Inputs'!$B$30+1)^'1. Inputs'!$B$7/('1. Inputs'!$B$6^'1. Inputs'!$B$7+MAX(0,$A57-'1. Inputs'!$C$27-'1. Inputs'!$B$30+1)^'1. Inputs'!$B$7)*('1. Inputs'!$B$9+'1. Inputs'!$B$10*MAX(0,$A57-'1. Inputs'!$C$27-'1. Inputs'!$B$30+1)/(MAX(0,$A57-'1. Inputs'!$C$27-'1. Inputs'!$B$30+1)+'1. Inputs'!$B$11))*'1. Inputs'!$B$13*(1+'1. Inputs'!$B$14*MIN(MAX(0,$A57-'1. Inputs'!$C$27-'1. Inputs'!$B$30+1),'1. Inputs'!$B$15))*('1. Inputs'!$B$31*'5. Diagnosing a miss'!$B$22))</f>
        <v>1486875.65257824</v>
      </c>
      <c r="X57" s="22" t="n">
        <f aca="false">SUM(T57:W57)</f>
        <v>12151729.4008302</v>
      </c>
      <c r="Y57" s="22" t="n">
        <f aca="false">IF($A57=MAX('1. Inputs'!$B$17,1),'1. Inputs'!$B$3,0)+IF($A57-'1. Inputs'!$B$17&gt;=1,INDEX(X$3:X$86,$A57-'1. Inputs'!$B$17),0)</f>
        <v>11434533.370242</v>
      </c>
      <c r="Z57" s="22" t="n">
        <f aca="false">Z56*(1-'1. Inputs'!$B$18)+Y57</f>
        <v>307571932.47323</v>
      </c>
      <c r="AA57" s="22" t="n">
        <f aca="false">Z57*'1. Inputs'!$B$18</f>
        <v>3075719.3247323</v>
      </c>
      <c r="AB57" s="22" t="n">
        <f aca="false">AB56+X57-AA57</f>
        <v>446906198.136777</v>
      </c>
      <c r="AC57" s="22" t="n">
        <f aca="false">IF(MAX(0,$A57-'1. Inputs'!$C$24-('1. Inputs'!$B$30+'5. Diagnosing a miss'!$B$23)+1)&lt;=0,0,'1. Inputs'!$B$24*'1. Inputs'!$B$5*MAX(0,$A57-'1. Inputs'!$C$24-('1. Inputs'!$B$30+'5. Diagnosing a miss'!$B$23)+1)^'1. Inputs'!$B$7/('1. Inputs'!$B$6^'1. Inputs'!$B$7+MAX(0,$A57-'1. Inputs'!$C$24-('1. Inputs'!$B$30+'5. Diagnosing a miss'!$B$23)+1)^'1. Inputs'!$B$7)*('1. Inputs'!$B$9+'1. Inputs'!$B$10*MAX(0,$A57-'1. Inputs'!$C$24-('1. Inputs'!$B$30+'5. Diagnosing a miss'!$B$23)+1)/(MAX(0,$A57-'1. Inputs'!$C$24-('1. Inputs'!$B$30+'5. Diagnosing a miss'!$B$23)+1)+'1. Inputs'!$B$11))*'1. Inputs'!$B$13*(1+'1. Inputs'!$B$14*MIN(MAX(0,$A57-'1. Inputs'!$C$24-('1. Inputs'!$B$30+'5. Diagnosing a miss'!$B$23)+1),'1. Inputs'!$B$15))*'1. Inputs'!$B$31)</f>
        <v>4082890.6416442</v>
      </c>
      <c r="AD57" s="22" t="n">
        <f aca="false">IF(MAX(0,$A57-'1. Inputs'!$C$25-('1. Inputs'!$B$30+'5. Diagnosing a miss'!$B$23)+1)&lt;=0,0,'1. Inputs'!$B$25*'1. Inputs'!$B$5*MAX(0,$A57-'1. Inputs'!$C$25-('1. Inputs'!$B$30+'5. Diagnosing a miss'!$B$23)+1)^'1. Inputs'!$B$7/('1. Inputs'!$B$6^'1. Inputs'!$B$7+MAX(0,$A57-'1. Inputs'!$C$25-('1. Inputs'!$B$30+'5. Diagnosing a miss'!$B$23)+1)^'1. Inputs'!$B$7)*('1. Inputs'!$B$9+'1. Inputs'!$B$10*MAX(0,$A57-'1. Inputs'!$C$25-('1. Inputs'!$B$30+'5. Diagnosing a miss'!$B$23)+1)/(MAX(0,$A57-'1. Inputs'!$C$25-('1. Inputs'!$B$30+'5. Diagnosing a miss'!$B$23)+1)+'1. Inputs'!$B$11))*'1. Inputs'!$B$13*(1+'1. Inputs'!$B$14*MIN(MAX(0,$A57-'1. Inputs'!$C$25-('1. Inputs'!$B$30+'5. Diagnosing a miss'!$B$23)+1),'1. Inputs'!$B$15))*'1. Inputs'!$B$31)</f>
        <v>5353877.86451566</v>
      </c>
      <c r="AE57" s="22" t="n">
        <f aca="false">IF(MAX(0,$A57-'1. Inputs'!$C$26-('1. Inputs'!$B$30+'5. Diagnosing a miss'!$B$23)+1)&lt;=0,0,'1. Inputs'!$B$26*'1. Inputs'!$B$5*MAX(0,$A57-'1. Inputs'!$C$26-('1. Inputs'!$B$30+'5. Diagnosing a miss'!$B$23)+1)^'1. Inputs'!$B$7/('1. Inputs'!$B$6^'1. Inputs'!$B$7+MAX(0,$A57-'1. Inputs'!$C$26-('1. Inputs'!$B$30+'5. Diagnosing a miss'!$B$23)+1)^'1. Inputs'!$B$7)*('1. Inputs'!$B$9+'1. Inputs'!$B$10*MAX(0,$A57-'1. Inputs'!$C$26-('1. Inputs'!$B$30+'5. Diagnosing a miss'!$B$23)+1)/(MAX(0,$A57-'1. Inputs'!$C$26-('1. Inputs'!$B$30+'5. Diagnosing a miss'!$B$23)+1)+'1. Inputs'!$B$11))*'1. Inputs'!$B$13*(1+'1. Inputs'!$B$14*MIN(MAX(0,$A57-'1. Inputs'!$C$26-('1. Inputs'!$B$30+'5. Diagnosing a miss'!$B$23)+1),'1. Inputs'!$B$15))*'1. Inputs'!$B$31)</f>
        <v>2290176</v>
      </c>
      <c r="AF57" s="22" t="n">
        <f aca="false">IF(MAX(0,$A57-'1. Inputs'!$C$27-('1. Inputs'!$B$30+'5. Diagnosing a miss'!$B$23)+1)&lt;=0,0,'1. Inputs'!$B$27*'1. Inputs'!$B$5*MAX(0,$A57-'1. Inputs'!$C$27-('1. Inputs'!$B$30+'5. Diagnosing a miss'!$B$23)+1)^'1. Inputs'!$B$7/('1. Inputs'!$B$6^'1. Inputs'!$B$7+MAX(0,$A57-'1. Inputs'!$C$27-('1. Inputs'!$B$30+'5. Diagnosing a miss'!$B$23)+1)^'1. Inputs'!$B$7)*('1. Inputs'!$B$9+'1. Inputs'!$B$10*MAX(0,$A57-'1. Inputs'!$C$27-('1. Inputs'!$B$30+'5. Diagnosing a miss'!$B$23)+1)/(MAX(0,$A57-'1. Inputs'!$C$27-('1. Inputs'!$B$30+'5. Diagnosing a miss'!$B$23)+1)+'1. Inputs'!$B$11))*'1. Inputs'!$B$13*(1+'1. Inputs'!$B$14*MIN(MAX(0,$A57-'1. Inputs'!$C$27-('1. Inputs'!$B$30+'5. Diagnosing a miss'!$B$23)+1),'1. Inputs'!$B$15))*'1. Inputs'!$B$31)</f>
        <v>1626921.5254174</v>
      </c>
      <c r="AG57" s="22" t="n">
        <f aca="false">SUM(AC57:AF57)</f>
        <v>13353866.0315773</v>
      </c>
      <c r="AH57" s="22" t="n">
        <f aca="false">IF($A57=MAX('1. Inputs'!$B$17,1),'1. Inputs'!$B$3,0)+IF($A57-'1. Inputs'!$B$17&gt;=1,INDEX(AG$3:AG$86,$A57-'1. Inputs'!$B$17),0)</f>
        <v>12380650.5568336</v>
      </c>
      <c r="AI57" s="22" t="n">
        <f aca="false">AI56*(1-'1. Inputs'!$B$18)+AH57</f>
        <v>299499275.578025</v>
      </c>
      <c r="AJ57" s="22" t="n">
        <f aca="false">AI57*'1. Inputs'!$B$18</f>
        <v>2994992.75578025</v>
      </c>
      <c r="AK57" s="22" t="n">
        <f aca="false">AK56+AG57-AJ57</f>
        <v>452181647.347937</v>
      </c>
    </row>
    <row r="58" customFormat="false" ht="15" hidden="false" customHeight="false" outlineLevel="0" collapsed="false">
      <c r="A58" s="7" t="n">
        <v>56</v>
      </c>
      <c r="B58" s="22" t="n">
        <f aca="false">IF(MAX(0,$A58-'1. Inputs'!$C$24-'1. Inputs'!$B$30+1)&lt;=0,0,'1. Inputs'!$B$24*'1. Inputs'!$B$5*MAX(0,$A58-'1. Inputs'!$C$24-'1. Inputs'!$B$30+1)^'1. Inputs'!$B$7/('1. Inputs'!$B$6^'1. Inputs'!$B$7+MAX(0,$A58-'1. Inputs'!$C$24-'1. Inputs'!$B$30+1)^'1. Inputs'!$B$7)*('1. Inputs'!$B$9+'1. Inputs'!$B$10*MAX(0,$A58-'1. Inputs'!$C$24-'1. Inputs'!$B$30+1)/(MAX(0,$A58-'1. Inputs'!$C$24-'1. Inputs'!$B$30+1)+'1. Inputs'!$B$11))*'1. Inputs'!$B$13*(1+'1. Inputs'!$B$14*MIN(MAX(0,$A58-'1. Inputs'!$C$24-'1. Inputs'!$B$30+1),'1. Inputs'!$B$15))*'1. Inputs'!$B$31)</f>
        <v>4125842.69662921</v>
      </c>
      <c r="C58" s="22" t="n">
        <f aca="false">IF(MAX(0,$A58-'1. Inputs'!$C$25-'1. Inputs'!$B$30+1)&lt;=0,0,'1. Inputs'!$B$25*'1. Inputs'!$B$5*MAX(0,$A58-'1. Inputs'!$C$25-'1. Inputs'!$B$30+1)^'1. Inputs'!$B$7/('1. Inputs'!$B$6^'1. Inputs'!$B$7+MAX(0,$A58-'1. Inputs'!$C$25-'1. Inputs'!$B$30+1)^'1. Inputs'!$B$7)*('1. Inputs'!$B$9+'1. Inputs'!$B$10*MAX(0,$A58-'1. Inputs'!$C$25-'1. Inputs'!$B$30+1)/(MAX(0,$A58-'1. Inputs'!$C$25-'1. Inputs'!$B$30+1)+'1. Inputs'!$B$11))*'1. Inputs'!$B$13*(1+'1. Inputs'!$B$14*MIN(MAX(0,$A58-'1. Inputs'!$C$25-'1. Inputs'!$B$30+1),'1. Inputs'!$B$15))*'1. Inputs'!$B$31)</f>
        <v>5427692.30769231</v>
      </c>
      <c r="D58" s="22" t="n">
        <f aca="false">IF(MAX(0,$A58-'1. Inputs'!$C$26-'1. Inputs'!$B$30+1)&lt;=0,0,'1. Inputs'!$B$26*'1. Inputs'!$B$5*MAX(0,$A58-'1. Inputs'!$C$26-'1. Inputs'!$B$30+1)^'1. Inputs'!$B$7/('1. Inputs'!$B$6^'1. Inputs'!$B$7+MAX(0,$A58-'1. Inputs'!$C$26-'1. Inputs'!$B$30+1)^'1. Inputs'!$B$7)*('1. Inputs'!$B$9+'1. Inputs'!$B$10*MAX(0,$A58-'1. Inputs'!$C$26-'1. Inputs'!$B$30+1)/(MAX(0,$A58-'1. Inputs'!$C$26-'1. Inputs'!$B$30+1)+'1. Inputs'!$B$11))*'1. Inputs'!$B$13*(1+'1. Inputs'!$B$14*MIN(MAX(0,$A58-'1. Inputs'!$C$26-'1. Inputs'!$B$30+1),'1. Inputs'!$B$15))*'1. Inputs'!$B$31)</f>
        <v>2333080.82663011</v>
      </c>
      <c r="E58" s="22" t="n">
        <f aca="false">IF(MAX(0,$A58-'1. Inputs'!$C$27-'1. Inputs'!$B$30+1)&lt;=0,0,'1. Inputs'!$B$27*'1. Inputs'!$B$5*MAX(0,$A58-'1. Inputs'!$C$27-'1. Inputs'!$B$30+1)^'1. Inputs'!$B$7/('1. Inputs'!$B$6^'1. Inputs'!$B$7+MAX(0,$A58-'1. Inputs'!$C$27-'1. Inputs'!$B$30+1)^'1. Inputs'!$B$7)*('1. Inputs'!$B$9+'1. Inputs'!$B$10*MAX(0,$A58-'1. Inputs'!$C$27-'1. Inputs'!$B$30+1)/(MAX(0,$A58-'1. Inputs'!$C$27-'1. Inputs'!$B$30+1)+'1. Inputs'!$B$11))*'1. Inputs'!$B$13*(1+'1. Inputs'!$B$14*MIN(MAX(0,$A58-'1. Inputs'!$C$27-'1. Inputs'!$B$30+1),'1. Inputs'!$B$15))*'1. Inputs'!$B$31)</f>
        <v>1659496.4494382</v>
      </c>
      <c r="F58" s="22" t="n">
        <f aca="false">SUM(B58:E58)</f>
        <v>13546112.2803898</v>
      </c>
      <c r="G58" s="22" t="n">
        <f aca="false">IF($A58=MAX('1. Inputs'!$B$17,1),'1. Inputs'!$B$3,0)+IF($A58-'1. Inputs'!$B$17&gt;=1,INDEX(F$3:F$86,$A58-'1. Inputs'!$B$17),0)</f>
        <v>12797973.2562863</v>
      </c>
      <c r="H58" s="22" t="n">
        <f aca="false">H57*(1-'1. Inputs'!$B$18)+G58</f>
        <v>340416905.608761</v>
      </c>
      <c r="I58" s="22" t="n">
        <f aca="false">H58*'1. Inputs'!$B$18</f>
        <v>3404169.05608761</v>
      </c>
      <c r="J58" s="22" t="n">
        <f aca="false">J57+F58-I58</f>
        <v>495994192.23042</v>
      </c>
      <c r="K58" s="22" t="n">
        <f aca="false">IF(MAX(0,$A58-'1. Inputs'!$C$24-'1. Inputs'!$B$30+1)&lt;=0,0,'1. Inputs'!$B$24*('1. Inputs'!$B$5-'5. Diagnosing a miss'!$B$21)*MAX(0,$A58-'1. Inputs'!$C$24-'1. Inputs'!$B$30+1)^'1. Inputs'!$B$7/('1. Inputs'!$B$6^'1. Inputs'!$B$7+MAX(0,$A58-'1. Inputs'!$C$24-'1. Inputs'!$B$30+1)^'1. Inputs'!$B$7)*('1. Inputs'!$B$9+'1. Inputs'!$B$10*MAX(0,$A58-'1. Inputs'!$C$24-'1. Inputs'!$B$30+1)/(MAX(0,$A58-'1. Inputs'!$C$24-'1. Inputs'!$B$30+1)+'1. Inputs'!$B$11))*'1. Inputs'!$B$13*(1+'1. Inputs'!$B$14*MIN(MAX(0,$A58-'1. Inputs'!$C$24-'1. Inputs'!$B$30+1),'1. Inputs'!$B$15))*'1. Inputs'!$B$31)</f>
        <v>3667415.73033708</v>
      </c>
      <c r="L58" s="22" t="n">
        <f aca="false">IF(MAX(0,$A58-'1. Inputs'!$C$25-'1. Inputs'!$B$30+1)&lt;=0,0,'1. Inputs'!$B$25*('1. Inputs'!$B$5-'5. Diagnosing a miss'!$B$21)*MAX(0,$A58-'1. Inputs'!$C$25-'1. Inputs'!$B$30+1)^'1. Inputs'!$B$7/('1. Inputs'!$B$6^'1. Inputs'!$B$7+MAX(0,$A58-'1. Inputs'!$C$25-'1. Inputs'!$B$30+1)^'1. Inputs'!$B$7)*('1. Inputs'!$B$9+'1. Inputs'!$B$10*MAX(0,$A58-'1. Inputs'!$C$25-'1. Inputs'!$B$30+1)/(MAX(0,$A58-'1. Inputs'!$C$25-'1. Inputs'!$B$30+1)+'1. Inputs'!$B$11))*'1. Inputs'!$B$13*(1+'1. Inputs'!$B$14*MIN(MAX(0,$A58-'1. Inputs'!$C$25-'1. Inputs'!$B$30+1),'1. Inputs'!$B$15))*'1. Inputs'!$B$31)</f>
        <v>4824615.38461538</v>
      </c>
      <c r="M58" s="22" t="n">
        <f aca="false">IF(MAX(0,$A58-'1. Inputs'!$C$26-'1. Inputs'!$B$30+1)&lt;=0,0,'1. Inputs'!$B$26*('1. Inputs'!$B$5-'5. Diagnosing a miss'!$B$21)*MAX(0,$A58-'1. Inputs'!$C$26-'1. Inputs'!$B$30+1)^'1. Inputs'!$B$7/('1. Inputs'!$B$6^'1. Inputs'!$B$7+MAX(0,$A58-'1. Inputs'!$C$26-'1. Inputs'!$B$30+1)^'1. Inputs'!$B$7)*('1. Inputs'!$B$9+'1. Inputs'!$B$10*MAX(0,$A58-'1. Inputs'!$C$26-'1. Inputs'!$B$30+1)/(MAX(0,$A58-'1. Inputs'!$C$26-'1. Inputs'!$B$30+1)+'1. Inputs'!$B$11))*'1. Inputs'!$B$13*(1+'1. Inputs'!$B$14*MIN(MAX(0,$A58-'1. Inputs'!$C$26-'1. Inputs'!$B$30+1),'1. Inputs'!$B$15))*'1. Inputs'!$B$31)</f>
        <v>2073849.62367121</v>
      </c>
      <c r="N58" s="22" t="n">
        <f aca="false">IF(MAX(0,$A58-'1. Inputs'!$C$27-'1. Inputs'!$B$30+1)&lt;=0,0,'1. Inputs'!$B$27*('1. Inputs'!$B$5-'5. Diagnosing a miss'!$B$21)*MAX(0,$A58-'1. Inputs'!$C$27-'1. Inputs'!$B$30+1)^'1. Inputs'!$B$7/('1. Inputs'!$B$6^'1. Inputs'!$B$7+MAX(0,$A58-'1. Inputs'!$C$27-'1. Inputs'!$B$30+1)^'1. Inputs'!$B$7)*('1. Inputs'!$B$9+'1. Inputs'!$B$10*MAX(0,$A58-'1. Inputs'!$C$27-'1. Inputs'!$B$30+1)/(MAX(0,$A58-'1. Inputs'!$C$27-'1. Inputs'!$B$30+1)+'1. Inputs'!$B$11))*'1. Inputs'!$B$13*(1+'1. Inputs'!$B$14*MIN(MAX(0,$A58-'1. Inputs'!$C$27-'1. Inputs'!$B$30+1),'1. Inputs'!$B$15))*'1. Inputs'!$B$31)</f>
        <v>1475107.95505618</v>
      </c>
      <c r="O58" s="22" t="n">
        <f aca="false">SUM(K58:N58)</f>
        <v>12040988.6936799</v>
      </c>
      <c r="P58" s="22" t="n">
        <f aca="false">IF($A58=MAX('1. Inputs'!$B$17,1),'1. Inputs'!$B$3,0)+IF($A58-'1. Inputs'!$B$17&gt;=1,INDEX(O$3:O$86,$A58-'1. Inputs'!$B$17),0)</f>
        <v>11375976.2278101</v>
      </c>
      <c r="Q58" s="22" t="n">
        <f aca="false">Q57*(1-'1. Inputs'!$B$18)+P58</f>
        <v>313302998.353644</v>
      </c>
      <c r="R58" s="22" t="n">
        <f aca="false">Q58*'1. Inputs'!$B$18</f>
        <v>3133029.98353644</v>
      </c>
      <c r="S58" s="22" t="n">
        <f aca="false">S57+O58-R58</f>
        <v>451486817.861438</v>
      </c>
      <c r="T58" s="22" t="n">
        <f aca="false">IF(MAX(0,$A58-'1. Inputs'!$C$24-'1. Inputs'!$B$30+1)&lt;=0,0,'1. Inputs'!$B$24*'1. Inputs'!$B$5*MAX(0,$A58-'1. Inputs'!$C$24-'1. Inputs'!$B$30+1)^'1. Inputs'!$B$7/('1. Inputs'!$B$6^'1. Inputs'!$B$7+MAX(0,$A58-'1. Inputs'!$C$24-'1. Inputs'!$B$30+1)^'1. Inputs'!$B$7)*('1. Inputs'!$B$9+'1. Inputs'!$B$10*MAX(0,$A58-'1. Inputs'!$C$24-'1. Inputs'!$B$30+1)/(MAX(0,$A58-'1. Inputs'!$C$24-'1. Inputs'!$B$30+1)+'1. Inputs'!$B$11))*'1. Inputs'!$B$13*(1+'1. Inputs'!$B$14*MIN(MAX(0,$A58-'1. Inputs'!$C$24-'1. Inputs'!$B$30+1),'1. Inputs'!$B$15))*('1. Inputs'!$B$31*'5. Diagnosing a miss'!$B$22))</f>
        <v>3713258.42696629</v>
      </c>
      <c r="U58" s="22" t="n">
        <f aca="false">IF(MAX(0,$A58-'1. Inputs'!$C$25-'1. Inputs'!$B$30+1)&lt;=0,0,'1. Inputs'!$B$25*'1. Inputs'!$B$5*MAX(0,$A58-'1. Inputs'!$C$25-'1. Inputs'!$B$30+1)^'1. Inputs'!$B$7/('1. Inputs'!$B$6^'1. Inputs'!$B$7+MAX(0,$A58-'1. Inputs'!$C$25-'1. Inputs'!$B$30+1)^'1. Inputs'!$B$7)*('1. Inputs'!$B$9+'1. Inputs'!$B$10*MAX(0,$A58-'1. Inputs'!$C$25-'1. Inputs'!$B$30+1)/(MAX(0,$A58-'1. Inputs'!$C$25-'1. Inputs'!$B$30+1)+'1. Inputs'!$B$11))*'1. Inputs'!$B$13*(1+'1. Inputs'!$B$14*MIN(MAX(0,$A58-'1. Inputs'!$C$25-'1. Inputs'!$B$30+1),'1. Inputs'!$B$15))*('1. Inputs'!$B$31*'5. Diagnosing a miss'!$B$22))</f>
        <v>4884923.07692308</v>
      </c>
      <c r="V58" s="22" t="n">
        <f aca="false">IF(MAX(0,$A58-'1. Inputs'!$C$26-'1. Inputs'!$B$30+1)&lt;=0,0,'1. Inputs'!$B$26*'1. Inputs'!$B$5*MAX(0,$A58-'1. Inputs'!$C$26-'1. Inputs'!$B$30+1)^'1. Inputs'!$B$7/('1. Inputs'!$B$6^'1. Inputs'!$B$7+MAX(0,$A58-'1. Inputs'!$C$26-'1. Inputs'!$B$30+1)^'1. Inputs'!$B$7)*('1. Inputs'!$B$9+'1. Inputs'!$B$10*MAX(0,$A58-'1. Inputs'!$C$26-'1. Inputs'!$B$30+1)/(MAX(0,$A58-'1. Inputs'!$C$26-'1. Inputs'!$B$30+1)+'1. Inputs'!$B$11))*'1. Inputs'!$B$13*(1+'1. Inputs'!$B$14*MIN(MAX(0,$A58-'1. Inputs'!$C$26-'1. Inputs'!$B$30+1),'1. Inputs'!$B$15))*('1. Inputs'!$B$31*'5. Diagnosing a miss'!$B$22))</f>
        <v>2099772.7439671</v>
      </c>
      <c r="W58" s="22" t="n">
        <f aca="false">IF(MAX(0,$A58-'1. Inputs'!$C$27-'1. Inputs'!$B$30+1)&lt;=0,0,'1. Inputs'!$B$27*'1. Inputs'!$B$5*MAX(0,$A58-'1. Inputs'!$C$27-'1. Inputs'!$B$30+1)^'1. Inputs'!$B$7/('1. Inputs'!$B$6^'1. Inputs'!$B$7+MAX(0,$A58-'1. Inputs'!$C$27-'1. Inputs'!$B$30+1)^'1. Inputs'!$B$7)*('1. Inputs'!$B$9+'1. Inputs'!$B$10*MAX(0,$A58-'1. Inputs'!$C$27-'1. Inputs'!$B$30+1)/(MAX(0,$A58-'1. Inputs'!$C$27-'1. Inputs'!$B$30+1)+'1. Inputs'!$B$11))*'1. Inputs'!$B$13*(1+'1. Inputs'!$B$14*MIN(MAX(0,$A58-'1. Inputs'!$C$27-'1. Inputs'!$B$30+1),'1. Inputs'!$B$15))*('1. Inputs'!$B$31*'5. Diagnosing a miss'!$B$22))</f>
        <v>1493546.80449438</v>
      </c>
      <c r="X58" s="22" t="n">
        <f aca="false">SUM(T58:W58)</f>
        <v>12191501.0523509</v>
      </c>
      <c r="Y58" s="22" t="n">
        <f aca="false">IF($A58=MAX('1. Inputs'!$B$17,1),'1. Inputs'!$B$3,0)+IF($A58-'1. Inputs'!$B$17&gt;=1,INDEX(X$3:X$86,$A58-'1. Inputs'!$B$17),0)</f>
        <v>11518175.9306577</v>
      </c>
      <c r="Z58" s="22" t="n">
        <f aca="false">Z57*(1-'1. Inputs'!$B$18)+Y58</f>
        <v>316014389.079156</v>
      </c>
      <c r="AA58" s="22" t="n">
        <f aca="false">Z58*'1. Inputs'!$B$18</f>
        <v>3160143.89079156</v>
      </c>
      <c r="AB58" s="22" t="n">
        <f aca="false">AB57+X58-AA58</f>
        <v>455937555.298336</v>
      </c>
      <c r="AC58" s="22" t="n">
        <f aca="false">IF(MAX(0,$A58-'1. Inputs'!$C$24-('1. Inputs'!$B$30+'5. Diagnosing a miss'!$B$23)+1)&lt;=0,0,'1. Inputs'!$B$24*'1. Inputs'!$B$5*MAX(0,$A58-'1. Inputs'!$C$24-('1. Inputs'!$B$30+'5. Diagnosing a miss'!$B$23)+1)^'1. Inputs'!$B$7/('1. Inputs'!$B$6^'1. Inputs'!$B$7+MAX(0,$A58-'1. Inputs'!$C$24-('1. Inputs'!$B$30+'5. Diagnosing a miss'!$B$23)+1)^'1. Inputs'!$B$7)*('1. Inputs'!$B$9+'1. Inputs'!$B$10*MAX(0,$A58-'1. Inputs'!$C$24-('1. Inputs'!$B$30+'5. Diagnosing a miss'!$B$23)+1)/(MAX(0,$A58-'1. Inputs'!$C$24-('1. Inputs'!$B$30+'5. Diagnosing a miss'!$B$23)+1)+'1. Inputs'!$B$11))*'1. Inputs'!$B$13*(1+'1. Inputs'!$B$14*MIN(MAX(0,$A58-'1. Inputs'!$C$24-('1. Inputs'!$B$30+'5. Diagnosing a miss'!$B$23)+1),'1. Inputs'!$B$15))*'1. Inputs'!$B$31)</f>
        <v>4094419.95774903</v>
      </c>
      <c r="AD58" s="22" t="n">
        <f aca="false">IF(MAX(0,$A58-'1. Inputs'!$C$25-('1. Inputs'!$B$30+'5. Diagnosing a miss'!$B$23)+1)&lt;=0,0,'1. Inputs'!$B$25*'1. Inputs'!$B$5*MAX(0,$A58-'1. Inputs'!$C$25-('1. Inputs'!$B$30+'5. Diagnosing a miss'!$B$23)+1)^'1. Inputs'!$B$7/('1. Inputs'!$B$6^'1. Inputs'!$B$7+MAX(0,$A58-'1. Inputs'!$C$25-('1. Inputs'!$B$30+'5. Diagnosing a miss'!$B$23)+1)^'1. Inputs'!$B$7)*('1. Inputs'!$B$9+'1. Inputs'!$B$10*MAX(0,$A58-'1. Inputs'!$C$25-('1. Inputs'!$B$30+'5. Diagnosing a miss'!$B$23)+1)/(MAX(0,$A58-'1. Inputs'!$C$25-('1. Inputs'!$B$30+'5. Diagnosing a miss'!$B$23)+1)+'1. Inputs'!$B$11))*'1. Inputs'!$B$13*(1+'1. Inputs'!$B$14*MIN(MAX(0,$A58-'1. Inputs'!$C$25-('1. Inputs'!$B$30+'5. Diagnosing a miss'!$B$23)+1),'1. Inputs'!$B$15))*'1. Inputs'!$B$31)</f>
        <v>5373849.6</v>
      </c>
      <c r="AE58" s="22" t="n">
        <f aca="false">IF(MAX(0,$A58-'1. Inputs'!$C$26-('1. Inputs'!$B$30+'5. Diagnosing a miss'!$B$23)+1)&lt;=0,0,'1. Inputs'!$B$26*'1. Inputs'!$B$5*MAX(0,$A58-'1. Inputs'!$C$26-('1. Inputs'!$B$30+'5. Diagnosing a miss'!$B$23)+1)^'1. Inputs'!$B$7/('1. Inputs'!$B$6^'1. Inputs'!$B$7+MAX(0,$A58-'1. Inputs'!$C$26-('1. Inputs'!$B$30+'5. Diagnosing a miss'!$B$23)+1)^'1. Inputs'!$B$7)*('1. Inputs'!$B$9+'1. Inputs'!$B$10*MAX(0,$A58-'1. Inputs'!$C$26-('1. Inputs'!$B$30+'5. Diagnosing a miss'!$B$23)+1)/(MAX(0,$A58-'1. Inputs'!$C$26-('1. Inputs'!$B$30+'5. Diagnosing a miss'!$B$23)+1)+'1. Inputs'!$B$11))*'1. Inputs'!$B$13*(1+'1. Inputs'!$B$14*MIN(MAX(0,$A58-'1. Inputs'!$C$26-('1. Inputs'!$B$30+'5. Diagnosing a miss'!$B$23)+1),'1. Inputs'!$B$15))*'1. Inputs'!$B$31)</f>
        <v>2301897.15656776</v>
      </c>
      <c r="AF58" s="22" t="n">
        <f aca="false">IF(MAX(0,$A58-'1. Inputs'!$C$27-('1. Inputs'!$B$30+'5. Diagnosing a miss'!$B$23)+1)&lt;=0,0,'1. Inputs'!$B$27*'1. Inputs'!$B$5*MAX(0,$A58-'1. Inputs'!$C$27-('1. Inputs'!$B$30+'5. Diagnosing a miss'!$B$23)+1)^'1. Inputs'!$B$7/('1. Inputs'!$B$6^'1. Inputs'!$B$7+MAX(0,$A58-'1. Inputs'!$C$27-('1. Inputs'!$B$30+'5. Diagnosing a miss'!$B$23)+1)^'1. Inputs'!$B$7)*('1. Inputs'!$B$9+'1. Inputs'!$B$10*MAX(0,$A58-'1. Inputs'!$C$27-('1. Inputs'!$B$30+'5. Diagnosing a miss'!$B$23)+1)/(MAX(0,$A58-'1. Inputs'!$C$27-('1. Inputs'!$B$30+'5. Diagnosing a miss'!$B$23)+1)+'1. Inputs'!$B$11))*'1. Inputs'!$B$13*(1+'1. Inputs'!$B$14*MIN(MAX(0,$A58-'1. Inputs'!$C$27-('1. Inputs'!$B$30+'5. Diagnosing a miss'!$B$23)+1),'1. Inputs'!$B$15))*'1. Inputs'!$B$31)</f>
        <v>1635840</v>
      </c>
      <c r="AG58" s="22" t="n">
        <f aca="false">SUM(AC58:AF58)</f>
        <v>13406006.7143168</v>
      </c>
      <c r="AH58" s="22" t="n">
        <f aca="false">IF($A58=MAX('1. Inputs'!$B$17,1),'1. Inputs'!$B$3,0)+IF($A58-'1. Inputs'!$B$17&gt;=1,INDEX(AG$3:AG$86,$A58-'1. Inputs'!$B$17),0)</f>
        <v>12497192.7754761</v>
      </c>
      <c r="AI58" s="22" t="n">
        <f aca="false">AI57*(1-'1. Inputs'!$B$18)+AH58</f>
        <v>309001475.597721</v>
      </c>
      <c r="AJ58" s="22" t="n">
        <f aca="false">AI58*'1. Inputs'!$B$18</f>
        <v>3090014.75597721</v>
      </c>
      <c r="AK58" s="22" t="n">
        <f aca="false">AK57+AG58-AJ58</f>
        <v>462497639.306277</v>
      </c>
    </row>
    <row r="59" customFormat="false" ht="15" hidden="false" customHeight="false" outlineLevel="0" collapsed="false">
      <c r="A59" s="7" t="n">
        <v>57</v>
      </c>
      <c r="B59" s="22" t="n">
        <f aca="false">IF(MAX(0,$A59-'1. Inputs'!$C$24-'1. Inputs'!$B$30+1)&lt;=0,0,'1. Inputs'!$B$24*'1. Inputs'!$B$5*MAX(0,$A59-'1. Inputs'!$C$24-'1. Inputs'!$B$30+1)^'1. Inputs'!$B$7/('1. Inputs'!$B$6^'1. Inputs'!$B$7+MAX(0,$A59-'1. Inputs'!$C$24-'1. Inputs'!$B$30+1)^'1. Inputs'!$B$7)*('1. Inputs'!$B$9+'1. Inputs'!$B$10*MAX(0,$A59-'1. Inputs'!$C$24-'1. Inputs'!$B$30+1)/(MAX(0,$A59-'1. Inputs'!$C$24-'1. Inputs'!$B$30+1)+'1. Inputs'!$B$11))*'1. Inputs'!$B$13*(1+'1. Inputs'!$B$14*MIN(MAX(0,$A59-'1. Inputs'!$C$24-'1. Inputs'!$B$30+1),'1. Inputs'!$B$15))*'1. Inputs'!$B$31)</f>
        <v>4135375.01095019</v>
      </c>
      <c r="C59" s="22" t="n">
        <f aca="false">IF(MAX(0,$A59-'1. Inputs'!$C$25-'1. Inputs'!$B$30+1)&lt;=0,0,'1. Inputs'!$B$25*'1. Inputs'!$B$5*MAX(0,$A59-'1. Inputs'!$C$25-'1. Inputs'!$B$30+1)^'1. Inputs'!$B$7/('1. Inputs'!$B$6^'1. Inputs'!$B$7+MAX(0,$A59-'1. Inputs'!$C$25-'1. Inputs'!$B$30+1)^'1. Inputs'!$B$7)*('1. Inputs'!$B$9+'1. Inputs'!$B$10*MAX(0,$A59-'1. Inputs'!$C$25-'1. Inputs'!$B$30+1)/(MAX(0,$A59-'1. Inputs'!$C$25-'1. Inputs'!$B$30+1)+'1. Inputs'!$B$11))*'1. Inputs'!$B$13*(1+'1. Inputs'!$B$14*MIN(MAX(0,$A59-'1. Inputs'!$C$25-'1. Inputs'!$B$30+1),'1. Inputs'!$B$15))*'1. Inputs'!$B$31)</f>
        <v>5443854.18885893</v>
      </c>
      <c r="D59" s="22" t="n">
        <f aca="false">IF(MAX(0,$A59-'1. Inputs'!$C$26-'1. Inputs'!$B$30+1)&lt;=0,0,'1. Inputs'!$B$26*'1. Inputs'!$B$5*MAX(0,$A59-'1. Inputs'!$C$26-'1. Inputs'!$B$30+1)^'1. Inputs'!$B$7/('1. Inputs'!$B$6^'1. Inputs'!$B$7+MAX(0,$A59-'1. Inputs'!$C$26-'1. Inputs'!$B$30+1)^'1. Inputs'!$B$7)*('1. Inputs'!$B$9+'1. Inputs'!$B$10*MAX(0,$A59-'1. Inputs'!$C$26-'1. Inputs'!$B$30+1)/(MAX(0,$A59-'1. Inputs'!$C$26-'1. Inputs'!$B$30+1)+'1. Inputs'!$B$11))*'1. Inputs'!$B$13*(1+'1. Inputs'!$B$14*MIN(MAX(0,$A59-'1. Inputs'!$C$26-'1. Inputs'!$B$30+1),'1. Inputs'!$B$15))*'1. Inputs'!$B$31)</f>
        <v>2342321.5657256</v>
      </c>
      <c r="E59" s="22" t="n">
        <f aca="false">IF(MAX(0,$A59-'1. Inputs'!$C$27-'1. Inputs'!$B$30+1)&lt;=0,0,'1. Inputs'!$B$27*'1. Inputs'!$B$5*MAX(0,$A59-'1. Inputs'!$C$27-'1. Inputs'!$B$30+1)^'1. Inputs'!$B$7/('1. Inputs'!$B$6^'1. Inputs'!$B$7+MAX(0,$A59-'1. Inputs'!$C$27-'1. Inputs'!$B$30+1)^'1. Inputs'!$B$7)*('1. Inputs'!$B$9+'1. Inputs'!$B$10*MAX(0,$A59-'1. Inputs'!$C$27-'1. Inputs'!$B$30+1)/(MAX(0,$A59-'1. Inputs'!$C$27-'1. Inputs'!$B$30+1)+'1. Inputs'!$B$11))*'1. Inputs'!$B$13*(1+'1. Inputs'!$B$14*MIN(MAX(0,$A59-'1. Inputs'!$C$27-'1. Inputs'!$B$30+1),'1. Inputs'!$B$15))*'1. Inputs'!$B$31)</f>
        <v>1666486.30473579</v>
      </c>
      <c r="F59" s="22" t="n">
        <f aca="false">SUM(B59:E59)</f>
        <v>13588037.0702705</v>
      </c>
      <c r="G59" s="22" t="n">
        <f aca="false">IF($A59=MAX('1. Inputs'!$B$17,1),'1. Inputs'!$B$3,0)+IF($A59-'1. Inputs'!$B$17&gt;=1,INDEX(F$3:F$86,$A59-'1. Inputs'!$B$17),0)</f>
        <v>12884515.3859754</v>
      </c>
      <c r="H59" s="22" t="n">
        <f aca="false">H58*(1-'1. Inputs'!$B$18)+G59</f>
        <v>349897251.938649</v>
      </c>
      <c r="I59" s="22" t="n">
        <f aca="false">H59*'1. Inputs'!$B$18</f>
        <v>3498972.51938649</v>
      </c>
      <c r="J59" s="22" t="n">
        <f aca="false">J58+F59-I59</f>
        <v>506083256.781304</v>
      </c>
      <c r="K59" s="22" t="n">
        <f aca="false">IF(MAX(0,$A59-'1. Inputs'!$C$24-'1. Inputs'!$B$30+1)&lt;=0,0,'1. Inputs'!$B$24*('1. Inputs'!$B$5-'5. Diagnosing a miss'!$B$21)*MAX(0,$A59-'1. Inputs'!$C$24-'1. Inputs'!$B$30+1)^'1. Inputs'!$B$7/('1. Inputs'!$B$6^'1. Inputs'!$B$7+MAX(0,$A59-'1. Inputs'!$C$24-'1. Inputs'!$B$30+1)^'1. Inputs'!$B$7)*('1. Inputs'!$B$9+'1. Inputs'!$B$10*MAX(0,$A59-'1. Inputs'!$C$24-'1. Inputs'!$B$30+1)/(MAX(0,$A59-'1. Inputs'!$C$24-'1. Inputs'!$B$30+1)+'1. Inputs'!$B$11))*'1. Inputs'!$B$13*(1+'1. Inputs'!$B$14*MIN(MAX(0,$A59-'1. Inputs'!$C$24-'1. Inputs'!$B$30+1),'1. Inputs'!$B$15))*'1. Inputs'!$B$31)</f>
        <v>3675888.8986224</v>
      </c>
      <c r="L59" s="22" t="n">
        <f aca="false">IF(MAX(0,$A59-'1. Inputs'!$C$25-'1. Inputs'!$B$30+1)&lt;=0,0,'1. Inputs'!$B$25*('1. Inputs'!$B$5-'5. Diagnosing a miss'!$B$21)*MAX(0,$A59-'1. Inputs'!$C$25-'1. Inputs'!$B$30+1)^'1. Inputs'!$B$7/('1. Inputs'!$B$6^'1. Inputs'!$B$7+MAX(0,$A59-'1. Inputs'!$C$25-'1. Inputs'!$B$30+1)^'1. Inputs'!$B$7)*('1. Inputs'!$B$9+'1. Inputs'!$B$10*MAX(0,$A59-'1. Inputs'!$C$25-'1. Inputs'!$B$30+1)/(MAX(0,$A59-'1. Inputs'!$C$25-'1. Inputs'!$B$30+1)+'1. Inputs'!$B$11))*'1. Inputs'!$B$13*(1+'1. Inputs'!$B$14*MIN(MAX(0,$A59-'1. Inputs'!$C$25-'1. Inputs'!$B$30+1),'1. Inputs'!$B$15))*'1. Inputs'!$B$31)</f>
        <v>4838981.50120794</v>
      </c>
      <c r="M59" s="22" t="n">
        <f aca="false">IF(MAX(0,$A59-'1. Inputs'!$C$26-'1. Inputs'!$B$30+1)&lt;=0,0,'1. Inputs'!$B$26*('1. Inputs'!$B$5-'5. Diagnosing a miss'!$B$21)*MAX(0,$A59-'1. Inputs'!$C$26-'1. Inputs'!$B$30+1)^'1. Inputs'!$B$7/('1. Inputs'!$B$6^'1. Inputs'!$B$7+MAX(0,$A59-'1. Inputs'!$C$26-'1. Inputs'!$B$30+1)^'1. Inputs'!$B$7)*('1. Inputs'!$B$9+'1. Inputs'!$B$10*MAX(0,$A59-'1. Inputs'!$C$26-'1. Inputs'!$B$30+1)/(MAX(0,$A59-'1. Inputs'!$C$26-'1. Inputs'!$B$30+1)+'1. Inputs'!$B$11))*'1. Inputs'!$B$13*(1+'1. Inputs'!$B$14*MIN(MAX(0,$A59-'1. Inputs'!$C$26-'1. Inputs'!$B$30+1),'1. Inputs'!$B$15))*'1. Inputs'!$B$31)</f>
        <v>2082063.61397831</v>
      </c>
      <c r="N59" s="22" t="n">
        <f aca="false">IF(MAX(0,$A59-'1. Inputs'!$C$27-'1. Inputs'!$B$30+1)&lt;=0,0,'1. Inputs'!$B$27*('1. Inputs'!$B$5-'5. Diagnosing a miss'!$B$21)*MAX(0,$A59-'1. Inputs'!$C$27-'1. Inputs'!$B$30+1)^'1. Inputs'!$B$7/('1. Inputs'!$B$6^'1. Inputs'!$B$7+MAX(0,$A59-'1. Inputs'!$C$27-'1. Inputs'!$B$30+1)^'1. Inputs'!$B$7)*('1. Inputs'!$B$9+'1. Inputs'!$B$10*MAX(0,$A59-'1. Inputs'!$C$27-'1. Inputs'!$B$30+1)/(MAX(0,$A59-'1. Inputs'!$C$27-'1. Inputs'!$B$30+1)+'1. Inputs'!$B$11))*'1. Inputs'!$B$13*(1+'1. Inputs'!$B$14*MIN(MAX(0,$A59-'1. Inputs'!$C$27-'1. Inputs'!$B$30+1),'1. Inputs'!$B$15))*'1. Inputs'!$B$31)</f>
        <v>1481321.15976515</v>
      </c>
      <c r="O59" s="22" t="n">
        <f aca="false">SUM(K59:N59)</f>
        <v>12078255.1735738</v>
      </c>
      <c r="P59" s="22" t="n">
        <f aca="false">IF($A59=MAX('1. Inputs'!$B$17,1),'1. Inputs'!$B$3,0)+IF($A59-'1. Inputs'!$B$17&gt;=1,INDEX(O$3:O$86,$A59-'1. Inputs'!$B$17),0)</f>
        <v>11452902.5653114</v>
      </c>
      <c r="Q59" s="22" t="n">
        <f aca="false">Q58*(1-'1. Inputs'!$B$18)+P59</f>
        <v>321622870.935419</v>
      </c>
      <c r="R59" s="22" t="n">
        <f aca="false">Q59*'1. Inputs'!$B$18</f>
        <v>3216228.70935419</v>
      </c>
      <c r="S59" s="22" t="n">
        <f aca="false">S58+O59-R59</f>
        <v>460348844.325657</v>
      </c>
      <c r="T59" s="22" t="n">
        <f aca="false">IF(MAX(0,$A59-'1. Inputs'!$C$24-'1. Inputs'!$B$30+1)&lt;=0,0,'1. Inputs'!$B$24*'1. Inputs'!$B$5*MAX(0,$A59-'1. Inputs'!$C$24-'1. Inputs'!$B$30+1)^'1. Inputs'!$B$7/('1. Inputs'!$B$6^'1. Inputs'!$B$7+MAX(0,$A59-'1. Inputs'!$C$24-'1. Inputs'!$B$30+1)^'1. Inputs'!$B$7)*('1. Inputs'!$B$9+'1. Inputs'!$B$10*MAX(0,$A59-'1. Inputs'!$C$24-'1. Inputs'!$B$30+1)/(MAX(0,$A59-'1. Inputs'!$C$24-'1. Inputs'!$B$30+1)+'1. Inputs'!$B$11))*'1. Inputs'!$B$13*(1+'1. Inputs'!$B$14*MIN(MAX(0,$A59-'1. Inputs'!$C$24-'1. Inputs'!$B$30+1),'1. Inputs'!$B$15))*('1. Inputs'!$B$31*'5. Diagnosing a miss'!$B$22))</f>
        <v>3721837.50985517</v>
      </c>
      <c r="U59" s="22" t="n">
        <f aca="false">IF(MAX(0,$A59-'1. Inputs'!$C$25-'1. Inputs'!$B$30+1)&lt;=0,0,'1. Inputs'!$B$25*'1. Inputs'!$B$5*MAX(0,$A59-'1. Inputs'!$C$25-'1. Inputs'!$B$30+1)^'1. Inputs'!$B$7/('1. Inputs'!$B$6^'1. Inputs'!$B$7+MAX(0,$A59-'1. Inputs'!$C$25-'1. Inputs'!$B$30+1)^'1. Inputs'!$B$7)*('1. Inputs'!$B$9+'1. Inputs'!$B$10*MAX(0,$A59-'1. Inputs'!$C$25-'1. Inputs'!$B$30+1)/(MAX(0,$A59-'1. Inputs'!$C$25-'1. Inputs'!$B$30+1)+'1. Inputs'!$B$11))*'1. Inputs'!$B$13*(1+'1. Inputs'!$B$14*MIN(MAX(0,$A59-'1. Inputs'!$C$25-'1. Inputs'!$B$30+1),'1. Inputs'!$B$15))*('1. Inputs'!$B$31*'5. Diagnosing a miss'!$B$22))</f>
        <v>4899468.76997304</v>
      </c>
      <c r="V59" s="22" t="n">
        <f aca="false">IF(MAX(0,$A59-'1. Inputs'!$C$26-'1. Inputs'!$B$30+1)&lt;=0,0,'1. Inputs'!$B$26*'1. Inputs'!$B$5*MAX(0,$A59-'1. Inputs'!$C$26-'1. Inputs'!$B$30+1)^'1. Inputs'!$B$7/('1. Inputs'!$B$6^'1. Inputs'!$B$7+MAX(0,$A59-'1. Inputs'!$C$26-'1. Inputs'!$B$30+1)^'1. Inputs'!$B$7)*('1. Inputs'!$B$9+'1. Inputs'!$B$10*MAX(0,$A59-'1. Inputs'!$C$26-'1. Inputs'!$B$30+1)/(MAX(0,$A59-'1. Inputs'!$C$26-'1. Inputs'!$B$30+1)+'1. Inputs'!$B$11))*'1. Inputs'!$B$13*(1+'1. Inputs'!$B$14*MIN(MAX(0,$A59-'1. Inputs'!$C$26-'1. Inputs'!$B$30+1),'1. Inputs'!$B$15))*('1. Inputs'!$B$31*'5. Diagnosing a miss'!$B$22))</f>
        <v>2108089.40915304</v>
      </c>
      <c r="W59" s="22" t="n">
        <f aca="false">IF(MAX(0,$A59-'1. Inputs'!$C$27-'1. Inputs'!$B$30+1)&lt;=0,0,'1. Inputs'!$B$27*'1. Inputs'!$B$5*MAX(0,$A59-'1. Inputs'!$C$27-'1. Inputs'!$B$30+1)^'1. Inputs'!$B$7/('1. Inputs'!$B$6^'1. Inputs'!$B$7+MAX(0,$A59-'1. Inputs'!$C$27-'1. Inputs'!$B$30+1)^'1. Inputs'!$B$7)*('1. Inputs'!$B$9+'1. Inputs'!$B$10*MAX(0,$A59-'1. Inputs'!$C$27-'1. Inputs'!$B$30+1)/(MAX(0,$A59-'1. Inputs'!$C$27-'1. Inputs'!$B$30+1)+'1. Inputs'!$B$11))*'1. Inputs'!$B$13*(1+'1. Inputs'!$B$14*MIN(MAX(0,$A59-'1. Inputs'!$C$27-'1. Inputs'!$B$30+1),'1. Inputs'!$B$15))*('1. Inputs'!$B$31*'5. Diagnosing a miss'!$B$22))</f>
        <v>1499837.67426221</v>
      </c>
      <c r="X59" s="22" t="n">
        <f aca="false">SUM(T59:W59)</f>
        <v>12229233.3632435</v>
      </c>
      <c r="Y59" s="22" t="n">
        <f aca="false">IF($A59=MAX('1. Inputs'!$B$17,1),'1. Inputs'!$B$3,0)+IF($A59-'1. Inputs'!$B$17&gt;=1,INDEX(X$3:X$86,$A59-'1. Inputs'!$B$17),0)</f>
        <v>11596063.8473778</v>
      </c>
      <c r="Z59" s="22" t="n">
        <f aca="false">Z58*(1-'1. Inputs'!$B$18)+Y59</f>
        <v>324450309.035742</v>
      </c>
      <c r="AA59" s="22" t="n">
        <f aca="false">Z59*'1. Inputs'!$B$18</f>
        <v>3244503.09035742</v>
      </c>
      <c r="AB59" s="22" t="n">
        <f aca="false">AB58+X59-AA59</f>
        <v>464922285.571222</v>
      </c>
      <c r="AC59" s="22" t="n">
        <f aca="false">IF(MAX(0,$A59-'1. Inputs'!$C$24-('1. Inputs'!$B$30+'5. Diagnosing a miss'!$B$23)+1)&lt;=0,0,'1. Inputs'!$B$24*'1. Inputs'!$B$5*MAX(0,$A59-'1. Inputs'!$C$24-('1. Inputs'!$B$30+'5. Diagnosing a miss'!$B$23)+1)^'1. Inputs'!$B$7/('1. Inputs'!$B$6^'1. Inputs'!$B$7+MAX(0,$A59-'1. Inputs'!$C$24-('1. Inputs'!$B$30+'5. Diagnosing a miss'!$B$23)+1)^'1. Inputs'!$B$7)*('1. Inputs'!$B$9+'1. Inputs'!$B$10*MAX(0,$A59-'1. Inputs'!$C$24-('1. Inputs'!$B$30+'5. Diagnosing a miss'!$B$23)+1)/(MAX(0,$A59-'1. Inputs'!$C$24-('1. Inputs'!$B$30+'5. Diagnosing a miss'!$B$23)+1)+'1. Inputs'!$B$11))*'1. Inputs'!$B$13*(1+'1. Inputs'!$B$14*MIN(MAX(0,$A59-'1. Inputs'!$C$24-('1. Inputs'!$B$30+'5. Diagnosing a miss'!$B$23)+1),'1. Inputs'!$B$15))*'1. Inputs'!$B$31)</f>
        <v>4105397.61509434</v>
      </c>
      <c r="AD59" s="22" t="n">
        <f aca="false">IF(MAX(0,$A59-'1. Inputs'!$C$25-('1. Inputs'!$B$30+'5. Diagnosing a miss'!$B$23)+1)&lt;=0,0,'1. Inputs'!$B$25*'1. Inputs'!$B$5*MAX(0,$A59-'1. Inputs'!$C$25-('1. Inputs'!$B$30+'5. Diagnosing a miss'!$B$23)+1)^'1. Inputs'!$B$7/('1. Inputs'!$B$6^'1. Inputs'!$B$7+MAX(0,$A59-'1. Inputs'!$C$25-('1. Inputs'!$B$30+'5. Diagnosing a miss'!$B$23)+1)^'1. Inputs'!$B$7)*('1. Inputs'!$B$9+'1. Inputs'!$B$10*MAX(0,$A59-'1. Inputs'!$C$25-('1. Inputs'!$B$30+'5. Diagnosing a miss'!$B$23)+1)/(MAX(0,$A59-'1. Inputs'!$C$25-('1. Inputs'!$B$30+'5. Diagnosing a miss'!$B$23)+1)+'1. Inputs'!$B$11))*'1. Inputs'!$B$13*(1+'1. Inputs'!$B$14*MIN(MAX(0,$A59-'1. Inputs'!$C$25-('1. Inputs'!$B$30+'5. Diagnosing a miss'!$B$23)+1),'1. Inputs'!$B$15))*'1. Inputs'!$B$31)</f>
        <v>5392758.08971133</v>
      </c>
      <c r="AE59" s="22" t="n">
        <f aca="false">IF(MAX(0,$A59-'1. Inputs'!$C$26-('1. Inputs'!$B$30+'5. Diagnosing a miss'!$B$23)+1)&lt;=0,0,'1. Inputs'!$B$26*'1. Inputs'!$B$5*MAX(0,$A59-'1. Inputs'!$C$26-('1. Inputs'!$B$30+'5. Diagnosing a miss'!$B$23)+1)^'1. Inputs'!$B$7/('1. Inputs'!$B$6^'1. Inputs'!$B$7+MAX(0,$A59-'1. Inputs'!$C$26-('1. Inputs'!$B$30+'5. Diagnosing a miss'!$B$23)+1)^'1. Inputs'!$B$7)*('1. Inputs'!$B$9+'1. Inputs'!$B$10*MAX(0,$A59-'1. Inputs'!$C$26-('1. Inputs'!$B$30+'5. Diagnosing a miss'!$B$23)+1)/(MAX(0,$A59-'1. Inputs'!$C$26-('1. Inputs'!$B$30+'5. Diagnosing a miss'!$B$23)+1)+'1. Inputs'!$B$11))*'1. Inputs'!$B$13*(1+'1. Inputs'!$B$14*MIN(MAX(0,$A59-'1. Inputs'!$C$26-('1. Inputs'!$B$30+'5. Diagnosing a miss'!$B$23)+1),'1. Inputs'!$B$15))*'1. Inputs'!$B$31)</f>
        <v>2312917.68178838</v>
      </c>
      <c r="AF59" s="22" t="n">
        <f aca="false">IF(MAX(0,$A59-'1. Inputs'!$C$27-('1. Inputs'!$B$30+'5. Diagnosing a miss'!$B$23)+1)&lt;=0,0,'1. Inputs'!$B$27*'1. Inputs'!$B$5*MAX(0,$A59-'1. Inputs'!$C$27-('1. Inputs'!$B$30+'5. Diagnosing a miss'!$B$23)+1)^'1. Inputs'!$B$7/('1. Inputs'!$B$6^'1. Inputs'!$B$7+MAX(0,$A59-'1. Inputs'!$C$27-('1. Inputs'!$B$30+'5. Diagnosing a miss'!$B$23)+1)^'1. Inputs'!$B$7)*('1. Inputs'!$B$9+'1. Inputs'!$B$10*MAX(0,$A59-'1. Inputs'!$C$27-('1. Inputs'!$B$30+'5. Diagnosing a miss'!$B$23)+1)/(MAX(0,$A59-'1. Inputs'!$C$27-('1. Inputs'!$B$30+'5. Diagnosing a miss'!$B$23)+1)+'1. Inputs'!$B$11))*'1. Inputs'!$B$13*(1+'1. Inputs'!$B$14*MIN(MAX(0,$A59-'1. Inputs'!$C$27-('1. Inputs'!$B$30+'5. Diagnosing a miss'!$B$23)+1),'1. Inputs'!$B$15))*'1. Inputs'!$B$31)</f>
        <v>1644212.25469126</v>
      </c>
      <c r="AG59" s="22" t="n">
        <f aca="false">SUM(AC59:AF59)</f>
        <v>13455285.6412853</v>
      </c>
      <c r="AH59" s="22" t="n">
        <f aca="false">IF($A59=MAX('1. Inputs'!$B$17,1),'1. Inputs'!$B$3,0)+IF($A59-'1. Inputs'!$B$17&gt;=1,INDEX(AG$3:AG$86,$A59-'1. Inputs'!$B$17),0)</f>
        <v>12605031.9306072</v>
      </c>
      <c r="AI59" s="22" t="n">
        <f aca="false">AI58*(1-'1. Inputs'!$B$18)+AH59</f>
        <v>318516492.772351</v>
      </c>
      <c r="AJ59" s="22" t="n">
        <f aca="false">AI59*'1. Inputs'!$B$18</f>
        <v>3185164.92772351</v>
      </c>
      <c r="AK59" s="22" t="n">
        <f aca="false">AK58+AG59-AJ59</f>
        <v>472767760.019839</v>
      </c>
    </row>
    <row r="60" customFormat="false" ht="15" hidden="false" customHeight="false" outlineLevel="0" collapsed="false">
      <c r="A60" s="7" t="n">
        <v>58</v>
      </c>
      <c r="B60" s="22" t="n">
        <f aca="false">IF(MAX(0,$A60-'1. Inputs'!$C$24-'1. Inputs'!$B$30+1)&lt;=0,0,'1. Inputs'!$B$24*'1. Inputs'!$B$5*MAX(0,$A60-'1. Inputs'!$C$24-'1. Inputs'!$B$30+1)^'1. Inputs'!$B$7/('1. Inputs'!$B$6^'1. Inputs'!$B$7+MAX(0,$A60-'1. Inputs'!$C$24-'1. Inputs'!$B$30+1)^'1. Inputs'!$B$7)*('1. Inputs'!$B$9+'1. Inputs'!$B$10*MAX(0,$A60-'1. Inputs'!$C$24-'1. Inputs'!$B$30+1)/(MAX(0,$A60-'1. Inputs'!$C$24-'1. Inputs'!$B$30+1)+'1. Inputs'!$B$11))*'1. Inputs'!$B$13*(1+'1. Inputs'!$B$14*MIN(MAX(0,$A60-'1. Inputs'!$C$24-'1. Inputs'!$B$30+1),'1. Inputs'!$B$15))*'1. Inputs'!$B$31)</f>
        <v>4144486.03548567</v>
      </c>
      <c r="C60" s="22" t="n">
        <f aca="false">IF(MAX(0,$A60-'1. Inputs'!$C$25-'1. Inputs'!$B$30+1)&lt;=0,0,'1. Inputs'!$B$25*'1. Inputs'!$B$5*MAX(0,$A60-'1. Inputs'!$C$25-'1. Inputs'!$B$30+1)^'1. Inputs'!$B$7/('1. Inputs'!$B$6^'1. Inputs'!$B$7+MAX(0,$A60-'1. Inputs'!$C$25-'1. Inputs'!$B$30+1)^'1. Inputs'!$B$7)*('1. Inputs'!$B$9+'1. Inputs'!$B$10*MAX(0,$A60-'1. Inputs'!$C$25-'1. Inputs'!$B$30+1)/(MAX(0,$A60-'1. Inputs'!$C$25-'1. Inputs'!$B$30+1)+'1. Inputs'!$B$11))*'1. Inputs'!$B$13*(1+'1. Inputs'!$B$14*MIN(MAX(0,$A60-'1. Inputs'!$C$25-'1. Inputs'!$B$30+1),'1. Inputs'!$B$15))*'1. Inputs'!$B$31)</f>
        <v>5459226.61033204</v>
      </c>
      <c r="D60" s="22" t="n">
        <f aca="false">IF(MAX(0,$A60-'1. Inputs'!$C$26-'1. Inputs'!$B$30+1)&lt;=0,0,'1. Inputs'!$B$26*'1. Inputs'!$B$5*MAX(0,$A60-'1. Inputs'!$C$26-'1. Inputs'!$B$30+1)^'1. Inputs'!$B$7/('1. Inputs'!$B$6^'1. Inputs'!$B$7+MAX(0,$A60-'1. Inputs'!$C$26-'1. Inputs'!$B$30+1)^'1. Inputs'!$B$7)*('1. Inputs'!$B$9+'1. Inputs'!$B$10*MAX(0,$A60-'1. Inputs'!$C$26-'1. Inputs'!$B$30+1)/(MAX(0,$A60-'1. Inputs'!$C$26-'1. Inputs'!$B$30+1)+'1. Inputs'!$B$11))*'1. Inputs'!$B$13*(1+'1. Inputs'!$B$14*MIN(MAX(0,$A60-'1. Inputs'!$C$26-'1. Inputs'!$B$30+1),'1. Inputs'!$B$15))*'1. Inputs'!$B$31)</f>
        <v>2351059.2</v>
      </c>
      <c r="E60" s="22" t="n">
        <f aca="false">IF(MAX(0,$A60-'1. Inputs'!$C$27-'1. Inputs'!$B$30+1)&lt;=0,0,'1. Inputs'!$B$27*'1. Inputs'!$B$5*MAX(0,$A60-'1. Inputs'!$C$27-'1. Inputs'!$B$30+1)^'1. Inputs'!$B$7/('1. Inputs'!$B$6^'1. Inputs'!$B$7+MAX(0,$A60-'1. Inputs'!$C$27-'1. Inputs'!$B$30+1)^'1. Inputs'!$B$7)*('1. Inputs'!$B$9+'1. Inputs'!$B$10*MAX(0,$A60-'1. Inputs'!$C$27-'1. Inputs'!$B$30+1)/(MAX(0,$A60-'1. Inputs'!$C$27-'1. Inputs'!$B$30+1)+'1. Inputs'!$B$11))*'1. Inputs'!$B$13*(1+'1. Inputs'!$B$14*MIN(MAX(0,$A60-'1. Inputs'!$C$27-'1. Inputs'!$B$30+1),'1. Inputs'!$B$15))*'1. Inputs'!$B$31)</f>
        <v>1673086.83266114</v>
      </c>
      <c r="F60" s="22" t="n">
        <f aca="false">SUM(B60:E60)</f>
        <v>13627858.6784789</v>
      </c>
      <c r="G60" s="22" t="n">
        <f aca="false">IF($A60=MAX('1. Inputs'!$B$17,1),'1. Inputs'!$B$3,0)+IF($A60-'1. Inputs'!$B$17&gt;=1,INDEX(F$3:F$86,$A60-'1. Inputs'!$B$17),0)</f>
        <v>12965260.2322482</v>
      </c>
      <c r="H60" s="22" t="n">
        <f aca="false">H59*(1-'1. Inputs'!$B$18)+G60</f>
        <v>359363539.651511</v>
      </c>
      <c r="I60" s="22" t="n">
        <f aca="false">H60*'1. Inputs'!$B$18</f>
        <v>3593635.39651511</v>
      </c>
      <c r="J60" s="22" t="n">
        <f aca="false">J59+F60-I60</f>
        <v>516117480.063268</v>
      </c>
      <c r="K60" s="22" t="n">
        <f aca="false">IF(MAX(0,$A60-'1. Inputs'!$C$24-'1. Inputs'!$B$30+1)&lt;=0,0,'1. Inputs'!$B$24*('1. Inputs'!$B$5-'5. Diagnosing a miss'!$B$21)*MAX(0,$A60-'1. Inputs'!$C$24-'1. Inputs'!$B$30+1)^'1. Inputs'!$B$7/('1. Inputs'!$B$6^'1. Inputs'!$B$7+MAX(0,$A60-'1. Inputs'!$C$24-'1. Inputs'!$B$30+1)^'1. Inputs'!$B$7)*('1. Inputs'!$B$9+'1. Inputs'!$B$10*MAX(0,$A60-'1. Inputs'!$C$24-'1. Inputs'!$B$30+1)/(MAX(0,$A60-'1. Inputs'!$C$24-'1. Inputs'!$B$30+1)+'1. Inputs'!$B$11))*'1. Inputs'!$B$13*(1+'1. Inputs'!$B$14*MIN(MAX(0,$A60-'1. Inputs'!$C$24-'1. Inputs'!$B$30+1),'1. Inputs'!$B$15))*'1. Inputs'!$B$31)</f>
        <v>3683987.58709837</v>
      </c>
      <c r="L60" s="22" t="n">
        <f aca="false">IF(MAX(0,$A60-'1. Inputs'!$C$25-'1. Inputs'!$B$30+1)&lt;=0,0,'1. Inputs'!$B$25*('1. Inputs'!$B$5-'5. Diagnosing a miss'!$B$21)*MAX(0,$A60-'1. Inputs'!$C$25-'1. Inputs'!$B$30+1)^'1. Inputs'!$B$7/('1. Inputs'!$B$6^'1. Inputs'!$B$7+MAX(0,$A60-'1. Inputs'!$C$25-'1. Inputs'!$B$30+1)^'1. Inputs'!$B$7)*('1. Inputs'!$B$9+'1. Inputs'!$B$10*MAX(0,$A60-'1. Inputs'!$C$25-'1. Inputs'!$B$30+1)/(MAX(0,$A60-'1. Inputs'!$C$25-'1. Inputs'!$B$30+1)+'1. Inputs'!$B$11))*'1. Inputs'!$B$13*(1+'1. Inputs'!$B$14*MIN(MAX(0,$A60-'1. Inputs'!$C$25-'1. Inputs'!$B$30+1),'1. Inputs'!$B$15))*'1. Inputs'!$B$31)</f>
        <v>4852645.8758507</v>
      </c>
      <c r="M60" s="22" t="n">
        <f aca="false">IF(MAX(0,$A60-'1. Inputs'!$C$26-'1. Inputs'!$B$30+1)&lt;=0,0,'1. Inputs'!$B$26*('1. Inputs'!$B$5-'5. Diagnosing a miss'!$B$21)*MAX(0,$A60-'1. Inputs'!$C$26-'1. Inputs'!$B$30+1)^'1. Inputs'!$B$7/('1. Inputs'!$B$6^'1. Inputs'!$B$7+MAX(0,$A60-'1. Inputs'!$C$26-'1. Inputs'!$B$30+1)^'1. Inputs'!$B$7)*('1. Inputs'!$B$9+'1. Inputs'!$B$10*MAX(0,$A60-'1. Inputs'!$C$26-'1. Inputs'!$B$30+1)/(MAX(0,$A60-'1. Inputs'!$C$26-'1. Inputs'!$B$30+1)+'1. Inputs'!$B$11))*'1. Inputs'!$B$13*(1+'1. Inputs'!$B$14*MIN(MAX(0,$A60-'1. Inputs'!$C$26-'1. Inputs'!$B$30+1),'1. Inputs'!$B$15))*'1. Inputs'!$B$31)</f>
        <v>2089830.4</v>
      </c>
      <c r="N60" s="22" t="n">
        <f aca="false">IF(MAX(0,$A60-'1. Inputs'!$C$27-'1. Inputs'!$B$30+1)&lt;=0,0,'1. Inputs'!$B$27*('1. Inputs'!$B$5-'5. Diagnosing a miss'!$B$21)*MAX(0,$A60-'1. Inputs'!$C$27-'1. Inputs'!$B$30+1)^'1. Inputs'!$B$7/('1. Inputs'!$B$6^'1. Inputs'!$B$7+MAX(0,$A60-'1. Inputs'!$C$27-'1. Inputs'!$B$30+1)^'1. Inputs'!$B$7)*('1. Inputs'!$B$9+'1. Inputs'!$B$10*MAX(0,$A60-'1. Inputs'!$C$27-'1. Inputs'!$B$30+1)/(MAX(0,$A60-'1. Inputs'!$C$27-'1. Inputs'!$B$30+1)+'1. Inputs'!$B$11))*'1. Inputs'!$B$13*(1+'1. Inputs'!$B$14*MIN(MAX(0,$A60-'1. Inputs'!$C$27-'1. Inputs'!$B$30+1),'1. Inputs'!$B$15))*'1. Inputs'!$B$31)</f>
        <v>1487188.29569879</v>
      </c>
      <c r="O60" s="22" t="n">
        <f aca="false">SUM(K60:N60)</f>
        <v>12113652.1586479</v>
      </c>
      <c r="P60" s="22" t="n">
        <f aca="false">IF($A60=MAX('1. Inputs'!$B$17,1),'1. Inputs'!$B$3,0)+IF($A60-'1. Inputs'!$B$17&gt;=1,INDEX(O$3:O$86,$A60-'1. Inputs'!$B$17),0)</f>
        <v>11524675.7619984</v>
      </c>
      <c r="Q60" s="22" t="n">
        <f aca="false">Q59*(1-'1. Inputs'!$B$18)+P60</f>
        <v>329931317.988063</v>
      </c>
      <c r="R60" s="22" t="n">
        <f aca="false">Q60*'1. Inputs'!$B$18</f>
        <v>3299313.17988063</v>
      </c>
      <c r="S60" s="22" t="n">
        <f aca="false">S59+O60-R60</f>
        <v>469163183.304425</v>
      </c>
      <c r="T60" s="22" t="n">
        <f aca="false">IF(MAX(0,$A60-'1. Inputs'!$C$24-'1. Inputs'!$B$30+1)&lt;=0,0,'1. Inputs'!$B$24*'1. Inputs'!$B$5*MAX(0,$A60-'1. Inputs'!$C$24-'1. Inputs'!$B$30+1)^'1. Inputs'!$B$7/('1. Inputs'!$B$6^'1. Inputs'!$B$7+MAX(0,$A60-'1. Inputs'!$C$24-'1. Inputs'!$B$30+1)^'1. Inputs'!$B$7)*('1. Inputs'!$B$9+'1. Inputs'!$B$10*MAX(0,$A60-'1. Inputs'!$C$24-'1. Inputs'!$B$30+1)/(MAX(0,$A60-'1. Inputs'!$C$24-'1. Inputs'!$B$30+1)+'1. Inputs'!$B$11))*'1. Inputs'!$B$13*(1+'1. Inputs'!$B$14*MIN(MAX(0,$A60-'1. Inputs'!$C$24-'1. Inputs'!$B$30+1),'1. Inputs'!$B$15))*('1. Inputs'!$B$31*'5. Diagnosing a miss'!$B$22))</f>
        <v>3730037.4319371</v>
      </c>
      <c r="U60" s="22" t="n">
        <f aca="false">IF(MAX(0,$A60-'1. Inputs'!$C$25-'1. Inputs'!$B$30+1)&lt;=0,0,'1. Inputs'!$B$25*'1. Inputs'!$B$5*MAX(0,$A60-'1. Inputs'!$C$25-'1. Inputs'!$B$30+1)^'1. Inputs'!$B$7/('1. Inputs'!$B$6^'1. Inputs'!$B$7+MAX(0,$A60-'1. Inputs'!$C$25-'1. Inputs'!$B$30+1)^'1. Inputs'!$B$7)*('1. Inputs'!$B$9+'1. Inputs'!$B$10*MAX(0,$A60-'1. Inputs'!$C$25-'1. Inputs'!$B$30+1)/(MAX(0,$A60-'1. Inputs'!$C$25-'1. Inputs'!$B$30+1)+'1. Inputs'!$B$11))*'1. Inputs'!$B$13*(1+'1. Inputs'!$B$14*MIN(MAX(0,$A60-'1. Inputs'!$C$25-'1. Inputs'!$B$30+1),'1. Inputs'!$B$15))*('1. Inputs'!$B$31*'5. Diagnosing a miss'!$B$22))</f>
        <v>4913303.94929884</v>
      </c>
      <c r="V60" s="22" t="n">
        <f aca="false">IF(MAX(0,$A60-'1. Inputs'!$C$26-'1. Inputs'!$B$30+1)&lt;=0,0,'1. Inputs'!$B$26*'1. Inputs'!$B$5*MAX(0,$A60-'1. Inputs'!$C$26-'1. Inputs'!$B$30+1)^'1. Inputs'!$B$7/('1. Inputs'!$B$6^'1. Inputs'!$B$7+MAX(0,$A60-'1. Inputs'!$C$26-'1. Inputs'!$B$30+1)^'1. Inputs'!$B$7)*('1. Inputs'!$B$9+'1. Inputs'!$B$10*MAX(0,$A60-'1. Inputs'!$C$26-'1. Inputs'!$B$30+1)/(MAX(0,$A60-'1. Inputs'!$C$26-'1. Inputs'!$B$30+1)+'1. Inputs'!$B$11))*'1. Inputs'!$B$13*(1+'1. Inputs'!$B$14*MIN(MAX(0,$A60-'1. Inputs'!$C$26-'1. Inputs'!$B$30+1),'1. Inputs'!$B$15))*('1. Inputs'!$B$31*'5. Diagnosing a miss'!$B$22))</f>
        <v>2115953.28</v>
      </c>
      <c r="W60" s="22" t="n">
        <f aca="false">IF(MAX(0,$A60-'1. Inputs'!$C$27-'1. Inputs'!$B$30+1)&lt;=0,0,'1. Inputs'!$B$27*'1. Inputs'!$B$5*MAX(0,$A60-'1. Inputs'!$C$27-'1. Inputs'!$B$30+1)^'1. Inputs'!$B$7/('1. Inputs'!$B$6^'1. Inputs'!$B$7+MAX(0,$A60-'1. Inputs'!$C$27-'1. Inputs'!$B$30+1)^'1. Inputs'!$B$7)*('1. Inputs'!$B$9+'1. Inputs'!$B$10*MAX(0,$A60-'1. Inputs'!$C$27-'1. Inputs'!$B$30+1)/(MAX(0,$A60-'1. Inputs'!$C$27-'1. Inputs'!$B$30+1)+'1. Inputs'!$B$11))*'1. Inputs'!$B$13*(1+'1. Inputs'!$B$14*MIN(MAX(0,$A60-'1. Inputs'!$C$27-'1. Inputs'!$B$30+1),'1. Inputs'!$B$15))*('1. Inputs'!$B$31*'5. Diagnosing a miss'!$B$22))</f>
        <v>1505778.14939503</v>
      </c>
      <c r="X60" s="22" t="n">
        <f aca="false">SUM(T60:W60)</f>
        <v>12265072.810631</v>
      </c>
      <c r="Y60" s="22" t="n">
        <f aca="false">IF($A60=MAX('1. Inputs'!$B$17,1),'1. Inputs'!$B$3,0)+IF($A60-'1. Inputs'!$B$17&gt;=1,INDEX(X$3:X$86,$A60-'1. Inputs'!$B$17),0)</f>
        <v>11668734.2090234</v>
      </c>
      <c r="Z60" s="22" t="n">
        <f aca="false">Z59*(1-'1. Inputs'!$B$18)+Y60</f>
        <v>332874540.154408</v>
      </c>
      <c r="AA60" s="22" t="n">
        <f aca="false">Z60*'1. Inputs'!$B$18</f>
        <v>3328745.40154408</v>
      </c>
      <c r="AB60" s="22" t="n">
        <f aca="false">AB59+X60-AA60</f>
        <v>473858612.980309</v>
      </c>
      <c r="AC60" s="22" t="n">
        <f aca="false">IF(MAX(0,$A60-'1. Inputs'!$C$24-('1. Inputs'!$B$30+'5. Diagnosing a miss'!$B$23)+1)&lt;=0,0,'1. Inputs'!$B$24*'1. Inputs'!$B$5*MAX(0,$A60-'1. Inputs'!$C$24-('1. Inputs'!$B$30+'5. Diagnosing a miss'!$B$23)+1)^'1. Inputs'!$B$7/('1. Inputs'!$B$6^'1. Inputs'!$B$7+MAX(0,$A60-'1. Inputs'!$C$24-('1. Inputs'!$B$30+'5. Diagnosing a miss'!$B$23)+1)^'1. Inputs'!$B$7)*('1. Inputs'!$B$9+'1. Inputs'!$B$10*MAX(0,$A60-'1. Inputs'!$C$24-('1. Inputs'!$B$30+'5. Diagnosing a miss'!$B$23)+1)/(MAX(0,$A60-'1. Inputs'!$C$24-('1. Inputs'!$B$30+'5. Diagnosing a miss'!$B$23)+1)+'1. Inputs'!$B$11))*'1. Inputs'!$B$13*(1+'1. Inputs'!$B$14*MIN(MAX(0,$A60-'1. Inputs'!$C$24-('1. Inputs'!$B$30+'5. Diagnosing a miss'!$B$23)+1),'1. Inputs'!$B$15))*'1. Inputs'!$B$31)</f>
        <v>4115860.57882939</v>
      </c>
      <c r="AD60" s="22" t="n">
        <f aca="false">IF(MAX(0,$A60-'1. Inputs'!$C$25-('1. Inputs'!$B$30+'5. Diagnosing a miss'!$B$23)+1)&lt;=0,0,'1. Inputs'!$B$25*'1. Inputs'!$B$5*MAX(0,$A60-'1. Inputs'!$C$25-('1. Inputs'!$B$30+'5. Diagnosing a miss'!$B$23)+1)^'1. Inputs'!$B$7/('1. Inputs'!$B$6^'1. Inputs'!$B$7+MAX(0,$A60-'1. Inputs'!$C$25-('1. Inputs'!$B$30+'5. Diagnosing a miss'!$B$23)+1)^'1. Inputs'!$B$7)*('1. Inputs'!$B$9+'1. Inputs'!$B$10*MAX(0,$A60-'1. Inputs'!$C$25-('1. Inputs'!$B$30+'5. Diagnosing a miss'!$B$23)+1)/(MAX(0,$A60-'1. Inputs'!$C$25-('1. Inputs'!$B$30+'5. Diagnosing a miss'!$B$23)+1)+'1. Inputs'!$B$11))*'1. Inputs'!$B$13*(1+'1. Inputs'!$B$14*MIN(MAX(0,$A60-'1. Inputs'!$C$25-('1. Inputs'!$B$30+'5. Diagnosing a miss'!$B$23)+1),'1. Inputs'!$B$15))*'1. Inputs'!$B$31)</f>
        <v>5410681.89001487</v>
      </c>
      <c r="AE60" s="22" t="n">
        <f aca="false">IF(MAX(0,$A60-'1. Inputs'!$C$26-('1. Inputs'!$B$30+'5. Diagnosing a miss'!$B$23)+1)&lt;=0,0,'1. Inputs'!$B$26*'1. Inputs'!$B$5*MAX(0,$A60-'1. Inputs'!$C$26-('1. Inputs'!$B$30+'5. Diagnosing a miss'!$B$23)+1)^'1. Inputs'!$B$7/('1. Inputs'!$B$6^'1. Inputs'!$B$7+MAX(0,$A60-'1. Inputs'!$C$26-('1. Inputs'!$B$30+'5. Diagnosing a miss'!$B$23)+1)^'1. Inputs'!$B$7)*('1. Inputs'!$B$9+'1. Inputs'!$B$10*MAX(0,$A60-'1. Inputs'!$C$26-('1. Inputs'!$B$30+'5. Diagnosing a miss'!$B$23)+1)/(MAX(0,$A60-'1. Inputs'!$C$26-('1. Inputs'!$B$30+'5. Diagnosing a miss'!$B$23)+1)+'1. Inputs'!$B$11))*'1. Inputs'!$B$13*(1+'1. Inputs'!$B$14*MIN(MAX(0,$A60-'1. Inputs'!$C$26-('1. Inputs'!$B$30+'5. Diagnosing a miss'!$B$23)+1),'1. Inputs'!$B$15))*'1. Inputs'!$B$31)</f>
        <v>2323295.02921348</v>
      </c>
      <c r="AF60" s="22" t="n">
        <f aca="false">IF(MAX(0,$A60-'1. Inputs'!$C$27-('1. Inputs'!$B$30+'5. Diagnosing a miss'!$B$23)+1)&lt;=0,0,'1. Inputs'!$B$27*'1. Inputs'!$B$5*MAX(0,$A60-'1. Inputs'!$C$27-('1. Inputs'!$B$30+'5. Diagnosing a miss'!$B$23)+1)^'1. Inputs'!$B$7/('1. Inputs'!$B$6^'1. Inputs'!$B$7+MAX(0,$A60-'1. Inputs'!$C$27-('1. Inputs'!$B$30+'5. Diagnosing a miss'!$B$23)+1)^'1. Inputs'!$B$7)*('1. Inputs'!$B$9+'1. Inputs'!$B$10*MAX(0,$A60-'1. Inputs'!$C$27-('1. Inputs'!$B$30+'5. Diagnosing a miss'!$B$23)+1)/(MAX(0,$A60-'1. Inputs'!$C$27-('1. Inputs'!$B$30+'5. Diagnosing a miss'!$B$23)+1)+'1. Inputs'!$B$11))*'1. Inputs'!$B$13*(1+'1. Inputs'!$B$14*MIN(MAX(0,$A60-'1. Inputs'!$C$27-('1. Inputs'!$B$30+'5. Diagnosing a miss'!$B$23)+1),'1. Inputs'!$B$15))*'1. Inputs'!$B$31)</f>
        <v>1652084.05842027</v>
      </c>
      <c r="AG60" s="22" t="n">
        <f aca="false">SUM(AC60:AF60)</f>
        <v>13501921.556478</v>
      </c>
      <c r="AH60" s="22" t="n">
        <f aca="false">IF($A60=MAX('1. Inputs'!$B$17,1),'1. Inputs'!$B$3,0)+IF($A60-'1. Inputs'!$B$17&gt;=1,INDEX(AG$3:AG$86,$A60-'1. Inputs'!$B$17),0)</f>
        <v>12705037.0780467</v>
      </c>
      <c r="AI60" s="22" t="n">
        <f aca="false">AI59*(1-'1. Inputs'!$B$18)+AH60</f>
        <v>328036364.922674</v>
      </c>
      <c r="AJ60" s="22" t="n">
        <f aca="false">AI60*'1. Inputs'!$B$18</f>
        <v>3280363.64922674</v>
      </c>
      <c r="AK60" s="22" t="n">
        <f aca="false">AK59+AG60-AJ60</f>
        <v>482989317.92709</v>
      </c>
    </row>
    <row r="61" customFormat="false" ht="15" hidden="false" customHeight="false" outlineLevel="0" collapsed="false">
      <c r="A61" s="7" t="n">
        <v>59</v>
      </c>
      <c r="B61" s="22" t="n">
        <f aca="false">IF(MAX(0,$A61-'1. Inputs'!$C$24-'1. Inputs'!$B$30+1)&lt;=0,0,'1. Inputs'!$B$24*'1. Inputs'!$B$5*MAX(0,$A61-'1. Inputs'!$C$24-'1. Inputs'!$B$30+1)^'1. Inputs'!$B$7/('1. Inputs'!$B$6^'1. Inputs'!$B$7+MAX(0,$A61-'1. Inputs'!$C$24-'1. Inputs'!$B$30+1)^'1. Inputs'!$B$7)*('1. Inputs'!$B$9+'1. Inputs'!$B$10*MAX(0,$A61-'1. Inputs'!$C$24-'1. Inputs'!$B$30+1)/(MAX(0,$A61-'1. Inputs'!$C$24-'1. Inputs'!$B$30+1)+'1. Inputs'!$B$11))*'1. Inputs'!$B$13*(1+'1. Inputs'!$B$14*MIN(MAX(0,$A61-'1. Inputs'!$C$24-'1. Inputs'!$B$30+1),'1. Inputs'!$B$15))*'1. Inputs'!$B$31)</f>
        <v>4153202.0003988</v>
      </c>
      <c r="C61" s="22" t="n">
        <f aca="false">IF(MAX(0,$A61-'1. Inputs'!$C$25-'1. Inputs'!$B$30+1)&lt;=0,0,'1. Inputs'!$B$25*'1. Inputs'!$B$5*MAX(0,$A61-'1. Inputs'!$C$25-'1. Inputs'!$B$30+1)^'1. Inputs'!$B$7/('1. Inputs'!$B$6^'1. Inputs'!$B$7+MAX(0,$A61-'1. Inputs'!$C$25-'1. Inputs'!$B$30+1)^'1. Inputs'!$B$7)*('1. Inputs'!$B$9+'1. Inputs'!$B$10*MAX(0,$A61-'1. Inputs'!$C$25-'1. Inputs'!$B$30+1)/(MAX(0,$A61-'1. Inputs'!$C$25-'1. Inputs'!$B$30+1)+'1. Inputs'!$B$11))*'1. Inputs'!$B$13*(1+'1. Inputs'!$B$14*MIN(MAX(0,$A61-'1. Inputs'!$C$25-'1. Inputs'!$B$30+1),'1. Inputs'!$B$15))*'1. Inputs'!$B$31)</f>
        <v>5473863.48679245</v>
      </c>
      <c r="D61" s="22" t="n">
        <f aca="false">IF(MAX(0,$A61-'1. Inputs'!$C$26-'1. Inputs'!$B$30+1)&lt;=0,0,'1. Inputs'!$B$26*'1. Inputs'!$B$5*MAX(0,$A61-'1. Inputs'!$C$26-'1. Inputs'!$B$30+1)^'1. Inputs'!$B$7/('1. Inputs'!$B$6^'1. Inputs'!$B$7+MAX(0,$A61-'1. Inputs'!$C$26-'1. Inputs'!$B$30+1)^'1. Inputs'!$B$7)*('1. Inputs'!$B$9+'1. Inputs'!$B$10*MAX(0,$A61-'1. Inputs'!$C$26-'1. Inputs'!$B$30+1)/(MAX(0,$A61-'1. Inputs'!$C$26-'1. Inputs'!$B$30+1)+'1. Inputs'!$B$11))*'1. Inputs'!$B$13*(1+'1. Inputs'!$B$14*MIN(MAX(0,$A61-'1. Inputs'!$C$26-'1. Inputs'!$B$30+1),'1. Inputs'!$B$15))*'1. Inputs'!$B$31)</f>
        <v>2359331.66424871</v>
      </c>
      <c r="E61" s="22" t="n">
        <f aca="false">IF(MAX(0,$A61-'1. Inputs'!$C$27-'1. Inputs'!$B$30+1)&lt;=0,0,'1. Inputs'!$B$27*'1. Inputs'!$B$5*MAX(0,$A61-'1. Inputs'!$C$27-'1. Inputs'!$B$30+1)^'1. Inputs'!$B$7/('1. Inputs'!$B$6^'1. Inputs'!$B$7+MAX(0,$A61-'1. Inputs'!$C$27-'1. Inputs'!$B$30+1)^'1. Inputs'!$B$7)*('1. Inputs'!$B$9+'1. Inputs'!$B$10*MAX(0,$A61-'1. Inputs'!$C$27-'1. Inputs'!$B$30+1)/(MAX(0,$A61-'1. Inputs'!$C$27-'1. Inputs'!$B$30+1)+'1. Inputs'!$B$11))*'1. Inputs'!$B$13*(1+'1. Inputs'!$B$14*MIN(MAX(0,$A61-'1. Inputs'!$C$27-'1. Inputs'!$B$30+1),'1. Inputs'!$B$15))*'1. Inputs'!$B$31)</f>
        <v>1679328</v>
      </c>
      <c r="F61" s="22" t="n">
        <f aca="false">SUM(B61:E61)</f>
        <v>13665725.15144</v>
      </c>
      <c r="G61" s="22" t="n">
        <f aca="false">IF($A61=MAX('1. Inputs'!$B$17,1),'1. Inputs'!$B$3,0)+IF($A61-'1. Inputs'!$B$17&gt;=1,INDEX(F$3:F$86,$A61-'1. Inputs'!$B$17),0)</f>
        <v>13040736.6821722</v>
      </c>
      <c r="H61" s="22" t="n">
        <f aca="false">H60*(1-'1. Inputs'!$B$18)+G61</f>
        <v>368810640.937168</v>
      </c>
      <c r="I61" s="22" t="n">
        <f aca="false">H61*'1. Inputs'!$B$18</f>
        <v>3688106.40937168</v>
      </c>
      <c r="J61" s="22" t="n">
        <f aca="false">J60+F61-I61</f>
        <v>526095098.805336</v>
      </c>
      <c r="K61" s="22" t="n">
        <f aca="false">IF(MAX(0,$A61-'1. Inputs'!$C$24-'1. Inputs'!$B$30+1)&lt;=0,0,'1. Inputs'!$B$24*('1. Inputs'!$B$5-'5. Diagnosing a miss'!$B$21)*MAX(0,$A61-'1. Inputs'!$C$24-'1. Inputs'!$B$30+1)^'1. Inputs'!$B$7/('1. Inputs'!$B$6^'1. Inputs'!$B$7+MAX(0,$A61-'1. Inputs'!$C$24-'1. Inputs'!$B$30+1)^'1. Inputs'!$B$7)*('1. Inputs'!$B$9+'1. Inputs'!$B$10*MAX(0,$A61-'1. Inputs'!$C$24-'1. Inputs'!$B$30+1)/(MAX(0,$A61-'1. Inputs'!$C$24-'1. Inputs'!$B$30+1)+'1. Inputs'!$B$11))*'1. Inputs'!$B$13*(1+'1. Inputs'!$B$14*MIN(MAX(0,$A61-'1. Inputs'!$C$24-'1. Inputs'!$B$30+1),'1. Inputs'!$B$15))*'1. Inputs'!$B$31)</f>
        <v>3691735.1114656</v>
      </c>
      <c r="L61" s="22" t="n">
        <f aca="false">IF(MAX(0,$A61-'1. Inputs'!$C$25-'1. Inputs'!$B$30+1)&lt;=0,0,'1. Inputs'!$B$25*('1. Inputs'!$B$5-'5. Diagnosing a miss'!$B$21)*MAX(0,$A61-'1. Inputs'!$C$25-'1. Inputs'!$B$30+1)^'1. Inputs'!$B$7/('1. Inputs'!$B$6^'1. Inputs'!$B$7+MAX(0,$A61-'1. Inputs'!$C$25-'1. Inputs'!$B$30+1)^'1. Inputs'!$B$7)*('1. Inputs'!$B$9+'1. Inputs'!$B$10*MAX(0,$A61-'1. Inputs'!$C$25-'1. Inputs'!$B$30+1)/(MAX(0,$A61-'1. Inputs'!$C$25-'1. Inputs'!$B$30+1)+'1. Inputs'!$B$11))*'1. Inputs'!$B$13*(1+'1. Inputs'!$B$14*MIN(MAX(0,$A61-'1. Inputs'!$C$25-'1. Inputs'!$B$30+1),'1. Inputs'!$B$15))*'1. Inputs'!$B$31)</f>
        <v>4865656.4327044</v>
      </c>
      <c r="M61" s="22" t="n">
        <f aca="false">IF(MAX(0,$A61-'1. Inputs'!$C$26-'1. Inputs'!$B$30+1)&lt;=0,0,'1. Inputs'!$B$26*('1. Inputs'!$B$5-'5. Diagnosing a miss'!$B$21)*MAX(0,$A61-'1. Inputs'!$C$26-'1. Inputs'!$B$30+1)^'1. Inputs'!$B$7/('1. Inputs'!$B$6^'1. Inputs'!$B$7+MAX(0,$A61-'1. Inputs'!$C$26-'1. Inputs'!$B$30+1)^'1. Inputs'!$B$7)*('1. Inputs'!$B$9+'1. Inputs'!$B$10*MAX(0,$A61-'1. Inputs'!$C$26-'1. Inputs'!$B$30+1)/(MAX(0,$A61-'1. Inputs'!$C$26-'1. Inputs'!$B$30+1)+'1. Inputs'!$B$11))*'1. Inputs'!$B$13*(1+'1. Inputs'!$B$14*MIN(MAX(0,$A61-'1. Inputs'!$C$26-'1. Inputs'!$B$30+1),'1. Inputs'!$B$15))*'1. Inputs'!$B$31)</f>
        <v>2097183.7015544</v>
      </c>
      <c r="N61" s="22" t="n">
        <f aca="false">IF(MAX(0,$A61-'1. Inputs'!$C$27-'1. Inputs'!$B$30+1)&lt;=0,0,'1. Inputs'!$B$27*('1. Inputs'!$B$5-'5. Diagnosing a miss'!$B$21)*MAX(0,$A61-'1. Inputs'!$C$27-'1. Inputs'!$B$30+1)^'1. Inputs'!$B$7/('1. Inputs'!$B$6^'1. Inputs'!$B$7+MAX(0,$A61-'1. Inputs'!$C$27-'1. Inputs'!$B$30+1)^'1. Inputs'!$B$7)*('1. Inputs'!$B$9+'1. Inputs'!$B$10*MAX(0,$A61-'1. Inputs'!$C$27-'1. Inputs'!$B$30+1)/(MAX(0,$A61-'1. Inputs'!$C$27-'1. Inputs'!$B$30+1)+'1. Inputs'!$B$11))*'1. Inputs'!$B$13*(1+'1. Inputs'!$B$14*MIN(MAX(0,$A61-'1. Inputs'!$C$27-'1. Inputs'!$B$30+1),'1. Inputs'!$B$15))*'1. Inputs'!$B$31)</f>
        <v>1492736</v>
      </c>
      <c r="O61" s="22" t="n">
        <f aca="false">SUM(K61:N61)</f>
        <v>12147311.2457244</v>
      </c>
      <c r="P61" s="22" t="n">
        <f aca="false">IF($A61=MAX('1. Inputs'!$B$17,1),'1. Inputs'!$B$3,0)+IF($A61-'1. Inputs'!$B$17&gt;=1,INDEX(O$3:O$86,$A61-'1. Inputs'!$B$17),0)</f>
        <v>11591765.9397086</v>
      </c>
      <c r="Q61" s="22" t="n">
        <f aca="false">Q60*(1-'1. Inputs'!$B$18)+P61</f>
        <v>338223770.747891</v>
      </c>
      <c r="R61" s="22" t="n">
        <f aca="false">Q61*'1. Inputs'!$B$18</f>
        <v>3382237.70747891</v>
      </c>
      <c r="S61" s="22" t="n">
        <f aca="false">S60+O61-R61</f>
        <v>477928256.84267</v>
      </c>
      <c r="T61" s="22" t="n">
        <f aca="false">IF(MAX(0,$A61-'1. Inputs'!$C$24-'1. Inputs'!$B$30+1)&lt;=0,0,'1. Inputs'!$B$24*'1. Inputs'!$B$5*MAX(0,$A61-'1. Inputs'!$C$24-'1. Inputs'!$B$30+1)^'1. Inputs'!$B$7/('1. Inputs'!$B$6^'1. Inputs'!$B$7+MAX(0,$A61-'1. Inputs'!$C$24-'1. Inputs'!$B$30+1)^'1. Inputs'!$B$7)*('1. Inputs'!$B$9+'1. Inputs'!$B$10*MAX(0,$A61-'1. Inputs'!$C$24-'1. Inputs'!$B$30+1)/(MAX(0,$A61-'1. Inputs'!$C$24-'1. Inputs'!$B$30+1)+'1. Inputs'!$B$11))*'1. Inputs'!$B$13*(1+'1. Inputs'!$B$14*MIN(MAX(0,$A61-'1. Inputs'!$C$24-'1. Inputs'!$B$30+1),'1. Inputs'!$B$15))*('1. Inputs'!$B$31*'5. Diagnosing a miss'!$B$22))</f>
        <v>3737881.80035892</v>
      </c>
      <c r="U61" s="22" t="n">
        <f aca="false">IF(MAX(0,$A61-'1. Inputs'!$C$25-'1. Inputs'!$B$30+1)&lt;=0,0,'1. Inputs'!$B$25*'1. Inputs'!$B$5*MAX(0,$A61-'1. Inputs'!$C$25-'1. Inputs'!$B$30+1)^'1. Inputs'!$B$7/('1. Inputs'!$B$6^'1. Inputs'!$B$7+MAX(0,$A61-'1. Inputs'!$C$25-'1. Inputs'!$B$30+1)^'1. Inputs'!$B$7)*('1. Inputs'!$B$9+'1. Inputs'!$B$10*MAX(0,$A61-'1. Inputs'!$C$25-'1. Inputs'!$B$30+1)/(MAX(0,$A61-'1. Inputs'!$C$25-'1. Inputs'!$B$30+1)+'1. Inputs'!$B$11))*'1. Inputs'!$B$13*(1+'1. Inputs'!$B$14*MIN(MAX(0,$A61-'1. Inputs'!$C$25-'1. Inputs'!$B$30+1),'1. Inputs'!$B$15))*('1. Inputs'!$B$31*'5. Diagnosing a miss'!$B$22))</f>
        <v>4926477.13811321</v>
      </c>
      <c r="V61" s="22" t="n">
        <f aca="false">IF(MAX(0,$A61-'1. Inputs'!$C$26-'1. Inputs'!$B$30+1)&lt;=0,0,'1. Inputs'!$B$26*'1. Inputs'!$B$5*MAX(0,$A61-'1. Inputs'!$C$26-'1. Inputs'!$B$30+1)^'1. Inputs'!$B$7/('1. Inputs'!$B$6^'1. Inputs'!$B$7+MAX(0,$A61-'1. Inputs'!$C$26-'1. Inputs'!$B$30+1)^'1. Inputs'!$B$7)*('1. Inputs'!$B$9+'1. Inputs'!$B$10*MAX(0,$A61-'1. Inputs'!$C$26-'1. Inputs'!$B$30+1)/(MAX(0,$A61-'1. Inputs'!$C$26-'1. Inputs'!$B$30+1)+'1. Inputs'!$B$11))*'1. Inputs'!$B$13*(1+'1. Inputs'!$B$14*MIN(MAX(0,$A61-'1. Inputs'!$C$26-'1. Inputs'!$B$30+1),'1. Inputs'!$B$15))*('1. Inputs'!$B$31*'5. Diagnosing a miss'!$B$22))</f>
        <v>2123398.49782383</v>
      </c>
      <c r="W61" s="22" t="n">
        <f aca="false">IF(MAX(0,$A61-'1. Inputs'!$C$27-'1. Inputs'!$B$30+1)&lt;=0,0,'1. Inputs'!$B$27*'1. Inputs'!$B$5*MAX(0,$A61-'1. Inputs'!$C$27-'1. Inputs'!$B$30+1)^'1. Inputs'!$B$7/('1. Inputs'!$B$6^'1. Inputs'!$B$7+MAX(0,$A61-'1. Inputs'!$C$27-'1. Inputs'!$B$30+1)^'1. Inputs'!$B$7)*('1. Inputs'!$B$9+'1. Inputs'!$B$10*MAX(0,$A61-'1. Inputs'!$C$27-'1. Inputs'!$B$30+1)/(MAX(0,$A61-'1. Inputs'!$C$27-'1. Inputs'!$B$30+1)+'1. Inputs'!$B$11))*'1. Inputs'!$B$13*(1+'1. Inputs'!$B$14*MIN(MAX(0,$A61-'1. Inputs'!$C$27-'1. Inputs'!$B$30+1),'1. Inputs'!$B$15))*('1. Inputs'!$B$31*'5. Diagnosing a miss'!$B$22))</f>
        <v>1511395.2</v>
      </c>
      <c r="X61" s="22" t="n">
        <f aca="false">SUM(T61:W61)</f>
        <v>12299152.636296</v>
      </c>
      <c r="Y61" s="22" t="n">
        <f aca="false">IF($A61=MAX('1. Inputs'!$B$17,1),'1. Inputs'!$B$3,0)+IF($A61-'1. Inputs'!$B$17&gt;=1,INDEX(X$3:X$86,$A61-'1. Inputs'!$B$17),0)</f>
        <v>11736663.013955</v>
      </c>
      <c r="Z61" s="22" t="n">
        <f aca="false">Z60*(1-'1. Inputs'!$B$18)+Y61</f>
        <v>341282457.766819</v>
      </c>
      <c r="AA61" s="22" t="n">
        <f aca="false">Z61*'1. Inputs'!$B$18</f>
        <v>3412824.57766819</v>
      </c>
      <c r="AB61" s="22" t="n">
        <f aca="false">AB60+X61-AA61</f>
        <v>482744941.038937</v>
      </c>
      <c r="AC61" s="22" t="n">
        <f aca="false">IF(MAX(0,$A61-'1. Inputs'!$C$24-('1. Inputs'!$B$30+'5. Diagnosing a miss'!$B$23)+1)&lt;=0,0,'1. Inputs'!$B$24*'1. Inputs'!$B$5*MAX(0,$A61-'1. Inputs'!$C$24-('1. Inputs'!$B$30+'5. Diagnosing a miss'!$B$23)+1)^'1. Inputs'!$B$7/('1. Inputs'!$B$6^'1. Inputs'!$B$7+MAX(0,$A61-'1. Inputs'!$C$24-('1. Inputs'!$B$30+'5. Diagnosing a miss'!$B$23)+1)^'1. Inputs'!$B$7)*('1. Inputs'!$B$9+'1. Inputs'!$B$10*MAX(0,$A61-'1. Inputs'!$C$24-('1. Inputs'!$B$30+'5. Diagnosing a miss'!$B$23)+1)/(MAX(0,$A61-'1. Inputs'!$C$24-('1. Inputs'!$B$30+'5. Diagnosing a miss'!$B$23)+1)+'1. Inputs'!$B$11))*'1. Inputs'!$B$13*(1+'1. Inputs'!$B$14*MIN(MAX(0,$A61-'1. Inputs'!$C$24-('1. Inputs'!$B$30+'5. Diagnosing a miss'!$B$23)+1),'1. Inputs'!$B$15))*'1. Inputs'!$B$31)</f>
        <v>4125842.69662921</v>
      </c>
      <c r="AD61" s="22" t="n">
        <f aca="false">IF(MAX(0,$A61-'1. Inputs'!$C$25-('1. Inputs'!$B$30+'5. Diagnosing a miss'!$B$23)+1)&lt;=0,0,'1. Inputs'!$B$25*'1. Inputs'!$B$5*MAX(0,$A61-'1. Inputs'!$C$25-('1. Inputs'!$B$30+'5. Diagnosing a miss'!$B$23)+1)^'1. Inputs'!$B$7/('1. Inputs'!$B$6^'1. Inputs'!$B$7+MAX(0,$A61-'1. Inputs'!$C$25-('1. Inputs'!$B$30+'5. Diagnosing a miss'!$B$23)+1)^'1. Inputs'!$B$7)*('1. Inputs'!$B$9+'1. Inputs'!$B$10*MAX(0,$A61-'1. Inputs'!$C$25-('1. Inputs'!$B$30+'5. Diagnosing a miss'!$B$23)+1)/(MAX(0,$A61-'1. Inputs'!$C$25-('1. Inputs'!$B$30+'5. Diagnosing a miss'!$B$23)+1)+'1. Inputs'!$B$11))*'1. Inputs'!$B$13*(1+'1. Inputs'!$B$14*MIN(MAX(0,$A61-'1. Inputs'!$C$25-('1. Inputs'!$B$30+'5. Diagnosing a miss'!$B$23)+1),'1. Inputs'!$B$15))*'1. Inputs'!$B$31)</f>
        <v>5427692.30769231</v>
      </c>
      <c r="AE61" s="22" t="n">
        <f aca="false">IF(MAX(0,$A61-'1. Inputs'!$C$26-('1. Inputs'!$B$30+'5. Diagnosing a miss'!$B$23)+1)&lt;=0,0,'1. Inputs'!$B$26*'1. Inputs'!$B$5*MAX(0,$A61-'1. Inputs'!$C$26-('1. Inputs'!$B$30+'5. Diagnosing a miss'!$B$23)+1)^'1. Inputs'!$B$7/('1. Inputs'!$B$6^'1. Inputs'!$B$7+MAX(0,$A61-'1. Inputs'!$C$26-('1. Inputs'!$B$30+'5. Diagnosing a miss'!$B$23)+1)^'1. Inputs'!$B$7)*('1. Inputs'!$B$9+'1. Inputs'!$B$10*MAX(0,$A61-'1. Inputs'!$C$26-('1. Inputs'!$B$30+'5. Diagnosing a miss'!$B$23)+1)/(MAX(0,$A61-'1. Inputs'!$C$26-('1. Inputs'!$B$30+'5. Diagnosing a miss'!$B$23)+1)+'1. Inputs'!$B$11))*'1. Inputs'!$B$13*(1+'1. Inputs'!$B$14*MIN(MAX(0,$A61-'1. Inputs'!$C$26-('1. Inputs'!$B$30+'5. Diagnosing a miss'!$B$23)+1),'1. Inputs'!$B$15))*'1. Inputs'!$B$31)</f>
        <v>2333080.82663011</v>
      </c>
      <c r="AF61" s="22" t="n">
        <f aca="false">IF(MAX(0,$A61-'1. Inputs'!$C$27-('1. Inputs'!$B$30+'5. Diagnosing a miss'!$B$23)+1)&lt;=0,0,'1. Inputs'!$B$27*'1. Inputs'!$B$5*MAX(0,$A61-'1. Inputs'!$C$27-('1. Inputs'!$B$30+'5. Diagnosing a miss'!$B$23)+1)^'1. Inputs'!$B$7/('1. Inputs'!$B$6^'1. Inputs'!$B$7+MAX(0,$A61-'1. Inputs'!$C$27-('1. Inputs'!$B$30+'5. Diagnosing a miss'!$B$23)+1)^'1. Inputs'!$B$7)*('1. Inputs'!$B$9+'1. Inputs'!$B$10*MAX(0,$A61-'1. Inputs'!$C$27-('1. Inputs'!$B$30+'5. Diagnosing a miss'!$B$23)+1)/(MAX(0,$A61-'1. Inputs'!$C$27-('1. Inputs'!$B$30+'5. Diagnosing a miss'!$B$23)+1)+'1. Inputs'!$B$11))*'1. Inputs'!$B$13*(1+'1. Inputs'!$B$14*MIN(MAX(0,$A61-'1. Inputs'!$C$27-('1. Inputs'!$B$30+'5. Diagnosing a miss'!$B$23)+1),'1. Inputs'!$B$15))*'1. Inputs'!$B$31)</f>
        <v>1659496.4494382</v>
      </c>
      <c r="AG61" s="22" t="n">
        <f aca="false">SUM(AC61:AF61)</f>
        <v>13546112.2803898</v>
      </c>
      <c r="AH61" s="22" t="n">
        <f aca="false">IF($A61=MAX('1. Inputs'!$B$17,1),'1. Inputs'!$B$3,0)+IF($A61-'1. Inputs'!$B$17&gt;=1,INDEX(AG$3:AG$86,$A61-'1. Inputs'!$B$17),0)</f>
        <v>12797973.2562863</v>
      </c>
      <c r="AI61" s="22" t="n">
        <f aca="false">AI60*(1-'1. Inputs'!$B$18)+AH61</f>
        <v>337553974.529734</v>
      </c>
      <c r="AJ61" s="22" t="n">
        <f aca="false">AI61*'1. Inputs'!$B$18</f>
        <v>3375539.74529734</v>
      </c>
      <c r="AK61" s="22" t="n">
        <f aca="false">AK60+AG61-AJ61</f>
        <v>493159890.462182</v>
      </c>
    </row>
    <row r="62" customFormat="false" ht="15" hidden="false" customHeight="false" outlineLevel="0" collapsed="false">
      <c r="A62" s="7" t="n">
        <v>60</v>
      </c>
      <c r="B62" s="22" t="n">
        <f aca="false">IF(MAX(0,$A62-'1. Inputs'!$C$24-'1. Inputs'!$B$30+1)&lt;=0,0,'1. Inputs'!$B$24*'1. Inputs'!$B$5*MAX(0,$A62-'1. Inputs'!$C$24-'1. Inputs'!$B$30+1)^'1. Inputs'!$B$7/('1. Inputs'!$B$6^'1. Inputs'!$B$7+MAX(0,$A62-'1. Inputs'!$C$24-'1. Inputs'!$B$30+1)^'1. Inputs'!$B$7)*('1. Inputs'!$B$9+'1. Inputs'!$B$10*MAX(0,$A62-'1. Inputs'!$C$24-'1. Inputs'!$B$30+1)/(MAX(0,$A62-'1. Inputs'!$C$24-'1. Inputs'!$B$30+1)+'1. Inputs'!$B$11))*'1. Inputs'!$B$13*(1+'1. Inputs'!$B$14*MIN(MAX(0,$A62-'1. Inputs'!$C$24-'1. Inputs'!$B$30+1),'1. Inputs'!$B$15))*'1. Inputs'!$B$31)</f>
        <v>4161547.07027027</v>
      </c>
      <c r="C62" s="22" t="n">
        <f aca="false">IF(MAX(0,$A62-'1. Inputs'!$C$25-'1. Inputs'!$B$30+1)&lt;=0,0,'1. Inputs'!$B$25*'1. Inputs'!$B$5*MAX(0,$A62-'1. Inputs'!$C$25-'1. Inputs'!$B$30+1)^'1. Inputs'!$B$7/('1. Inputs'!$B$6^'1. Inputs'!$B$7+MAX(0,$A62-'1. Inputs'!$C$25-'1. Inputs'!$B$30+1)^'1. Inputs'!$B$7)*('1. Inputs'!$B$9+'1. Inputs'!$B$10*MAX(0,$A62-'1. Inputs'!$C$25-'1. Inputs'!$B$30+1)/(MAX(0,$A62-'1. Inputs'!$C$25-'1. Inputs'!$B$30+1)+'1. Inputs'!$B$11))*'1. Inputs'!$B$13*(1+'1. Inputs'!$B$14*MIN(MAX(0,$A62-'1. Inputs'!$C$25-'1. Inputs'!$B$30+1),'1. Inputs'!$B$15))*'1. Inputs'!$B$31)</f>
        <v>5487814.10510586</v>
      </c>
      <c r="D62" s="22" t="n">
        <f aca="false">IF(MAX(0,$A62-'1. Inputs'!$C$26-'1. Inputs'!$B$30+1)&lt;=0,0,'1. Inputs'!$B$26*'1. Inputs'!$B$5*MAX(0,$A62-'1. Inputs'!$C$26-'1. Inputs'!$B$30+1)^'1. Inputs'!$B$7/('1. Inputs'!$B$6^'1. Inputs'!$B$7+MAX(0,$A62-'1. Inputs'!$C$26-'1. Inputs'!$B$30+1)^'1. Inputs'!$B$7)*('1. Inputs'!$B$9+'1. Inputs'!$B$10*MAX(0,$A62-'1. Inputs'!$C$26-'1. Inputs'!$B$30+1)/(MAX(0,$A62-'1. Inputs'!$C$26-'1. Inputs'!$B$30+1)+'1. Inputs'!$B$11))*'1. Inputs'!$B$13*(1+'1. Inputs'!$B$14*MIN(MAX(0,$A62-'1. Inputs'!$C$26-'1. Inputs'!$B$30+1),'1. Inputs'!$B$15))*'1. Inputs'!$B$31)</f>
        <v>2367173.32688151</v>
      </c>
      <c r="E62" s="22" t="n">
        <f aca="false">IF(MAX(0,$A62-'1. Inputs'!$C$27-'1. Inputs'!$B$30+1)&lt;=0,0,'1. Inputs'!$B$27*'1. Inputs'!$B$5*MAX(0,$A62-'1. Inputs'!$C$27-'1. Inputs'!$B$30+1)^'1. Inputs'!$B$7/('1. Inputs'!$B$6^'1. Inputs'!$B$7+MAX(0,$A62-'1. Inputs'!$C$27-'1. Inputs'!$B$30+1)^'1. Inputs'!$B$7)*('1. Inputs'!$B$9+'1. Inputs'!$B$10*MAX(0,$A62-'1. Inputs'!$C$27-'1. Inputs'!$B$30+1)/(MAX(0,$A62-'1. Inputs'!$C$27-'1. Inputs'!$B$30+1)+'1. Inputs'!$B$11))*'1. Inputs'!$B$13*(1+'1. Inputs'!$B$14*MIN(MAX(0,$A62-'1. Inputs'!$C$27-'1. Inputs'!$B$30+1),'1. Inputs'!$B$15))*'1. Inputs'!$B$31)</f>
        <v>1685236.90303479</v>
      </c>
      <c r="F62" s="22" t="n">
        <f aca="false">SUM(B62:E62)</f>
        <v>13701771.4052924</v>
      </c>
      <c r="G62" s="22" t="n">
        <f aca="false">IF($A62=MAX('1. Inputs'!$B$17,1),'1. Inputs'!$B$3,0)+IF($A62-'1. Inputs'!$B$17&gt;=1,INDEX(F$3:F$86,$A62-'1. Inputs'!$B$17),0)</f>
        <v>13111414.5690735</v>
      </c>
      <c r="H62" s="22" t="n">
        <f aca="false">H61*(1-'1. Inputs'!$B$18)+G62</f>
        <v>378233949.09687</v>
      </c>
      <c r="I62" s="22" t="n">
        <f aca="false">H62*'1. Inputs'!$B$18</f>
        <v>3782339.4909687</v>
      </c>
      <c r="J62" s="22" t="n">
        <f aca="false">J61+F62-I62</f>
        <v>536014530.71966</v>
      </c>
      <c r="K62" s="22" t="n">
        <f aca="false">IF(MAX(0,$A62-'1. Inputs'!$C$24-'1. Inputs'!$B$30+1)&lt;=0,0,'1. Inputs'!$B$24*('1. Inputs'!$B$5-'5. Diagnosing a miss'!$B$21)*MAX(0,$A62-'1. Inputs'!$C$24-'1. Inputs'!$B$30+1)^'1. Inputs'!$B$7/('1. Inputs'!$B$6^'1. Inputs'!$B$7+MAX(0,$A62-'1. Inputs'!$C$24-'1. Inputs'!$B$30+1)^'1. Inputs'!$B$7)*('1. Inputs'!$B$9+'1. Inputs'!$B$10*MAX(0,$A62-'1. Inputs'!$C$24-'1. Inputs'!$B$30+1)/(MAX(0,$A62-'1. Inputs'!$C$24-'1. Inputs'!$B$30+1)+'1. Inputs'!$B$11))*'1. Inputs'!$B$13*(1+'1. Inputs'!$B$14*MIN(MAX(0,$A62-'1. Inputs'!$C$24-'1. Inputs'!$B$30+1),'1. Inputs'!$B$15))*'1. Inputs'!$B$31)</f>
        <v>3699152.95135135</v>
      </c>
      <c r="L62" s="22" t="n">
        <f aca="false">IF(MAX(0,$A62-'1. Inputs'!$C$25-'1. Inputs'!$B$30+1)&lt;=0,0,'1. Inputs'!$B$25*('1. Inputs'!$B$5-'5. Diagnosing a miss'!$B$21)*MAX(0,$A62-'1. Inputs'!$C$25-'1. Inputs'!$B$30+1)^'1. Inputs'!$B$7/('1. Inputs'!$B$6^'1. Inputs'!$B$7+MAX(0,$A62-'1. Inputs'!$C$25-'1. Inputs'!$B$30+1)^'1. Inputs'!$B$7)*('1. Inputs'!$B$9+'1. Inputs'!$B$10*MAX(0,$A62-'1. Inputs'!$C$25-'1. Inputs'!$B$30+1)/(MAX(0,$A62-'1. Inputs'!$C$25-'1. Inputs'!$B$30+1)+'1. Inputs'!$B$11))*'1. Inputs'!$B$13*(1+'1. Inputs'!$B$14*MIN(MAX(0,$A62-'1. Inputs'!$C$25-'1. Inputs'!$B$30+1),'1. Inputs'!$B$15))*'1. Inputs'!$B$31)</f>
        <v>4878056.98231631</v>
      </c>
      <c r="M62" s="22" t="n">
        <f aca="false">IF(MAX(0,$A62-'1. Inputs'!$C$26-'1. Inputs'!$B$30+1)&lt;=0,0,'1. Inputs'!$B$26*('1. Inputs'!$B$5-'5. Diagnosing a miss'!$B$21)*MAX(0,$A62-'1. Inputs'!$C$26-'1. Inputs'!$B$30+1)^'1. Inputs'!$B$7/('1. Inputs'!$B$6^'1. Inputs'!$B$7+MAX(0,$A62-'1. Inputs'!$C$26-'1. Inputs'!$B$30+1)^'1. Inputs'!$B$7)*('1. Inputs'!$B$9+'1. Inputs'!$B$10*MAX(0,$A62-'1. Inputs'!$C$26-'1. Inputs'!$B$30+1)/(MAX(0,$A62-'1. Inputs'!$C$26-'1. Inputs'!$B$30+1)+'1. Inputs'!$B$11))*'1. Inputs'!$B$13*(1+'1. Inputs'!$B$14*MIN(MAX(0,$A62-'1. Inputs'!$C$26-'1. Inputs'!$B$30+1),'1. Inputs'!$B$15))*'1. Inputs'!$B$31)</f>
        <v>2104154.06833912</v>
      </c>
      <c r="N62" s="22" t="n">
        <f aca="false">IF(MAX(0,$A62-'1. Inputs'!$C$27-'1. Inputs'!$B$30+1)&lt;=0,0,'1. Inputs'!$B$27*('1. Inputs'!$B$5-'5. Diagnosing a miss'!$B$21)*MAX(0,$A62-'1. Inputs'!$C$27-'1. Inputs'!$B$30+1)^'1. Inputs'!$B$7/('1. Inputs'!$B$6^'1. Inputs'!$B$7+MAX(0,$A62-'1. Inputs'!$C$27-'1. Inputs'!$B$30+1)^'1. Inputs'!$B$7)*('1. Inputs'!$B$9+'1. Inputs'!$B$10*MAX(0,$A62-'1. Inputs'!$C$27-'1. Inputs'!$B$30+1)/(MAX(0,$A62-'1. Inputs'!$C$27-'1. Inputs'!$B$30+1)+'1. Inputs'!$B$11))*'1. Inputs'!$B$13*(1+'1. Inputs'!$B$14*MIN(MAX(0,$A62-'1. Inputs'!$C$27-'1. Inputs'!$B$30+1),'1. Inputs'!$B$15))*'1. Inputs'!$B$31)</f>
        <v>1497988.35825315</v>
      </c>
      <c r="O62" s="22" t="n">
        <f aca="false">SUM(K62:N62)</f>
        <v>12179352.3602599</v>
      </c>
      <c r="P62" s="22" t="n">
        <f aca="false">IF($A62=MAX('1. Inputs'!$B$17,1),'1. Inputs'!$B$3,0)+IF($A62-'1. Inputs'!$B$17&gt;=1,INDEX(O$3:O$86,$A62-'1. Inputs'!$B$17),0)</f>
        <v>11654590.7280653</v>
      </c>
      <c r="Q62" s="22" t="n">
        <f aca="false">Q61*(1-'1. Inputs'!$B$18)+P62</f>
        <v>346496123.768478</v>
      </c>
      <c r="R62" s="22" t="n">
        <f aca="false">Q62*'1. Inputs'!$B$18</f>
        <v>3464961.23768478</v>
      </c>
      <c r="S62" s="22" t="n">
        <f aca="false">S61+O62-R62</f>
        <v>486642647.965245</v>
      </c>
      <c r="T62" s="22" t="n">
        <f aca="false">IF(MAX(0,$A62-'1. Inputs'!$C$24-'1. Inputs'!$B$30+1)&lt;=0,0,'1. Inputs'!$B$24*'1. Inputs'!$B$5*MAX(0,$A62-'1. Inputs'!$C$24-'1. Inputs'!$B$30+1)^'1. Inputs'!$B$7/('1. Inputs'!$B$6^'1. Inputs'!$B$7+MAX(0,$A62-'1. Inputs'!$C$24-'1. Inputs'!$B$30+1)^'1. Inputs'!$B$7)*('1. Inputs'!$B$9+'1. Inputs'!$B$10*MAX(0,$A62-'1. Inputs'!$C$24-'1. Inputs'!$B$30+1)/(MAX(0,$A62-'1. Inputs'!$C$24-'1. Inputs'!$B$30+1)+'1. Inputs'!$B$11))*'1. Inputs'!$B$13*(1+'1. Inputs'!$B$14*MIN(MAX(0,$A62-'1. Inputs'!$C$24-'1. Inputs'!$B$30+1),'1. Inputs'!$B$15))*('1. Inputs'!$B$31*'5. Diagnosing a miss'!$B$22))</f>
        <v>3745392.36324324</v>
      </c>
      <c r="U62" s="22" t="n">
        <f aca="false">IF(MAX(0,$A62-'1. Inputs'!$C$25-'1. Inputs'!$B$30+1)&lt;=0,0,'1. Inputs'!$B$25*'1. Inputs'!$B$5*MAX(0,$A62-'1. Inputs'!$C$25-'1. Inputs'!$B$30+1)^'1. Inputs'!$B$7/('1. Inputs'!$B$6^'1. Inputs'!$B$7+MAX(0,$A62-'1. Inputs'!$C$25-'1. Inputs'!$B$30+1)^'1. Inputs'!$B$7)*('1. Inputs'!$B$9+'1. Inputs'!$B$10*MAX(0,$A62-'1. Inputs'!$C$25-'1. Inputs'!$B$30+1)/(MAX(0,$A62-'1. Inputs'!$C$25-'1. Inputs'!$B$30+1)+'1. Inputs'!$B$11))*'1. Inputs'!$B$13*(1+'1. Inputs'!$B$14*MIN(MAX(0,$A62-'1. Inputs'!$C$25-'1. Inputs'!$B$30+1),'1. Inputs'!$B$15))*('1. Inputs'!$B$31*'5. Diagnosing a miss'!$B$22))</f>
        <v>4939032.69459527</v>
      </c>
      <c r="V62" s="22" t="n">
        <f aca="false">IF(MAX(0,$A62-'1. Inputs'!$C$26-'1. Inputs'!$B$30+1)&lt;=0,0,'1. Inputs'!$B$26*'1. Inputs'!$B$5*MAX(0,$A62-'1. Inputs'!$C$26-'1. Inputs'!$B$30+1)^'1. Inputs'!$B$7/('1. Inputs'!$B$6^'1. Inputs'!$B$7+MAX(0,$A62-'1. Inputs'!$C$26-'1. Inputs'!$B$30+1)^'1. Inputs'!$B$7)*('1. Inputs'!$B$9+'1. Inputs'!$B$10*MAX(0,$A62-'1. Inputs'!$C$26-'1. Inputs'!$B$30+1)/(MAX(0,$A62-'1. Inputs'!$C$26-'1. Inputs'!$B$30+1)+'1. Inputs'!$B$11))*'1. Inputs'!$B$13*(1+'1. Inputs'!$B$14*MIN(MAX(0,$A62-'1. Inputs'!$C$26-'1. Inputs'!$B$30+1),'1. Inputs'!$B$15))*('1. Inputs'!$B$31*'5. Diagnosing a miss'!$B$22))</f>
        <v>2130455.99419336</v>
      </c>
      <c r="W62" s="22" t="n">
        <f aca="false">IF(MAX(0,$A62-'1. Inputs'!$C$27-'1. Inputs'!$B$30+1)&lt;=0,0,'1. Inputs'!$B$27*'1. Inputs'!$B$5*MAX(0,$A62-'1. Inputs'!$C$27-'1. Inputs'!$B$30+1)^'1. Inputs'!$B$7/('1. Inputs'!$B$6^'1. Inputs'!$B$7+MAX(0,$A62-'1. Inputs'!$C$27-'1. Inputs'!$B$30+1)^'1. Inputs'!$B$7)*('1. Inputs'!$B$9+'1. Inputs'!$B$10*MAX(0,$A62-'1. Inputs'!$C$27-'1. Inputs'!$B$30+1)/(MAX(0,$A62-'1. Inputs'!$C$27-'1. Inputs'!$B$30+1)+'1. Inputs'!$B$11))*'1. Inputs'!$B$13*(1+'1. Inputs'!$B$14*MIN(MAX(0,$A62-'1. Inputs'!$C$27-'1. Inputs'!$B$30+1),'1. Inputs'!$B$15))*('1. Inputs'!$B$31*'5. Diagnosing a miss'!$B$22))</f>
        <v>1516713.21273131</v>
      </c>
      <c r="X62" s="22" t="n">
        <f aca="false">SUM(T62:W62)</f>
        <v>12331594.2647632</v>
      </c>
      <c r="Y62" s="22" t="n">
        <f aca="false">IF($A62=MAX('1. Inputs'!$B$17,1),'1. Inputs'!$B$3,0)+IF($A62-'1. Inputs'!$B$17&gt;=1,INDEX(X$3:X$86,$A62-'1. Inputs'!$B$17),0)</f>
        <v>11800273.1121661</v>
      </c>
      <c r="Z62" s="22" t="n">
        <f aca="false">Z61*(1-'1. Inputs'!$B$18)+Y62</f>
        <v>349669906.301317</v>
      </c>
      <c r="AA62" s="22" t="n">
        <f aca="false">Z62*'1. Inputs'!$B$18</f>
        <v>3496699.06301317</v>
      </c>
      <c r="AB62" s="22" t="n">
        <f aca="false">AB61+X62-AA62</f>
        <v>491579836.240687</v>
      </c>
      <c r="AC62" s="22" t="n">
        <f aca="false">IF(MAX(0,$A62-'1. Inputs'!$C$24-('1. Inputs'!$B$30+'5. Diagnosing a miss'!$B$23)+1)&lt;=0,0,'1. Inputs'!$B$24*'1. Inputs'!$B$5*MAX(0,$A62-'1. Inputs'!$C$24-('1. Inputs'!$B$30+'5. Diagnosing a miss'!$B$23)+1)^'1. Inputs'!$B$7/('1. Inputs'!$B$6^'1. Inputs'!$B$7+MAX(0,$A62-'1. Inputs'!$C$24-('1. Inputs'!$B$30+'5. Diagnosing a miss'!$B$23)+1)^'1. Inputs'!$B$7)*('1. Inputs'!$B$9+'1. Inputs'!$B$10*MAX(0,$A62-'1. Inputs'!$C$24-('1. Inputs'!$B$30+'5. Diagnosing a miss'!$B$23)+1)/(MAX(0,$A62-'1. Inputs'!$C$24-('1. Inputs'!$B$30+'5. Diagnosing a miss'!$B$23)+1)+'1. Inputs'!$B$11))*'1. Inputs'!$B$13*(1+'1. Inputs'!$B$14*MIN(MAX(0,$A62-'1. Inputs'!$C$24-('1. Inputs'!$B$30+'5. Diagnosing a miss'!$B$23)+1),'1. Inputs'!$B$15))*'1. Inputs'!$B$31)</f>
        <v>4135375.01095019</v>
      </c>
      <c r="AD62" s="22" t="n">
        <f aca="false">IF(MAX(0,$A62-'1. Inputs'!$C$25-('1. Inputs'!$B$30+'5. Diagnosing a miss'!$B$23)+1)&lt;=0,0,'1. Inputs'!$B$25*'1. Inputs'!$B$5*MAX(0,$A62-'1. Inputs'!$C$25-('1. Inputs'!$B$30+'5. Diagnosing a miss'!$B$23)+1)^'1. Inputs'!$B$7/('1. Inputs'!$B$6^'1. Inputs'!$B$7+MAX(0,$A62-'1. Inputs'!$C$25-('1. Inputs'!$B$30+'5. Diagnosing a miss'!$B$23)+1)^'1. Inputs'!$B$7)*('1. Inputs'!$B$9+'1. Inputs'!$B$10*MAX(0,$A62-'1. Inputs'!$C$25-('1. Inputs'!$B$30+'5. Diagnosing a miss'!$B$23)+1)/(MAX(0,$A62-'1. Inputs'!$C$25-('1. Inputs'!$B$30+'5. Diagnosing a miss'!$B$23)+1)+'1. Inputs'!$B$11))*'1. Inputs'!$B$13*(1+'1. Inputs'!$B$14*MIN(MAX(0,$A62-'1. Inputs'!$C$25-('1. Inputs'!$B$30+'5. Diagnosing a miss'!$B$23)+1),'1. Inputs'!$B$15))*'1. Inputs'!$B$31)</f>
        <v>5443854.18885893</v>
      </c>
      <c r="AE62" s="22" t="n">
        <f aca="false">IF(MAX(0,$A62-'1. Inputs'!$C$26-('1. Inputs'!$B$30+'5. Diagnosing a miss'!$B$23)+1)&lt;=0,0,'1. Inputs'!$B$26*'1. Inputs'!$B$5*MAX(0,$A62-'1. Inputs'!$C$26-('1. Inputs'!$B$30+'5. Diagnosing a miss'!$B$23)+1)^'1. Inputs'!$B$7/('1. Inputs'!$B$6^'1. Inputs'!$B$7+MAX(0,$A62-'1. Inputs'!$C$26-('1. Inputs'!$B$30+'5. Diagnosing a miss'!$B$23)+1)^'1. Inputs'!$B$7)*('1. Inputs'!$B$9+'1. Inputs'!$B$10*MAX(0,$A62-'1. Inputs'!$C$26-('1. Inputs'!$B$30+'5. Diagnosing a miss'!$B$23)+1)/(MAX(0,$A62-'1. Inputs'!$C$26-('1. Inputs'!$B$30+'5. Diagnosing a miss'!$B$23)+1)+'1. Inputs'!$B$11))*'1. Inputs'!$B$13*(1+'1. Inputs'!$B$14*MIN(MAX(0,$A62-'1. Inputs'!$C$26-('1. Inputs'!$B$30+'5. Diagnosing a miss'!$B$23)+1),'1. Inputs'!$B$15))*'1. Inputs'!$B$31)</f>
        <v>2342321.5657256</v>
      </c>
      <c r="AF62" s="22" t="n">
        <f aca="false">IF(MAX(0,$A62-'1. Inputs'!$C$27-('1. Inputs'!$B$30+'5. Diagnosing a miss'!$B$23)+1)&lt;=0,0,'1. Inputs'!$B$27*'1. Inputs'!$B$5*MAX(0,$A62-'1. Inputs'!$C$27-('1. Inputs'!$B$30+'5. Diagnosing a miss'!$B$23)+1)^'1. Inputs'!$B$7/('1. Inputs'!$B$6^'1. Inputs'!$B$7+MAX(0,$A62-'1. Inputs'!$C$27-('1. Inputs'!$B$30+'5. Diagnosing a miss'!$B$23)+1)^'1. Inputs'!$B$7)*('1. Inputs'!$B$9+'1. Inputs'!$B$10*MAX(0,$A62-'1. Inputs'!$C$27-('1. Inputs'!$B$30+'5. Diagnosing a miss'!$B$23)+1)/(MAX(0,$A62-'1. Inputs'!$C$27-('1. Inputs'!$B$30+'5. Diagnosing a miss'!$B$23)+1)+'1. Inputs'!$B$11))*'1. Inputs'!$B$13*(1+'1. Inputs'!$B$14*MIN(MAX(0,$A62-'1. Inputs'!$C$27-('1. Inputs'!$B$30+'5. Diagnosing a miss'!$B$23)+1),'1. Inputs'!$B$15))*'1. Inputs'!$B$31)</f>
        <v>1666486.30473579</v>
      </c>
      <c r="AG62" s="22" t="n">
        <f aca="false">SUM(AC62:AF62)</f>
        <v>13588037.0702705</v>
      </c>
      <c r="AH62" s="22" t="n">
        <f aca="false">IF($A62=MAX('1. Inputs'!$B$17,1),'1. Inputs'!$B$3,0)+IF($A62-'1. Inputs'!$B$17&gt;=1,INDEX(AG$3:AG$86,$A62-'1. Inputs'!$B$17),0)</f>
        <v>12884515.3859754</v>
      </c>
      <c r="AI62" s="22" t="n">
        <f aca="false">AI61*(1-'1. Inputs'!$B$18)+AH62</f>
        <v>347062950.170412</v>
      </c>
      <c r="AJ62" s="22" t="n">
        <f aca="false">AI62*'1. Inputs'!$B$18</f>
        <v>3470629.50170412</v>
      </c>
      <c r="AK62" s="22" t="n">
        <f aca="false">AK61+AG62-AJ62</f>
        <v>503277298.030749</v>
      </c>
    </row>
    <row r="63" customFormat="false" ht="15" hidden="false" customHeight="false" outlineLevel="0" collapsed="false">
      <c r="A63" s="7" t="n">
        <v>61</v>
      </c>
      <c r="B63" s="22" t="n">
        <f aca="false">IF(MAX(0,$A63-'1. Inputs'!$C$24-'1. Inputs'!$B$30+1)&lt;=0,0,'1. Inputs'!$B$24*'1. Inputs'!$B$5*MAX(0,$A63-'1. Inputs'!$C$24-'1. Inputs'!$B$30+1)^'1. Inputs'!$B$7/('1. Inputs'!$B$6^'1. Inputs'!$B$7+MAX(0,$A63-'1. Inputs'!$C$24-'1. Inputs'!$B$30+1)^'1. Inputs'!$B$7)*('1. Inputs'!$B$9+'1. Inputs'!$B$10*MAX(0,$A63-'1. Inputs'!$C$24-'1. Inputs'!$B$30+1)/(MAX(0,$A63-'1. Inputs'!$C$24-'1. Inputs'!$B$30+1)+'1. Inputs'!$B$11))*'1. Inputs'!$B$13*(1+'1. Inputs'!$B$14*MIN(MAX(0,$A63-'1. Inputs'!$C$24-'1. Inputs'!$B$30+1),'1. Inputs'!$B$15))*'1. Inputs'!$B$31)</f>
        <v>4169543.5381546</v>
      </c>
      <c r="C63" s="22" t="n">
        <f aca="false">IF(MAX(0,$A63-'1. Inputs'!$C$25-'1. Inputs'!$B$30+1)&lt;=0,0,'1. Inputs'!$B$25*'1. Inputs'!$B$5*MAX(0,$A63-'1. Inputs'!$C$25-'1. Inputs'!$B$30+1)^'1. Inputs'!$B$7/('1. Inputs'!$B$6^'1. Inputs'!$B$7+MAX(0,$A63-'1. Inputs'!$C$25-'1. Inputs'!$B$30+1)^'1. Inputs'!$B$7)*('1. Inputs'!$B$9+'1. Inputs'!$B$10*MAX(0,$A63-'1. Inputs'!$C$25-'1. Inputs'!$B$30+1)/(MAX(0,$A63-'1. Inputs'!$C$25-'1. Inputs'!$B$30+1)+'1. Inputs'!$B$11))*'1. Inputs'!$B$13*(1+'1. Inputs'!$B$14*MIN(MAX(0,$A63-'1. Inputs'!$C$25-'1. Inputs'!$B$30+1),'1. Inputs'!$B$15))*'1. Inputs'!$B$31)</f>
        <v>5501123.59550562</v>
      </c>
      <c r="D63" s="22" t="n">
        <f aca="false">IF(MAX(0,$A63-'1. Inputs'!$C$26-'1. Inputs'!$B$30+1)&lt;=0,0,'1. Inputs'!$B$26*'1. Inputs'!$B$5*MAX(0,$A63-'1. Inputs'!$C$26-'1. Inputs'!$B$30+1)^'1. Inputs'!$B$7/('1. Inputs'!$B$6^'1. Inputs'!$B$7+MAX(0,$A63-'1. Inputs'!$C$26-'1. Inputs'!$B$30+1)^'1. Inputs'!$B$7)*('1. Inputs'!$B$9+'1. Inputs'!$B$10*MAX(0,$A63-'1. Inputs'!$C$26-'1. Inputs'!$B$30+1)/(MAX(0,$A63-'1. Inputs'!$C$26-'1. Inputs'!$B$30+1)+'1. Inputs'!$B$11))*'1. Inputs'!$B$13*(1+'1. Inputs'!$B$14*MIN(MAX(0,$A63-'1. Inputs'!$C$26-'1. Inputs'!$B$30+1),'1. Inputs'!$B$15))*'1. Inputs'!$B$31)</f>
        <v>2374615.38461538</v>
      </c>
      <c r="E63" s="22" t="n">
        <f aca="false">IF(MAX(0,$A63-'1. Inputs'!$C$27-'1. Inputs'!$B$30+1)&lt;=0,0,'1. Inputs'!$B$27*'1. Inputs'!$B$5*MAX(0,$A63-'1. Inputs'!$C$27-'1. Inputs'!$B$30+1)^'1. Inputs'!$B$7/('1. Inputs'!$B$6^'1. Inputs'!$B$7+MAX(0,$A63-'1. Inputs'!$C$27-'1. Inputs'!$B$30+1)^'1. Inputs'!$B$7)*('1. Inputs'!$B$9+'1. Inputs'!$B$10*MAX(0,$A63-'1. Inputs'!$C$27-'1. Inputs'!$B$30+1)/(MAX(0,$A63-'1. Inputs'!$C$27-'1. Inputs'!$B$30+1)+'1. Inputs'!$B$11))*'1. Inputs'!$B$13*(1+'1. Inputs'!$B$14*MIN(MAX(0,$A63-'1. Inputs'!$C$27-'1. Inputs'!$B$30+1),'1. Inputs'!$B$15))*'1. Inputs'!$B$31)</f>
        <v>1690838.09062965</v>
      </c>
      <c r="F63" s="22" t="n">
        <f aca="false">SUM(B63:E63)</f>
        <v>13736120.6089053</v>
      </c>
      <c r="G63" s="22" t="n">
        <f aca="false">IF($A63=MAX('1. Inputs'!$B$17,1),'1. Inputs'!$B$3,0)+IF($A63-'1. Inputs'!$B$17&gt;=1,INDEX(F$3:F$86,$A63-'1. Inputs'!$B$17),0)</f>
        <v>13177712.2504601</v>
      </c>
      <c r="H63" s="22" t="n">
        <f aca="false">H62*(1-'1. Inputs'!$B$18)+G63</f>
        <v>387629321.856361</v>
      </c>
      <c r="I63" s="22" t="n">
        <f aca="false">H63*'1. Inputs'!$B$18</f>
        <v>3876293.21856361</v>
      </c>
      <c r="J63" s="22" t="n">
        <f aca="false">J62+F63-I63</f>
        <v>545874358.110001</v>
      </c>
      <c r="K63" s="22" t="n">
        <f aca="false">IF(MAX(0,$A63-'1. Inputs'!$C$24-'1. Inputs'!$B$30+1)&lt;=0,0,'1. Inputs'!$B$24*('1. Inputs'!$B$5-'5. Diagnosing a miss'!$B$21)*MAX(0,$A63-'1. Inputs'!$C$24-'1. Inputs'!$B$30+1)^'1. Inputs'!$B$7/('1. Inputs'!$B$6^'1. Inputs'!$B$7+MAX(0,$A63-'1. Inputs'!$C$24-'1. Inputs'!$B$30+1)^'1. Inputs'!$B$7)*('1. Inputs'!$B$9+'1. Inputs'!$B$10*MAX(0,$A63-'1. Inputs'!$C$24-'1. Inputs'!$B$30+1)/(MAX(0,$A63-'1. Inputs'!$C$24-'1. Inputs'!$B$30+1)+'1. Inputs'!$B$11))*'1. Inputs'!$B$13*(1+'1. Inputs'!$B$14*MIN(MAX(0,$A63-'1. Inputs'!$C$24-'1. Inputs'!$B$30+1),'1. Inputs'!$B$15))*'1. Inputs'!$B$31)</f>
        <v>3706260.92280409</v>
      </c>
      <c r="L63" s="22" t="n">
        <f aca="false">IF(MAX(0,$A63-'1. Inputs'!$C$25-'1. Inputs'!$B$30+1)&lt;=0,0,'1. Inputs'!$B$25*('1. Inputs'!$B$5-'5. Diagnosing a miss'!$B$21)*MAX(0,$A63-'1. Inputs'!$C$25-'1. Inputs'!$B$30+1)^'1. Inputs'!$B$7/('1. Inputs'!$B$6^'1. Inputs'!$B$7+MAX(0,$A63-'1. Inputs'!$C$25-'1. Inputs'!$B$30+1)^'1. Inputs'!$B$7)*('1. Inputs'!$B$9+'1. Inputs'!$B$10*MAX(0,$A63-'1. Inputs'!$C$25-'1. Inputs'!$B$30+1)/(MAX(0,$A63-'1. Inputs'!$C$25-'1. Inputs'!$B$30+1)+'1. Inputs'!$B$11))*'1. Inputs'!$B$13*(1+'1. Inputs'!$B$14*MIN(MAX(0,$A63-'1. Inputs'!$C$25-'1. Inputs'!$B$30+1),'1. Inputs'!$B$15))*'1. Inputs'!$B$31)</f>
        <v>4889887.64044944</v>
      </c>
      <c r="M63" s="22" t="n">
        <f aca="false">IF(MAX(0,$A63-'1. Inputs'!$C$26-'1. Inputs'!$B$30+1)&lt;=0,0,'1. Inputs'!$B$26*('1. Inputs'!$B$5-'5. Diagnosing a miss'!$B$21)*MAX(0,$A63-'1. Inputs'!$C$26-'1. Inputs'!$B$30+1)^'1. Inputs'!$B$7/('1. Inputs'!$B$6^'1. Inputs'!$B$7+MAX(0,$A63-'1. Inputs'!$C$26-'1. Inputs'!$B$30+1)^'1. Inputs'!$B$7)*('1. Inputs'!$B$9+'1. Inputs'!$B$10*MAX(0,$A63-'1. Inputs'!$C$26-'1. Inputs'!$B$30+1)/(MAX(0,$A63-'1. Inputs'!$C$26-'1. Inputs'!$B$30+1)+'1. Inputs'!$B$11))*'1. Inputs'!$B$13*(1+'1. Inputs'!$B$14*MIN(MAX(0,$A63-'1. Inputs'!$C$26-'1. Inputs'!$B$30+1),'1. Inputs'!$B$15))*'1. Inputs'!$B$31)</f>
        <v>2110769.23076923</v>
      </c>
      <c r="N63" s="22" t="n">
        <f aca="false">IF(MAX(0,$A63-'1. Inputs'!$C$27-'1. Inputs'!$B$30+1)&lt;=0,0,'1. Inputs'!$B$27*('1. Inputs'!$B$5-'5. Diagnosing a miss'!$B$21)*MAX(0,$A63-'1. Inputs'!$C$27-'1. Inputs'!$B$30+1)^'1. Inputs'!$B$7/('1. Inputs'!$B$6^'1. Inputs'!$B$7+MAX(0,$A63-'1. Inputs'!$C$27-'1. Inputs'!$B$30+1)^'1. Inputs'!$B$7)*('1. Inputs'!$B$9+'1. Inputs'!$B$10*MAX(0,$A63-'1. Inputs'!$C$27-'1. Inputs'!$B$30+1)/(MAX(0,$A63-'1. Inputs'!$C$27-'1. Inputs'!$B$30+1)+'1. Inputs'!$B$11))*'1. Inputs'!$B$13*(1+'1. Inputs'!$B$14*MIN(MAX(0,$A63-'1. Inputs'!$C$27-'1. Inputs'!$B$30+1),'1. Inputs'!$B$15))*'1. Inputs'!$B$31)</f>
        <v>1502967.1916708</v>
      </c>
      <c r="O63" s="22" t="n">
        <f aca="false">SUM(K63:N63)</f>
        <v>12209884.9856936</v>
      </c>
      <c r="P63" s="22" t="n">
        <f aca="false">IF($A63=MAX('1. Inputs'!$B$17,1),'1. Inputs'!$B$3,0)+IF($A63-'1. Inputs'!$B$17&gt;=1,INDEX(O$3:O$86,$A63-'1. Inputs'!$B$17),0)</f>
        <v>11713522.0004089</v>
      </c>
      <c r="Q63" s="22" t="n">
        <f aca="false">Q62*(1-'1. Inputs'!$B$18)+P63</f>
        <v>354744684.531202</v>
      </c>
      <c r="R63" s="22" t="n">
        <f aca="false">Q63*'1. Inputs'!$B$18</f>
        <v>3547446.84531202</v>
      </c>
      <c r="S63" s="22" t="n">
        <f aca="false">S62+O63-R63</f>
        <v>495305086.105627</v>
      </c>
      <c r="T63" s="22" t="n">
        <f aca="false">IF(MAX(0,$A63-'1. Inputs'!$C$24-'1. Inputs'!$B$30+1)&lt;=0,0,'1. Inputs'!$B$24*'1. Inputs'!$B$5*MAX(0,$A63-'1. Inputs'!$C$24-'1. Inputs'!$B$30+1)^'1. Inputs'!$B$7/('1. Inputs'!$B$6^'1. Inputs'!$B$7+MAX(0,$A63-'1. Inputs'!$C$24-'1. Inputs'!$B$30+1)^'1. Inputs'!$B$7)*('1. Inputs'!$B$9+'1. Inputs'!$B$10*MAX(0,$A63-'1. Inputs'!$C$24-'1. Inputs'!$B$30+1)/(MAX(0,$A63-'1. Inputs'!$C$24-'1. Inputs'!$B$30+1)+'1. Inputs'!$B$11))*'1. Inputs'!$B$13*(1+'1. Inputs'!$B$14*MIN(MAX(0,$A63-'1. Inputs'!$C$24-'1. Inputs'!$B$30+1),'1. Inputs'!$B$15))*('1. Inputs'!$B$31*'5. Diagnosing a miss'!$B$22))</f>
        <v>3752589.18433914</v>
      </c>
      <c r="U63" s="22" t="n">
        <f aca="false">IF(MAX(0,$A63-'1. Inputs'!$C$25-'1. Inputs'!$B$30+1)&lt;=0,0,'1. Inputs'!$B$25*'1. Inputs'!$B$5*MAX(0,$A63-'1. Inputs'!$C$25-'1. Inputs'!$B$30+1)^'1. Inputs'!$B$7/('1. Inputs'!$B$6^'1. Inputs'!$B$7+MAX(0,$A63-'1. Inputs'!$C$25-'1. Inputs'!$B$30+1)^'1. Inputs'!$B$7)*('1. Inputs'!$B$9+'1. Inputs'!$B$10*MAX(0,$A63-'1. Inputs'!$C$25-'1. Inputs'!$B$30+1)/(MAX(0,$A63-'1. Inputs'!$C$25-'1. Inputs'!$B$30+1)+'1. Inputs'!$B$11))*'1. Inputs'!$B$13*(1+'1. Inputs'!$B$14*MIN(MAX(0,$A63-'1. Inputs'!$C$25-'1. Inputs'!$B$30+1),'1. Inputs'!$B$15))*('1. Inputs'!$B$31*'5. Diagnosing a miss'!$B$22))</f>
        <v>4951011.23595506</v>
      </c>
      <c r="V63" s="22" t="n">
        <f aca="false">IF(MAX(0,$A63-'1. Inputs'!$C$26-'1. Inputs'!$B$30+1)&lt;=0,0,'1. Inputs'!$B$26*'1. Inputs'!$B$5*MAX(0,$A63-'1. Inputs'!$C$26-'1. Inputs'!$B$30+1)^'1. Inputs'!$B$7/('1. Inputs'!$B$6^'1. Inputs'!$B$7+MAX(0,$A63-'1. Inputs'!$C$26-'1. Inputs'!$B$30+1)^'1. Inputs'!$B$7)*('1. Inputs'!$B$9+'1. Inputs'!$B$10*MAX(0,$A63-'1. Inputs'!$C$26-'1. Inputs'!$B$30+1)/(MAX(0,$A63-'1. Inputs'!$C$26-'1. Inputs'!$B$30+1)+'1. Inputs'!$B$11))*'1. Inputs'!$B$13*(1+'1. Inputs'!$B$14*MIN(MAX(0,$A63-'1. Inputs'!$C$26-'1. Inputs'!$B$30+1),'1. Inputs'!$B$15))*('1. Inputs'!$B$31*'5. Diagnosing a miss'!$B$22))</f>
        <v>2137153.84615385</v>
      </c>
      <c r="W63" s="22" t="n">
        <f aca="false">IF(MAX(0,$A63-'1. Inputs'!$C$27-'1. Inputs'!$B$30+1)&lt;=0,0,'1. Inputs'!$B$27*'1. Inputs'!$B$5*MAX(0,$A63-'1. Inputs'!$C$27-'1. Inputs'!$B$30+1)^'1. Inputs'!$B$7/('1. Inputs'!$B$6^'1. Inputs'!$B$7+MAX(0,$A63-'1. Inputs'!$C$27-'1. Inputs'!$B$30+1)^'1. Inputs'!$B$7)*('1. Inputs'!$B$9+'1. Inputs'!$B$10*MAX(0,$A63-'1. Inputs'!$C$27-'1. Inputs'!$B$30+1)/(MAX(0,$A63-'1. Inputs'!$C$27-'1. Inputs'!$B$30+1)+'1. Inputs'!$B$11))*'1. Inputs'!$B$13*(1+'1. Inputs'!$B$14*MIN(MAX(0,$A63-'1. Inputs'!$C$27-'1. Inputs'!$B$30+1),'1. Inputs'!$B$15))*('1. Inputs'!$B$31*'5. Diagnosing a miss'!$B$22))</f>
        <v>1521754.28156668</v>
      </c>
      <c r="X63" s="22" t="n">
        <f aca="false">SUM(T63:W63)</f>
        <v>12362508.5480147</v>
      </c>
      <c r="Y63" s="22" t="n">
        <f aca="false">IF($A63=MAX('1. Inputs'!$B$17,1),'1. Inputs'!$B$3,0)+IF($A63-'1. Inputs'!$B$17&gt;=1,INDEX(X$3:X$86,$A63-'1. Inputs'!$B$17),0)</f>
        <v>11859941.025414</v>
      </c>
      <c r="Z63" s="22" t="n">
        <f aca="false">Z62*(1-'1. Inputs'!$B$18)+Y63</f>
        <v>358033148.263718</v>
      </c>
      <c r="AA63" s="22" t="n">
        <f aca="false">Z63*'1. Inputs'!$B$18</f>
        <v>3580331.48263718</v>
      </c>
      <c r="AB63" s="22" t="n">
        <f aca="false">AB62+X63-AA63</f>
        <v>500362013.306064</v>
      </c>
      <c r="AC63" s="22" t="n">
        <f aca="false">IF(MAX(0,$A63-'1. Inputs'!$C$24-('1. Inputs'!$B$30+'5. Diagnosing a miss'!$B$23)+1)&lt;=0,0,'1. Inputs'!$B$24*'1. Inputs'!$B$5*MAX(0,$A63-'1. Inputs'!$C$24-('1. Inputs'!$B$30+'5. Diagnosing a miss'!$B$23)+1)^'1. Inputs'!$B$7/('1. Inputs'!$B$6^'1. Inputs'!$B$7+MAX(0,$A63-'1. Inputs'!$C$24-('1. Inputs'!$B$30+'5. Diagnosing a miss'!$B$23)+1)^'1. Inputs'!$B$7)*('1. Inputs'!$B$9+'1. Inputs'!$B$10*MAX(0,$A63-'1. Inputs'!$C$24-('1. Inputs'!$B$30+'5. Diagnosing a miss'!$B$23)+1)/(MAX(0,$A63-'1. Inputs'!$C$24-('1. Inputs'!$B$30+'5. Diagnosing a miss'!$B$23)+1)+'1. Inputs'!$B$11))*'1. Inputs'!$B$13*(1+'1. Inputs'!$B$14*MIN(MAX(0,$A63-'1. Inputs'!$C$24-('1. Inputs'!$B$30+'5. Diagnosing a miss'!$B$23)+1),'1. Inputs'!$B$15))*'1. Inputs'!$B$31)</f>
        <v>4144486.03548567</v>
      </c>
      <c r="AD63" s="22" t="n">
        <f aca="false">IF(MAX(0,$A63-'1. Inputs'!$C$25-('1. Inputs'!$B$30+'5. Diagnosing a miss'!$B$23)+1)&lt;=0,0,'1. Inputs'!$B$25*'1. Inputs'!$B$5*MAX(0,$A63-'1. Inputs'!$C$25-('1. Inputs'!$B$30+'5. Diagnosing a miss'!$B$23)+1)^'1. Inputs'!$B$7/('1. Inputs'!$B$6^'1. Inputs'!$B$7+MAX(0,$A63-'1. Inputs'!$C$25-('1. Inputs'!$B$30+'5. Diagnosing a miss'!$B$23)+1)^'1. Inputs'!$B$7)*('1. Inputs'!$B$9+'1. Inputs'!$B$10*MAX(0,$A63-'1. Inputs'!$C$25-('1. Inputs'!$B$30+'5. Diagnosing a miss'!$B$23)+1)/(MAX(0,$A63-'1. Inputs'!$C$25-('1. Inputs'!$B$30+'5. Diagnosing a miss'!$B$23)+1)+'1. Inputs'!$B$11))*'1. Inputs'!$B$13*(1+'1. Inputs'!$B$14*MIN(MAX(0,$A63-'1. Inputs'!$C$25-('1. Inputs'!$B$30+'5. Diagnosing a miss'!$B$23)+1),'1. Inputs'!$B$15))*'1. Inputs'!$B$31)</f>
        <v>5459226.61033204</v>
      </c>
      <c r="AE63" s="22" t="n">
        <f aca="false">IF(MAX(0,$A63-'1. Inputs'!$C$26-('1. Inputs'!$B$30+'5. Diagnosing a miss'!$B$23)+1)&lt;=0,0,'1. Inputs'!$B$26*'1. Inputs'!$B$5*MAX(0,$A63-'1. Inputs'!$C$26-('1. Inputs'!$B$30+'5. Diagnosing a miss'!$B$23)+1)^'1. Inputs'!$B$7/('1. Inputs'!$B$6^'1. Inputs'!$B$7+MAX(0,$A63-'1. Inputs'!$C$26-('1. Inputs'!$B$30+'5. Diagnosing a miss'!$B$23)+1)^'1. Inputs'!$B$7)*('1. Inputs'!$B$9+'1. Inputs'!$B$10*MAX(0,$A63-'1. Inputs'!$C$26-('1. Inputs'!$B$30+'5. Diagnosing a miss'!$B$23)+1)/(MAX(0,$A63-'1. Inputs'!$C$26-('1. Inputs'!$B$30+'5. Diagnosing a miss'!$B$23)+1)+'1. Inputs'!$B$11))*'1. Inputs'!$B$13*(1+'1. Inputs'!$B$14*MIN(MAX(0,$A63-'1. Inputs'!$C$26-('1. Inputs'!$B$30+'5. Diagnosing a miss'!$B$23)+1),'1. Inputs'!$B$15))*'1. Inputs'!$B$31)</f>
        <v>2351059.2</v>
      </c>
      <c r="AF63" s="22" t="n">
        <f aca="false">IF(MAX(0,$A63-'1. Inputs'!$C$27-('1. Inputs'!$B$30+'5. Diagnosing a miss'!$B$23)+1)&lt;=0,0,'1. Inputs'!$B$27*'1. Inputs'!$B$5*MAX(0,$A63-'1. Inputs'!$C$27-('1. Inputs'!$B$30+'5. Diagnosing a miss'!$B$23)+1)^'1. Inputs'!$B$7/('1. Inputs'!$B$6^'1. Inputs'!$B$7+MAX(0,$A63-'1. Inputs'!$C$27-('1. Inputs'!$B$30+'5. Diagnosing a miss'!$B$23)+1)^'1. Inputs'!$B$7)*('1. Inputs'!$B$9+'1. Inputs'!$B$10*MAX(0,$A63-'1. Inputs'!$C$27-('1. Inputs'!$B$30+'5. Diagnosing a miss'!$B$23)+1)/(MAX(0,$A63-'1. Inputs'!$C$27-('1. Inputs'!$B$30+'5. Diagnosing a miss'!$B$23)+1)+'1. Inputs'!$B$11))*'1. Inputs'!$B$13*(1+'1. Inputs'!$B$14*MIN(MAX(0,$A63-'1. Inputs'!$C$27-('1. Inputs'!$B$30+'5. Diagnosing a miss'!$B$23)+1),'1. Inputs'!$B$15))*'1. Inputs'!$B$31)</f>
        <v>1673086.83266114</v>
      </c>
      <c r="AG63" s="22" t="n">
        <f aca="false">SUM(AC63:AF63)</f>
        <v>13627858.6784789</v>
      </c>
      <c r="AH63" s="22" t="n">
        <f aca="false">IF($A63=MAX('1. Inputs'!$B$17,1),'1. Inputs'!$B$3,0)+IF($A63-'1. Inputs'!$B$17&gt;=1,INDEX(AG$3:AG$86,$A63-'1. Inputs'!$B$17),0)</f>
        <v>12965260.2322482</v>
      </c>
      <c r="AI63" s="22" t="n">
        <f aca="false">AI62*(1-'1. Inputs'!$B$18)+AH63</f>
        <v>356557580.900956</v>
      </c>
      <c r="AJ63" s="22" t="n">
        <f aca="false">AI63*'1. Inputs'!$B$18</f>
        <v>3565575.80900956</v>
      </c>
      <c r="AK63" s="22" t="n">
        <f aca="false">AK62+AG63-AJ63</f>
        <v>513339580.900218</v>
      </c>
    </row>
    <row r="64" customFormat="false" ht="15" hidden="false" customHeight="false" outlineLevel="0" collapsed="false">
      <c r="A64" s="7" t="n">
        <v>62</v>
      </c>
      <c r="B64" s="22" t="n">
        <f aca="false">IF(MAX(0,$A64-'1. Inputs'!$C$24-'1. Inputs'!$B$30+1)&lt;=0,0,'1. Inputs'!$B$24*'1. Inputs'!$B$5*MAX(0,$A64-'1. Inputs'!$C$24-'1. Inputs'!$B$30+1)^'1. Inputs'!$B$7/('1. Inputs'!$B$6^'1. Inputs'!$B$7+MAX(0,$A64-'1. Inputs'!$C$24-'1. Inputs'!$B$30+1)^'1. Inputs'!$B$7)*('1. Inputs'!$B$9+'1. Inputs'!$B$10*MAX(0,$A64-'1. Inputs'!$C$24-'1. Inputs'!$B$30+1)/(MAX(0,$A64-'1. Inputs'!$C$24-'1. Inputs'!$B$30+1)+'1. Inputs'!$B$11))*'1. Inputs'!$B$13*(1+'1. Inputs'!$B$14*MIN(MAX(0,$A64-'1. Inputs'!$C$24-'1. Inputs'!$B$30+1),'1. Inputs'!$B$15))*'1. Inputs'!$B$31)</f>
        <v>4177211.99867639</v>
      </c>
      <c r="C64" s="22" t="n">
        <f aca="false">IF(MAX(0,$A64-'1. Inputs'!$C$25-'1. Inputs'!$B$30+1)&lt;=0,0,'1. Inputs'!$B$25*'1. Inputs'!$B$5*MAX(0,$A64-'1. Inputs'!$C$25-'1. Inputs'!$B$30+1)^'1. Inputs'!$B$7/('1. Inputs'!$B$6^'1. Inputs'!$B$7+MAX(0,$A64-'1. Inputs'!$C$25-'1. Inputs'!$B$30+1)^'1. Inputs'!$B$7)*('1. Inputs'!$B$9+'1. Inputs'!$B$10*MAX(0,$A64-'1. Inputs'!$C$25-'1. Inputs'!$B$30+1)/(MAX(0,$A64-'1. Inputs'!$C$25-'1. Inputs'!$B$30+1)+'1. Inputs'!$B$11))*'1. Inputs'!$B$13*(1+'1. Inputs'!$B$14*MIN(MAX(0,$A64-'1. Inputs'!$C$25-'1. Inputs'!$B$30+1),'1. Inputs'!$B$15))*'1. Inputs'!$B$31)</f>
        <v>5513833.34793359</v>
      </c>
      <c r="D64" s="22" t="n">
        <f aca="false">IF(MAX(0,$A64-'1. Inputs'!$C$26-'1. Inputs'!$B$30+1)&lt;=0,0,'1. Inputs'!$B$26*'1. Inputs'!$B$5*MAX(0,$A64-'1. Inputs'!$C$26-'1. Inputs'!$B$30+1)^'1. Inputs'!$B$7/('1. Inputs'!$B$6^'1. Inputs'!$B$7+MAX(0,$A64-'1. Inputs'!$C$26-'1. Inputs'!$B$30+1)^'1. Inputs'!$B$7)*('1. Inputs'!$B$9+'1. Inputs'!$B$10*MAX(0,$A64-'1. Inputs'!$C$26-'1. Inputs'!$B$30+1)/(MAX(0,$A64-'1. Inputs'!$C$26-'1. Inputs'!$B$30+1)+'1. Inputs'!$B$11))*'1. Inputs'!$B$13*(1+'1. Inputs'!$B$14*MIN(MAX(0,$A64-'1. Inputs'!$C$26-'1. Inputs'!$B$30+1),'1. Inputs'!$B$15))*'1. Inputs'!$B$31)</f>
        <v>2381686.20762578</v>
      </c>
      <c r="E64" s="22" t="n">
        <f aca="false">IF(MAX(0,$A64-'1. Inputs'!$C$27-'1. Inputs'!$B$30+1)&lt;=0,0,'1. Inputs'!$B$27*'1. Inputs'!$B$5*MAX(0,$A64-'1. Inputs'!$C$27-'1. Inputs'!$B$30+1)^'1. Inputs'!$B$7/('1. Inputs'!$B$6^'1. Inputs'!$B$7+MAX(0,$A64-'1. Inputs'!$C$27-'1. Inputs'!$B$30+1)^'1. Inputs'!$B$7)*('1. Inputs'!$B$9+'1. Inputs'!$B$10*MAX(0,$A64-'1. Inputs'!$C$27-'1. Inputs'!$B$30+1)/(MAX(0,$A64-'1. Inputs'!$C$27-'1. Inputs'!$B$30+1)+'1. Inputs'!$B$11))*'1. Inputs'!$B$13*(1+'1. Inputs'!$B$14*MIN(MAX(0,$A64-'1. Inputs'!$C$27-'1. Inputs'!$B$30+1),'1. Inputs'!$B$15))*'1. Inputs'!$B$31)</f>
        <v>1696153.84615385</v>
      </c>
      <c r="F64" s="22" t="n">
        <f aca="false">SUM(B64:E64)</f>
        <v>13768885.4003896</v>
      </c>
      <c r="G64" s="22" t="n">
        <f aca="false">IF($A64=MAX('1. Inputs'!$B$17,1),'1. Inputs'!$B$3,0)+IF($A64-'1. Inputs'!$B$17&gt;=1,INDEX(F$3:F$86,$A64-'1. Inputs'!$B$17),0)</f>
        <v>13240003.120475</v>
      </c>
      <c r="H64" s="22" t="n">
        <f aca="false">H63*(1-'1. Inputs'!$B$18)+G64</f>
        <v>396993031.758272</v>
      </c>
      <c r="I64" s="22" t="n">
        <f aca="false">H64*'1. Inputs'!$B$18</f>
        <v>3969930.31758272</v>
      </c>
      <c r="J64" s="22" t="n">
        <f aca="false">J63+F64-I64</f>
        <v>555673313.192808</v>
      </c>
      <c r="K64" s="22" t="n">
        <f aca="false">IF(MAX(0,$A64-'1. Inputs'!$C$24-'1. Inputs'!$B$30+1)&lt;=0,0,'1. Inputs'!$B$24*('1. Inputs'!$B$5-'5. Diagnosing a miss'!$B$21)*MAX(0,$A64-'1. Inputs'!$C$24-'1. Inputs'!$B$30+1)^'1. Inputs'!$B$7/('1. Inputs'!$B$6^'1. Inputs'!$B$7+MAX(0,$A64-'1. Inputs'!$C$24-'1. Inputs'!$B$30+1)^'1. Inputs'!$B$7)*('1. Inputs'!$B$9+'1. Inputs'!$B$10*MAX(0,$A64-'1. Inputs'!$C$24-'1. Inputs'!$B$30+1)/(MAX(0,$A64-'1. Inputs'!$C$24-'1. Inputs'!$B$30+1)+'1. Inputs'!$B$11))*'1. Inputs'!$B$13*(1+'1. Inputs'!$B$14*MIN(MAX(0,$A64-'1. Inputs'!$C$24-'1. Inputs'!$B$30+1),'1. Inputs'!$B$15))*'1. Inputs'!$B$31)</f>
        <v>3713077.33215679</v>
      </c>
      <c r="L64" s="22" t="n">
        <f aca="false">IF(MAX(0,$A64-'1. Inputs'!$C$25-'1. Inputs'!$B$30+1)&lt;=0,0,'1. Inputs'!$B$25*('1. Inputs'!$B$5-'5. Diagnosing a miss'!$B$21)*MAX(0,$A64-'1. Inputs'!$C$25-'1. Inputs'!$B$30+1)^'1. Inputs'!$B$7/('1. Inputs'!$B$6^'1. Inputs'!$B$7+MAX(0,$A64-'1. Inputs'!$C$25-'1. Inputs'!$B$30+1)^'1. Inputs'!$B$7)*('1. Inputs'!$B$9+'1. Inputs'!$B$10*MAX(0,$A64-'1. Inputs'!$C$25-'1. Inputs'!$B$30+1)/(MAX(0,$A64-'1. Inputs'!$C$25-'1. Inputs'!$B$30+1)+'1. Inputs'!$B$11))*'1. Inputs'!$B$13*(1+'1. Inputs'!$B$14*MIN(MAX(0,$A64-'1. Inputs'!$C$25-'1. Inputs'!$B$30+1),'1. Inputs'!$B$15))*'1. Inputs'!$B$31)</f>
        <v>4901185.19816319</v>
      </c>
      <c r="M64" s="22" t="n">
        <f aca="false">IF(MAX(0,$A64-'1. Inputs'!$C$26-'1. Inputs'!$B$30+1)&lt;=0,0,'1. Inputs'!$B$26*('1. Inputs'!$B$5-'5. Diagnosing a miss'!$B$21)*MAX(0,$A64-'1. Inputs'!$C$26-'1. Inputs'!$B$30+1)^'1. Inputs'!$B$7/('1. Inputs'!$B$6^'1. Inputs'!$B$7+MAX(0,$A64-'1. Inputs'!$C$26-'1. Inputs'!$B$30+1)^'1. Inputs'!$B$7)*('1. Inputs'!$B$9+'1. Inputs'!$B$10*MAX(0,$A64-'1. Inputs'!$C$26-'1. Inputs'!$B$30+1)/(MAX(0,$A64-'1. Inputs'!$C$26-'1. Inputs'!$B$30+1)+'1. Inputs'!$B$11))*'1. Inputs'!$B$13*(1+'1. Inputs'!$B$14*MIN(MAX(0,$A64-'1. Inputs'!$C$26-'1. Inputs'!$B$30+1),'1. Inputs'!$B$15))*'1. Inputs'!$B$31)</f>
        <v>2117054.40677847</v>
      </c>
      <c r="N64" s="22" t="n">
        <f aca="false">IF(MAX(0,$A64-'1. Inputs'!$C$27-'1. Inputs'!$B$30+1)&lt;=0,0,'1. Inputs'!$B$27*('1. Inputs'!$B$5-'5. Diagnosing a miss'!$B$21)*MAX(0,$A64-'1. Inputs'!$C$27-'1. Inputs'!$B$30+1)^'1. Inputs'!$B$7/('1. Inputs'!$B$6^'1. Inputs'!$B$7+MAX(0,$A64-'1. Inputs'!$C$27-'1. Inputs'!$B$30+1)^'1. Inputs'!$B$7)*('1. Inputs'!$B$9+'1. Inputs'!$B$10*MAX(0,$A64-'1. Inputs'!$C$27-'1. Inputs'!$B$30+1)/(MAX(0,$A64-'1. Inputs'!$C$27-'1. Inputs'!$B$30+1)+'1. Inputs'!$B$11))*'1. Inputs'!$B$13*(1+'1. Inputs'!$B$14*MIN(MAX(0,$A64-'1. Inputs'!$C$27-'1. Inputs'!$B$30+1),'1. Inputs'!$B$15))*'1. Inputs'!$B$31)</f>
        <v>1507692.30769231</v>
      </c>
      <c r="O64" s="22" t="n">
        <f aca="false">SUM(K64:N64)</f>
        <v>12239009.2447908</v>
      </c>
      <c r="P64" s="22" t="n">
        <f aca="false">IF($A64=MAX('1. Inputs'!$B$17,1),'1. Inputs'!$B$3,0)+IF($A64-'1. Inputs'!$B$17&gt;=1,INDEX(O$3:O$86,$A64-'1. Inputs'!$B$17),0)</f>
        <v>11768891.6626444</v>
      </c>
      <c r="Q64" s="22" t="n">
        <f aca="false">Q63*(1-'1. Inputs'!$B$18)+P64</f>
        <v>362966129.348534</v>
      </c>
      <c r="R64" s="22" t="n">
        <f aca="false">Q64*'1. Inputs'!$B$18</f>
        <v>3629661.29348534</v>
      </c>
      <c r="S64" s="22" t="n">
        <f aca="false">S63+O64-R64</f>
        <v>503914434.056932</v>
      </c>
      <c r="T64" s="22" t="n">
        <f aca="false">IF(MAX(0,$A64-'1. Inputs'!$C$24-'1. Inputs'!$B$30+1)&lt;=0,0,'1. Inputs'!$B$24*'1. Inputs'!$B$5*MAX(0,$A64-'1. Inputs'!$C$24-'1. Inputs'!$B$30+1)^'1. Inputs'!$B$7/('1. Inputs'!$B$6^'1. Inputs'!$B$7+MAX(0,$A64-'1. Inputs'!$C$24-'1. Inputs'!$B$30+1)^'1. Inputs'!$B$7)*('1. Inputs'!$B$9+'1. Inputs'!$B$10*MAX(0,$A64-'1. Inputs'!$C$24-'1. Inputs'!$B$30+1)/(MAX(0,$A64-'1. Inputs'!$C$24-'1. Inputs'!$B$30+1)+'1. Inputs'!$B$11))*'1. Inputs'!$B$13*(1+'1. Inputs'!$B$14*MIN(MAX(0,$A64-'1. Inputs'!$C$24-'1. Inputs'!$B$30+1),'1. Inputs'!$B$15))*('1. Inputs'!$B$31*'5. Diagnosing a miss'!$B$22))</f>
        <v>3759490.79880875</v>
      </c>
      <c r="U64" s="22" t="n">
        <f aca="false">IF(MAX(0,$A64-'1. Inputs'!$C$25-'1. Inputs'!$B$30+1)&lt;=0,0,'1. Inputs'!$B$25*'1. Inputs'!$B$5*MAX(0,$A64-'1. Inputs'!$C$25-'1. Inputs'!$B$30+1)^'1. Inputs'!$B$7/('1. Inputs'!$B$6^'1. Inputs'!$B$7+MAX(0,$A64-'1. Inputs'!$C$25-'1. Inputs'!$B$30+1)^'1. Inputs'!$B$7)*('1. Inputs'!$B$9+'1. Inputs'!$B$10*MAX(0,$A64-'1. Inputs'!$C$25-'1. Inputs'!$B$30+1)/(MAX(0,$A64-'1. Inputs'!$C$25-'1. Inputs'!$B$30+1)+'1. Inputs'!$B$11))*'1. Inputs'!$B$13*(1+'1. Inputs'!$B$14*MIN(MAX(0,$A64-'1. Inputs'!$C$25-'1. Inputs'!$B$30+1),'1. Inputs'!$B$15))*('1. Inputs'!$B$31*'5. Diagnosing a miss'!$B$22))</f>
        <v>4962450.01314023</v>
      </c>
      <c r="V64" s="22" t="n">
        <f aca="false">IF(MAX(0,$A64-'1. Inputs'!$C$26-'1. Inputs'!$B$30+1)&lt;=0,0,'1. Inputs'!$B$26*'1. Inputs'!$B$5*MAX(0,$A64-'1. Inputs'!$C$26-'1. Inputs'!$B$30+1)^'1. Inputs'!$B$7/('1. Inputs'!$B$6^'1. Inputs'!$B$7+MAX(0,$A64-'1. Inputs'!$C$26-'1. Inputs'!$B$30+1)^'1. Inputs'!$B$7)*('1. Inputs'!$B$9+'1. Inputs'!$B$10*MAX(0,$A64-'1. Inputs'!$C$26-'1. Inputs'!$B$30+1)/(MAX(0,$A64-'1. Inputs'!$C$26-'1. Inputs'!$B$30+1)+'1. Inputs'!$B$11))*'1. Inputs'!$B$13*(1+'1. Inputs'!$B$14*MIN(MAX(0,$A64-'1. Inputs'!$C$26-'1. Inputs'!$B$30+1),'1. Inputs'!$B$15))*('1. Inputs'!$B$31*'5. Diagnosing a miss'!$B$22))</f>
        <v>2143517.58686321</v>
      </c>
      <c r="W64" s="22" t="n">
        <f aca="false">IF(MAX(0,$A64-'1. Inputs'!$C$27-'1. Inputs'!$B$30+1)&lt;=0,0,'1. Inputs'!$B$27*'1. Inputs'!$B$5*MAX(0,$A64-'1. Inputs'!$C$27-'1. Inputs'!$B$30+1)^'1. Inputs'!$B$7/('1. Inputs'!$B$6^'1. Inputs'!$B$7+MAX(0,$A64-'1. Inputs'!$C$27-'1. Inputs'!$B$30+1)^'1. Inputs'!$B$7)*('1. Inputs'!$B$9+'1. Inputs'!$B$10*MAX(0,$A64-'1. Inputs'!$C$27-'1. Inputs'!$B$30+1)/(MAX(0,$A64-'1. Inputs'!$C$27-'1. Inputs'!$B$30+1)+'1. Inputs'!$B$11))*'1. Inputs'!$B$13*(1+'1. Inputs'!$B$14*MIN(MAX(0,$A64-'1. Inputs'!$C$27-'1. Inputs'!$B$30+1),'1. Inputs'!$B$15))*('1. Inputs'!$B$31*'5. Diagnosing a miss'!$B$22))</f>
        <v>1526538.46153846</v>
      </c>
      <c r="X64" s="22" t="n">
        <f aca="false">SUM(T64:W64)</f>
        <v>12391996.8603506</v>
      </c>
      <c r="Y64" s="22" t="n">
        <f aca="false">IF($A64=MAX('1. Inputs'!$B$17,1),'1. Inputs'!$B$3,0)+IF($A64-'1. Inputs'!$B$17&gt;=1,INDEX(X$3:X$86,$A64-'1. Inputs'!$B$17),0)</f>
        <v>11916002.8084275</v>
      </c>
      <c r="Z64" s="22" t="n">
        <f aca="false">Z63*(1-'1. Inputs'!$B$18)+Y64</f>
        <v>366368819.589508</v>
      </c>
      <c r="AA64" s="22" t="n">
        <f aca="false">Z64*'1. Inputs'!$B$18</f>
        <v>3663688.19589508</v>
      </c>
      <c r="AB64" s="22" t="n">
        <f aca="false">AB63+X64-AA64</f>
        <v>509090321.97052</v>
      </c>
      <c r="AC64" s="22" t="n">
        <f aca="false">IF(MAX(0,$A64-'1. Inputs'!$C$24-('1. Inputs'!$B$30+'5. Diagnosing a miss'!$B$23)+1)&lt;=0,0,'1. Inputs'!$B$24*'1. Inputs'!$B$5*MAX(0,$A64-'1. Inputs'!$C$24-('1. Inputs'!$B$30+'5. Diagnosing a miss'!$B$23)+1)^'1. Inputs'!$B$7/('1. Inputs'!$B$6^'1. Inputs'!$B$7+MAX(0,$A64-'1. Inputs'!$C$24-('1. Inputs'!$B$30+'5. Diagnosing a miss'!$B$23)+1)^'1. Inputs'!$B$7)*('1. Inputs'!$B$9+'1. Inputs'!$B$10*MAX(0,$A64-'1. Inputs'!$C$24-('1. Inputs'!$B$30+'5. Diagnosing a miss'!$B$23)+1)/(MAX(0,$A64-'1. Inputs'!$C$24-('1. Inputs'!$B$30+'5. Diagnosing a miss'!$B$23)+1)+'1. Inputs'!$B$11))*'1. Inputs'!$B$13*(1+'1. Inputs'!$B$14*MIN(MAX(0,$A64-'1. Inputs'!$C$24-('1. Inputs'!$B$30+'5. Diagnosing a miss'!$B$23)+1),'1. Inputs'!$B$15))*'1. Inputs'!$B$31)</f>
        <v>4153202.0003988</v>
      </c>
      <c r="AD64" s="22" t="n">
        <f aca="false">IF(MAX(0,$A64-'1. Inputs'!$C$25-('1. Inputs'!$B$30+'5. Diagnosing a miss'!$B$23)+1)&lt;=0,0,'1. Inputs'!$B$25*'1. Inputs'!$B$5*MAX(0,$A64-'1. Inputs'!$C$25-('1. Inputs'!$B$30+'5. Diagnosing a miss'!$B$23)+1)^'1. Inputs'!$B$7/('1. Inputs'!$B$6^'1. Inputs'!$B$7+MAX(0,$A64-'1. Inputs'!$C$25-('1. Inputs'!$B$30+'5. Diagnosing a miss'!$B$23)+1)^'1. Inputs'!$B$7)*('1. Inputs'!$B$9+'1. Inputs'!$B$10*MAX(0,$A64-'1. Inputs'!$C$25-('1. Inputs'!$B$30+'5. Diagnosing a miss'!$B$23)+1)/(MAX(0,$A64-'1. Inputs'!$C$25-('1. Inputs'!$B$30+'5. Diagnosing a miss'!$B$23)+1)+'1. Inputs'!$B$11))*'1. Inputs'!$B$13*(1+'1. Inputs'!$B$14*MIN(MAX(0,$A64-'1. Inputs'!$C$25-('1. Inputs'!$B$30+'5. Diagnosing a miss'!$B$23)+1),'1. Inputs'!$B$15))*'1. Inputs'!$B$31)</f>
        <v>5473863.48679245</v>
      </c>
      <c r="AE64" s="22" t="n">
        <f aca="false">IF(MAX(0,$A64-'1. Inputs'!$C$26-('1. Inputs'!$B$30+'5. Diagnosing a miss'!$B$23)+1)&lt;=0,0,'1. Inputs'!$B$26*'1. Inputs'!$B$5*MAX(0,$A64-'1. Inputs'!$C$26-('1. Inputs'!$B$30+'5. Diagnosing a miss'!$B$23)+1)^'1. Inputs'!$B$7/('1. Inputs'!$B$6^'1. Inputs'!$B$7+MAX(0,$A64-'1. Inputs'!$C$26-('1. Inputs'!$B$30+'5. Diagnosing a miss'!$B$23)+1)^'1. Inputs'!$B$7)*('1. Inputs'!$B$9+'1. Inputs'!$B$10*MAX(0,$A64-'1. Inputs'!$C$26-('1. Inputs'!$B$30+'5. Diagnosing a miss'!$B$23)+1)/(MAX(0,$A64-'1. Inputs'!$C$26-('1. Inputs'!$B$30+'5. Diagnosing a miss'!$B$23)+1)+'1. Inputs'!$B$11))*'1. Inputs'!$B$13*(1+'1. Inputs'!$B$14*MIN(MAX(0,$A64-'1. Inputs'!$C$26-('1. Inputs'!$B$30+'5. Diagnosing a miss'!$B$23)+1),'1. Inputs'!$B$15))*'1. Inputs'!$B$31)</f>
        <v>2359331.66424871</v>
      </c>
      <c r="AF64" s="22" t="n">
        <f aca="false">IF(MAX(0,$A64-'1. Inputs'!$C$27-('1. Inputs'!$B$30+'5. Diagnosing a miss'!$B$23)+1)&lt;=0,0,'1. Inputs'!$B$27*'1. Inputs'!$B$5*MAX(0,$A64-'1. Inputs'!$C$27-('1. Inputs'!$B$30+'5. Diagnosing a miss'!$B$23)+1)^'1. Inputs'!$B$7/('1. Inputs'!$B$6^'1. Inputs'!$B$7+MAX(0,$A64-'1. Inputs'!$C$27-('1. Inputs'!$B$30+'5. Diagnosing a miss'!$B$23)+1)^'1. Inputs'!$B$7)*('1. Inputs'!$B$9+'1. Inputs'!$B$10*MAX(0,$A64-'1. Inputs'!$C$27-('1. Inputs'!$B$30+'5. Diagnosing a miss'!$B$23)+1)/(MAX(0,$A64-'1. Inputs'!$C$27-('1. Inputs'!$B$30+'5. Diagnosing a miss'!$B$23)+1)+'1. Inputs'!$B$11))*'1. Inputs'!$B$13*(1+'1. Inputs'!$B$14*MIN(MAX(0,$A64-'1. Inputs'!$C$27-('1. Inputs'!$B$30+'5. Diagnosing a miss'!$B$23)+1),'1. Inputs'!$B$15))*'1. Inputs'!$B$31)</f>
        <v>1679328</v>
      </c>
      <c r="AG64" s="22" t="n">
        <f aca="false">SUM(AC64:AF64)</f>
        <v>13665725.15144</v>
      </c>
      <c r="AH64" s="22" t="n">
        <f aca="false">IF($A64=MAX('1. Inputs'!$B$17,1),'1. Inputs'!$B$3,0)+IF($A64-'1. Inputs'!$B$17&gt;=1,INDEX(AG$3:AG$86,$A64-'1. Inputs'!$B$17),0)</f>
        <v>13040736.6821722</v>
      </c>
      <c r="AI64" s="22" t="n">
        <f aca="false">AI63*(1-'1. Inputs'!$B$18)+AH64</f>
        <v>366032741.774118</v>
      </c>
      <c r="AJ64" s="22" t="n">
        <f aca="false">AI64*'1. Inputs'!$B$18</f>
        <v>3660327.41774118</v>
      </c>
      <c r="AK64" s="22" t="n">
        <f aca="false">AK63+AG64-AJ64</f>
        <v>523344978.633917</v>
      </c>
    </row>
    <row r="65" customFormat="false" ht="15" hidden="false" customHeight="false" outlineLevel="0" collapsed="false">
      <c r="A65" s="7" t="n">
        <v>63</v>
      </c>
      <c r="B65" s="22" t="n">
        <f aca="false">IF(MAX(0,$A65-'1. Inputs'!$C$24-'1. Inputs'!$B$30+1)&lt;=0,0,'1. Inputs'!$B$24*'1. Inputs'!$B$5*MAX(0,$A65-'1. Inputs'!$C$24-'1. Inputs'!$B$30+1)^'1. Inputs'!$B$7/('1. Inputs'!$B$6^'1. Inputs'!$B$7+MAX(0,$A65-'1. Inputs'!$C$24-'1. Inputs'!$B$30+1)^'1. Inputs'!$B$7)*('1. Inputs'!$B$9+'1. Inputs'!$B$10*MAX(0,$A65-'1. Inputs'!$C$24-'1. Inputs'!$B$30+1)/(MAX(0,$A65-'1. Inputs'!$C$24-'1. Inputs'!$B$30+1)+'1. Inputs'!$B$11))*'1. Inputs'!$B$13*(1+'1. Inputs'!$B$14*MIN(MAX(0,$A65-'1. Inputs'!$C$24-'1. Inputs'!$B$30+1),'1. Inputs'!$B$15))*'1. Inputs'!$B$31)</f>
        <v>4184571.5027027</v>
      </c>
      <c r="C65" s="22" t="n">
        <f aca="false">IF(MAX(0,$A65-'1. Inputs'!$C$25-'1. Inputs'!$B$30+1)&lt;=0,0,'1. Inputs'!$B$25*'1. Inputs'!$B$5*MAX(0,$A65-'1. Inputs'!$C$25-'1. Inputs'!$B$30+1)^'1. Inputs'!$B$7/('1. Inputs'!$B$6^'1. Inputs'!$B$7+MAX(0,$A65-'1. Inputs'!$C$25-'1. Inputs'!$B$30+1)^'1. Inputs'!$B$7)*('1. Inputs'!$B$9+'1. Inputs'!$B$10*MAX(0,$A65-'1. Inputs'!$C$25-'1. Inputs'!$B$30+1)/(MAX(0,$A65-'1. Inputs'!$C$25-'1. Inputs'!$B$30+1)+'1. Inputs'!$B$11))*'1. Inputs'!$B$13*(1+'1. Inputs'!$B$14*MIN(MAX(0,$A65-'1. Inputs'!$C$25-'1. Inputs'!$B$30+1),'1. Inputs'!$B$15))*'1. Inputs'!$B$31)</f>
        <v>5525981.38064756</v>
      </c>
      <c r="D65" s="22" t="n">
        <f aca="false">IF(MAX(0,$A65-'1. Inputs'!$C$26-'1. Inputs'!$B$30+1)&lt;=0,0,'1. Inputs'!$B$26*'1. Inputs'!$B$5*MAX(0,$A65-'1. Inputs'!$C$26-'1. Inputs'!$B$30+1)^'1. Inputs'!$B$7/('1. Inputs'!$B$6^'1. Inputs'!$B$7+MAX(0,$A65-'1. Inputs'!$C$26-'1. Inputs'!$B$30+1)^'1. Inputs'!$B$7)*('1. Inputs'!$B$9+'1. Inputs'!$B$10*MAX(0,$A65-'1. Inputs'!$C$26-'1. Inputs'!$B$30+1)/(MAX(0,$A65-'1. Inputs'!$C$26-'1. Inputs'!$B$30+1)+'1. Inputs'!$B$11))*'1. Inputs'!$B$13*(1+'1. Inputs'!$B$14*MIN(MAX(0,$A65-'1. Inputs'!$C$26-'1. Inputs'!$B$30+1),'1. Inputs'!$B$15))*'1. Inputs'!$B$31)</f>
        <v>2388411.64202027</v>
      </c>
      <c r="E65" s="22" t="n">
        <f aca="false">IF(MAX(0,$A65-'1. Inputs'!$C$27-'1. Inputs'!$B$30+1)&lt;=0,0,'1. Inputs'!$B$27*'1. Inputs'!$B$5*MAX(0,$A65-'1. Inputs'!$C$27-'1. Inputs'!$B$30+1)^'1. Inputs'!$B$7/('1. Inputs'!$B$6^'1. Inputs'!$B$7+MAX(0,$A65-'1. Inputs'!$C$27-'1. Inputs'!$B$30+1)^'1. Inputs'!$B$7)*('1. Inputs'!$B$9+'1. Inputs'!$B$10*MAX(0,$A65-'1. Inputs'!$C$27-'1. Inputs'!$B$30+1)/(MAX(0,$A65-'1. Inputs'!$C$27-'1. Inputs'!$B$30+1)+'1. Inputs'!$B$11))*'1. Inputs'!$B$13*(1+'1. Inputs'!$B$14*MIN(MAX(0,$A65-'1. Inputs'!$C$27-'1. Inputs'!$B$30+1),'1. Inputs'!$B$15))*'1. Inputs'!$B$31)</f>
        <v>1701204.43401842</v>
      </c>
      <c r="F65" s="22" t="n">
        <f aca="false">SUM(B65:E65)</f>
        <v>13800168.9593889</v>
      </c>
      <c r="G65" s="22" t="n">
        <f aca="false">IF($A65=MAX('1. Inputs'!$B$17,1),'1. Inputs'!$B$3,0)+IF($A65-'1. Inputs'!$B$17&gt;=1,INDEX(F$3:F$86,$A65-'1. Inputs'!$B$17),0)</f>
        <v>13298621.2132947</v>
      </c>
      <c r="H65" s="22" t="n">
        <f aca="false">H64*(1-'1. Inputs'!$B$18)+G65</f>
        <v>406321722.653984</v>
      </c>
      <c r="I65" s="22" t="n">
        <f aca="false">H65*'1. Inputs'!$B$18</f>
        <v>4063217.22653984</v>
      </c>
      <c r="J65" s="22" t="n">
        <f aca="false">J64+F65-I65</f>
        <v>565410264.925657</v>
      </c>
      <c r="K65" s="22" t="n">
        <f aca="false">IF(MAX(0,$A65-'1. Inputs'!$C$24-'1. Inputs'!$B$30+1)&lt;=0,0,'1. Inputs'!$B$24*('1. Inputs'!$B$5-'5. Diagnosing a miss'!$B$21)*MAX(0,$A65-'1. Inputs'!$C$24-'1. Inputs'!$B$30+1)^'1. Inputs'!$B$7/('1. Inputs'!$B$6^'1. Inputs'!$B$7+MAX(0,$A65-'1. Inputs'!$C$24-'1. Inputs'!$B$30+1)^'1. Inputs'!$B$7)*('1. Inputs'!$B$9+'1. Inputs'!$B$10*MAX(0,$A65-'1. Inputs'!$C$24-'1. Inputs'!$B$30+1)/(MAX(0,$A65-'1. Inputs'!$C$24-'1. Inputs'!$B$30+1)+'1. Inputs'!$B$11))*'1. Inputs'!$B$13*(1+'1. Inputs'!$B$14*MIN(MAX(0,$A65-'1. Inputs'!$C$24-'1. Inputs'!$B$30+1),'1. Inputs'!$B$15))*'1. Inputs'!$B$31)</f>
        <v>3719619.11351351</v>
      </c>
      <c r="L65" s="22" t="n">
        <f aca="false">IF(MAX(0,$A65-'1. Inputs'!$C$25-'1. Inputs'!$B$30+1)&lt;=0,0,'1. Inputs'!$B$25*('1. Inputs'!$B$5-'5. Diagnosing a miss'!$B$21)*MAX(0,$A65-'1. Inputs'!$C$25-'1. Inputs'!$B$30+1)^'1. Inputs'!$B$7/('1. Inputs'!$B$6^'1. Inputs'!$B$7+MAX(0,$A65-'1. Inputs'!$C$25-'1. Inputs'!$B$30+1)^'1. Inputs'!$B$7)*('1. Inputs'!$B$9+'1. Inputs'!$B$10*MAX(0,$A65-'1. Inputs'!$C$25-'1. Inputs'!$B$30+1)/(MAX(0,$A65-'1. Inputs'!$C$25-'1. Inputs'!$B$30+1)+'1. Inputs'!$B$11))*'1. Inputs'!$B$13*(1+'1. Inputs'!$B$14*MIN(MAX(0,$A65-'1. Inputs'!$C$25-'1. Inputs'!$B$30+1),'1. Inputs'!$B$15))*'1. Inputs'!$B$31)</f>
        <v>4911983.4494645</v>
      </c>
      <c r="M65" s="22" t="n">
        <f aca="false">IF(MAX(0,$A65-'1. Inputs'!$C$26-'1. Inputs'!$B$30+1)&lt;=0,0,'1. Inputs'!$B$26*('1. Inputs'!$B$5-'5. Diagnosing a miss'!$B$21)*MAX(0,$A65-'1. Inputs'!$C$26-'1. Inputs'!$B$30+1)^'1. Inputs'!$B$7/('1. Inputs'!$B$6^'1. Inputs'!$B$7+MAX(0,$A65-'1. Inputs'!$C$26-'1. Inputs'!$B$30+1)^'1. Inputs'!$B$7)*('1. Inputs'!$B$9+'1. Inputs'!$B$10*MAX(0,$A65-'1. Inputs'!$C$26-'1. Inputs'!$B$30+1)/(MAX(0,$A65-'1. Inputs'!$C$26-'1. Inputs'!$B$30+1)+'1. Inputs'!$B$11))*'1. Inputs'!$B$13*(1+'1. Inputs'!$B$14*MIN(MAX(0,$A65-'1. Inputs'!$C$26-'1. Inputs'!$B$30+1),'1. Inputs'!$B$15))*'1. Inputs'!$B$31)</f>
        <v>2123032.57068468</v>
      </c>
      <c r="N65" s="22" t="n">
        <f aca="false">IF(MAX(0,$A65-'1. Inputs'!$C$27-'1. Inputs'!$B$30+1)&lt;=0,0,'1. Inputs'!$B$27*('1. Inputs'!$B$5-'5. Diagnosing a miss'!$B$21)*MAX(0,$A65-'1. Inputs'!$C$27-'1. Inputs'!$B$30+1)^'1. Inputs'!$B$7/('1. Inputs'!$B$6^'1. Inputs'!$B$7+MAX(0,$A65-'1. Inputs'!$C$27-'1. Inputs'!$B$30+1)^'1. Inputs'!$B$7)*('1. Inputs'!$B$9+'1. Inputs'!$B$10*MAX(0,$A65-'1. Inputs'!$C$27-'1. Inputs'!$B$30+1)/(MAX(0,$A65-'1. Inputs'!$C$27-'1. Inputs'!$B$30+1)+'1. Inputs'!$B$11))*'1. Inputs'!$B$13*(1+'1. Inputs'!$B$14*MIN(MAX(0,$A65-'1. Inputs'!$C$27-'1. Inputs'!$B$30+1),'1. Inputs'!$B$15))*'1. Inputs'!$B$31)</f>
        <v>1512181.71912748</v>
      </c>
      <c r="O65" s="22" t="n">
        <f aca="false">SUM(K65:N65)</f>
        <v>12266816.8527902</v>
      </c>
      <c r="P65" s="22" t="n">
        <f aca="false">IF($A65=MAX('1. Inputs'!$B$17,1),'1. Inputs'!$B$3,0)+IF($A65-'1. Inputs'!$B$17&gt;=1,INDEX(O$3:O$86,$A65-'1. Inputs'!$B$17),0)</f>
        <v>11820996.6340397</v>
      </c>
      <c r="Q65" s="22" t="n">
        <f aca="false">Q64*(1-'1. Inputs'!$B$18)+P65</f>
        <v>371157464.689089</v>
      </c>
      <c r="R65" s="22" t="n">
        <f aca="false">Q65*'1. Inputs'!$B$18</f>
        <v>3711574.64689089</v>
      </c>
      <c r="S65" s="22" t="n">
        <f aca="false">S64+O65-R65</f>
        <v>512469676.262831</v>
      </c>
      <c r="T65" s="22" t="n">
        <f aca="false">IF(MAX(0,$A65-'1. Inputs'!$C$24-'1. Inputs'!$B$30+1)&lt;=0,0,'1. Inputs'!$B$24*'1. Inputs'!$B$5*MAX(0,$A65-'1. Inputs'!$C$24-'1. Inputs'!$B$30+1)^'1. Inputs'!$B$7/('1. Inputs'!$B$6^'1. Inputs'!$B$7+MAX(0,$A65-'1. Inputs'!$C$24-'1. Inputs'!$B$30+1)^'1. Inputs'!$B$7)*('1. Inputs'!$B$9+'1. Inputs'!$B$10*MAX(0,$A65-'1. Inputs'!$C$24-'1. Inputs'!$B$30+1)/(MAX(0,$A65-'1. Inputs'!$C$24-'1. Inputs'!$B$30+1)+'1. Inputs'!$B$11))*'1. Inputs'!$B$13*(1+'1. Inputs'!$B$14*MIN(MAX(0,$A65-'1. Inputs'!$C$24-'1. Inputs'!$B$30+1),'1. Inputs'!$B$15))*('1. Inputs'!$B$31*'5. Diagnosing a miss'!$B$22))</f>
        <v>3766114.35243243</v>
      </c>
      <c r="U65" s="22" t="n">
        <f aca="false">IF(MAX(0,$A65-'1. Inputs'!$C$25-'1. Inputs'!$B$30+1)&lt;=0,0,'1. Inputs'!$B$25*'1. Inputs'!$B$5*MAX(0,$A65-'1. Inputs'!$C$25-'1. Inputs'!$B$30+1)^'1. Inputs'!$B$7/('1. Inputs'!$B$6^'1. Inputs'!$B$7+MAX(0,$A65-'1. Inputs'!$C$25-'1. Inputs'!$B$30+1)^'1. Inputs'!$B$7)*('1. Inputs'!$B$9+'1. Inputs'!$B$10*MAX(0,$A65-'1. Inputs'!$C$25-'1. Inputs'!$B$30+1)/(MAX(0,$A65-'1. Inputs'!$C$25-'1. Inputs'!$B$30+1)+'1. Inputs'!$B$11))*'1. Inputs'!$B$13*(1+'1. Inputs'!$B$14*MIN(MAX(0,$A65-'1. Inputs'!$C$25-'1. Inputs'!$B$30+1),'1. Inputs'!$B$15))*('1. Inputs'!$B$31*'5. Diagnosing a miss'!$B$22))</f>
        <v>4973383.2425828</v>
      </c>
      <c r="V65" s="22" t="n">
        <f aca="false">IF(MAX(0,$A65-'1. Inputs'!$C$26-'1. Inputs'!$B$30+1)&lt;=0,0,'1. Inputs'!$B$26*'1. Inputs'!$B$5*MAX(0,$A65-'1. Inputs'!$C$26-'1. Inputs'!$B$30+1)^'1. Inputs'!$B$7/('1. Inputs'!$B$6^'1. Inputs'!$B$7+MAX(0,$A65-'1. Inputs'!$C$26-'1. Inputs'!$B$30+1)^'1. Inputs'!$B$7)*('1. Inputs'!$B$9+'1. Inputs'!$B$10*MAX(0,$A65-'1. Inputs'!$C$26-'1. Inputs'!$B$30+1)/(MAX(0,$A65-'1. Inputs'!$C$26-'1. Inputs'!$B$30+1)+'1. Inputs'!$B$11))*'1. Inputs'!$B$13*(1+'1. Inputs'!$B$14*MIN(MAX(0,$A65-'1. Inputs'!$C$26-'1. Inputs'!$B$30+1),'1. Inputs'!$B$15))*('1. Inputs'!$B$31*'5. Diagnosing a miss'!$B$22))</f>
        <v>2149570.47781824</v>
      </c>
      <c r="W65" s="22" t="n">
        <f aca="false">IF(MAX(0,$A65-'1. Inputs'!$C$27-'1. Inputs'!$B$30+1)&lt;=0,0,'1. Inputs'!$B$27*'1. Inputs'!$B$5*MAX(0,$A65-'1. Inputs'!$C$27-'1. Inputs'!$B$30+1)^'1. Inputs'!$B$7/('1. Inputs'!$B$6^'1. Inputs'!$B$7+MAX(0,$A65-'1. Inputs'!$C$27-'1. Inputs'!$B$30+1)^'1. Inputs'!$B$7)*('1. Inputs'!$B$9+'1. Inputs'!$B$10*MAX(0,$A65-'1. Inputs'!$C$27-'1. Inputs'!$B$30+1)/(MAX(0,$A65-'1. Inputs'!$C$27-'1. Inputs'!$B$30+1)+'1. Inputs'!$B$11))*'1. Inputs'!$B$13*(1+'1. Inputs'!$B$14*MIN(MAX(0,$A65-'1. Inputs'!$C$27-'1. Inputs'!$B$30+1),'1. Inputs'!$B$15))*('1. Inputs'!$B$31*'5. Diagnosing a miss'!$B$22))</f>
        <v>1531083.99061657</v>
      </c>
      <c r="X65" s="22" t="n">
        <f aca="false">SUM(T65:W65)</f>
        <v>12420152.0634501</v>
      </c>
      <c r="Y65" s="22" t="n">
        <f aca="false">IF($A65=MAX('1. Inputs'!$B$17,1),'1. Inputs'!$B$3,0)+IF($A65-'1. Inputs'!$B$17&gt;=1,INDEX(X$3:X$86,$A65-'1. Inputs'!$B$17),0)</f>
        <v>11968759.0919652</v>
      </c>
      <c r="Z65" s="22" t="n">
        <f aca="false">Z64*(1-'1. Inputs'!$B$18)+Y65</f>
        <v>374673890.485578</v>
      </c>
      <c r="AA65" s="22" t="n">
        <f aca="false">Z65*'1. Inputs'!$B$18</f>
        <v>3746738.90485578</v>
      </c>
      <c r="AB65" s="22" t="n">
        <f aca="false">AB64+X65-AA65</f>
        <v>517763735.129114</v>
      </c>
      <c r="AC65" s="22" t="n">
        <f aca="false">IF(MAX(0,$A65-'1. Inputs'!$C$24-('1. Inputs'!$B$30+'5. Diagnosing a miss'!$B$23)+1)&lt;=0,0,'1. Inputs'!$B$24*'1. Inputs'!$B$5*MAX(0,$A65-'1. Inputs'!$C$24-('1. Inputs'!$B$30+'5. Diagnosing a miss'!$B$23)+1)^'1. Inputs'!$B$7/('1. Inputs'!$B$6^'1. Inputs'!$B$7+MAX(0,$A65-'1. Inputs'!$C$24-('1. Inputs'!$B$30+'5. Diagnosing a miss'!$B$23)+1)^'1. Inputs'!$B$7)*('1. Inputs'!$B$9+'1. Inputs'!$B$10*MAX(0,$A65-'1. Inputs'!$C$24-('1. Inputs'!$B$30+'5. Diagnosing a miss'!$B$23)+1)/(MAX(0,$A65-'1. Inputs'!$C$24-('1. Inputs'!$B$30+'5. Diagnosing a miss'!$B$23)+1)+'1. Inputs'!$B$11))*'1. Inputs'!$B$13*(1+'1. Inputs'!$B$14*MIN(MAX(0,$A65-'1. Inputs'!$C$24-('1. Inputs'!$B$30+'5. Diagnosing a miss'!$B$23)+1),'1. Inputs'!$B$15))*'1. Inputs'!$B$31)</f>
        <v>4161547.07027027</v>
      </c>
      <c r="AD65" s="22" t="n">
        <f aca="false">IF(MAX(0,$A65-'1. Inputs'!$C$25-('1. Inputs'!$B$30+'5. Diagnosing a miss'!$B$23)+1)&lt;=0,0,'1. Inputs'!$B$25*'1. Inputs'!$B$5*MAX(0,$A65-'1. Inputs'!$C$25-('1. Inputs'!$B$30+'5. Diagnosing a miss'!$B$23)+1)^'1. Inputs'!$B$7/('1. Inputs'!$B$6^'1. Inputs'!$B$7+MAX(0,$A65-'1. Inputs'!$C$25-('1. Inputs'!$B$30+'5. Diagnosing a miss'!$B$23)+1)^'1. Inputs'!$B$7)*('1. Inputs'!$B$9+'1. Inputs'!$B$10*MAX(0,$A65-'1. Inputs'!$C$25-('1. Inputs'!$B$30+'5. Diagnosing a miss'!$B$23)+1)/(MAX(0,$A65-'1. Inputs'!$C$25-('1. Inputs'!$B$30+'5. Diagnosing a miss'!$B$23)+1)+'1. Inputs'!$B$11))*'1. Inputs'!$B$13*(1+'1. Inputs'!$B$14*MIN(MAX(0,$A65-'1. Inputs'!$C$25-('1. Inputs'!$B$30+'5. Diagnosing a miss'!$B$23)+1),'1. Inputs'!$B$15))*'1. Inputs'!$B$31)</f>
        <v>5487814.10510586</v>
      </c>
      <c r="AE65" s="22" t="n">
        <f aca="false">IF(MAX(0,$A65-'1. Inputs'!$C$26-('1. Inputs'!$B$30+'5. Diagnosing a miss'!$B$23)+1)&lt;=0,0,'1. Inputs'!$B$26*'1. Inputs'!$B$5*MAX(0,$A65-'1. Inputs'!$C$26-('1. Inputs'!$B$30+'5. Diagnosing a miss'!$B$23)+1)^'1. Inputs'!$B$7/('1. Inputs'!$B$6^'1. Inputs'!$B$7+MAX(0,$A65-'1. Inputs'!$C$26-('1. Inputs'!$B$30+'5. Diagnosing a miss'!$B$23)+1)^'1. Inputs'!$B$7)*('1. Inputs'!$B$9+'1. Inputs'!$B$10*MAX(0,$A65-'1. Inputs'!$C$26-('1. Inputs'!$B$30+'5. Diagnosing a miss'!$B$23)+1)/(MAX(0,$A65-'1. Inputs'!$C$26-('1. Inputs'!$B$30+'5. Diagnosing a miss'!$B$23)+1)+'1. Inputs'!$B$11))*'1. Inputs'!$B$13*(1+'1. Inputs'!$B$14*MIN(MAX(0,$A65-'1. Inputs'!$C$26-('1. Inputs'!$B$30+'5. Diagnosing a miss'!$B$23)+1),'1. Inputs'!$B$15))*'1. Inputs'!$B$31)</f>
        <v>2367173.32688151</v>
      </c>
      <c r="AF65" s="22" t="n">
        <f aca="false">IF(MAX(0,$A65-'1. Inputs'!$C$27-('1. Inputs'!$B$30+'5. Diagnosing a miss'!$B$23)+1)&lt;=0,0,'1. Inputs'!$B$27*'1. Inputs'!$B$5*MAX(0,$A65-'1. Inputs'!$C$27-('1. Inputs'!$B$30+'5. Diagnosing a miss'!$B$23)+1)^'1. Inputs'!$B$7/('1. Inputs'!$B$6^'1. Inputs'!$B$7+MAX(0,$A65-'1. Inputs'!$C$27-('1. Inputs'!$B$30+'5. Diagnosing a miss'!$B$23)+1)^'1. Inputs'!$B$7)*('1. Inputs'!$B$9+'1. Inputs'!$B$10*MAX(0,$A65-'1. Inputs'!$C$27-('1. Inputs'!$B$30+'5. Diagnosing a miss'!$B$23)+1)/(MAX(0,$A65-'1. Inputs'!$C$27-('1. Inputs'!$B$30+'5. Diagnosing a miss'!$B$23)+1)+'1. Inputs'!$B$11))*'1. Inputs'!$B$13*(1+'1. Inputs'!$B$14*MIN(MAX(0,$A65-'1. Inputs'!$C$27-('1. Inputs'!$B$30+'5. Diagnosing a miss'!$B$23)+1),'1. Inputs'!$B$15))*'1. Inputs'!$B$31)</f>
        <v>1685236.90303479</v>
      </c>
      <c r="AG65" s="22" t="n">
        <f aca="false">SUM(AC65:AF65)</f>
        <v>13701771.4052924</v>
      </c>
      <c r="AH65" s="22" t="n">
        <f aca="false">IF($A65=MAX('1. Inputs'!$B$17,1),'1. Inputs'!$B$3,0)+IF($A65-'1. Inputs'!$B$17&gt;=1,INDEX(AG$3:AG$86,$A65-'1. Inputs'!$B$17),0)</f>
        <v>13111414.5690735</v>
      </c>
      <c r="AI65" s="22" t="n">
        <f aca="false">AI64*(1-'1. Inputs'!$B$18)+AH65</f>
        <v>375483828.925451</v>
      </c>
      <c r="AJ65" s="22" t="n">
        <f aca="false">AI65*'1. Inputs'!$B$18</f>
        <v>3754838.28925451</v>
      </c>
      <c r="AK65" s="22" t="n">
        <f aca="false">AK64+AG65-AJ65</f>
        <v>533291911.749955</v>
      </c>
    </row>
    <row r="66" customFormat="false" ht="15" hidden="false" customHeight="false" outlineLevel="0" collapsed="false">
      <c r="A66" s="7" t="n">
        <v>64</v>
      </c>
      <c r="B66" s="22" t="n">
        <f aca="false">IF(MAX(0,$A66-'1. Inputs'!$C$24-'1. Inputs'!$B$30+1)&lt;=0,0,'1. Inputs'!$B$24*'1. Inputs'!$B$5*MAX(0,$A66-'1. Inputs'!$C$24-'1. Inputs'!$B$30+1)^'1. Inputs'!$B$7/('1. Inputs'!$B$6^'1. Inputs'!$B$7+MAX(0,$A66-'1. Inputs'!$C$24-'1. Inputs'!$B$30+1)^'1. Inputs'!$B$7)*('1. Inputs'!$B$9+'1. Inputs'!$B$10*MAX(0,$A66-'1. Inputs'!$C$24-'1. Inputs'!$B$30+1)/(MAX(0,$A66-'1. Inputs'!$C$24-'1. Inputs'!$B$30+1)+'1. Inputs'!$B$11))*'1. Inputs'!$B$13*(1+'1. Inputs'!$B$14*MIN(MAX(0,$A66-'1. Inputs'!$C$24-'1. Inputs'!$B$30+1),'1. Inputs'!$B$15))*'1. Inputs'!$B$31)</f>
        <v>4191639.695791</v>
      </c>
      <c r="C66" s="22" t="n">
        <f aca="false">IF(MAX(0,$A66-'1. Inputs'!$C$25-'1. Inputs'!$B$30+1)&lt;=0,0,'1. Inputs'!$B$25*'1. Inputs'!$B$5*MAX(0,$A66-'1. Inputs'!$C$25-'1. Inputs'!$B$30+1)^'1. Inputs'!$B$7/('1. Inputs'!$B$6^'1. Inputs'!$B$7+MAX(0,$A66-'1. Inputs'!$C$25-'1. Inputs'!$B$30+1)^'1. Inputs'!$B$7)*('1. Inputs'!$B$9+'1. Inputs'!$B$10*MAX(0,$A66-'1. Inputs'!$C$25-'1. Inputs'!$B$30+1)/(MAX(0,$A66-'1. Inputs'!$C$25-'1. Inputs'!$B$30+1)+'1. Inputs'!$B$11))*'1. Inputs'!$B$13*(1+'1. Inputs'!$B$14*MIN(MAX(0,$A66-'1. Inputs'!$C$25-'1. Inputs'!$B$30+1),'1. Inputs'!$B$15))*'1. Inputs'!$B$31)</f>
        <v>5537602.66719841</v>
      </c>
      <c r="D66" s="22" t="n">
        <f aca="false">IF(MAX(0,$A66-'1. Inputs'!$C$26-'1. Inputs'!$B$30+1)&lt;=0,0,'1. Inputs'!$B$26*'1. Inputs'!$B$5*MAX(0,$A66-'1. Inputs'!$C$26-'1. Inputs'!$B$30+1)^'1. Inputs'!$B$7/('1. Inputs'!$B$6^'1. Inputs'!$B$7+MAX(0,$A66-'1. Inputs'!$C$26-'1. Inputs'!$B$30+1)^'1. Inputs'!$B$7)*('1. Inputs'!$B$9+'1. Inputs'!$B$10*MAX(0,$A66-'1. Inputs'!$C$26-'1. Inputs'!$B$30+1)/(MAX(0,$A66-'1. Inputs'!$C$26-'1. Inputs'!$B$30+1)+'1. Inputs'!$B$11))*'1. Inputs'!$B$13*(1+'1. Inputs'!$B$14*MIN(MAX(0,$A66-'1. Inputs'!$C$26-'1. Inputs'!$B$30+1),'1. Inputs'!$B$15))*'1. Inputs'!$B$31)</f>
        <v>2394815.2754717</v>
      </c>
      <c r="E66" s="22" t="n">
        <f aca="false">IF(MAX(0,$A66-'1. Inputs'!$C$27-'1. Inputs'!$B$30+1)&lt;=0,0,'1. Inputs'!$B$27*'1. Inputs'!$B$5*MAX(0,$A66-'1. Inputs'!$C$27-'1. Inputs'!$B$30+1)^'1. Inputs'!$B$7/('1. Inputs'!$B$6^'1. Inputs'!$B$7+MAX(0,$A66-'1. Inputs'!$C$27-'1. Inputs'!$B$30+1)^'1. Inputs'!$B$7)*('1. Inputs'!$B$9+'1. Inputs'!$B$10*MAX(0,$A66-'1. Inputs'!$C$27-'1. Inputs'!$B$30+1)/(MAX(0,$A66-'1. Inputs'!$C$27-'1. Inputs'!$B$30+1)+'1. Inputs'!$B$11))*'1. Inputs'!$B$13*(1+'1. Inputs'!$B$14*MIN(MAX(0,$A66-'1. Inputs'!$C$27-'1. Inputs'!$B$30+1),'1. Inputs'!$B$15))*'1. Inputs'!$B$31)</f>
        <v>1706008.31572876</v>
      </c>
      <c r="F66" s="22" t="n">
        <f aca="false">SUM(B66:E66)</f>
        <v>13830065.9541899</v>
      </c>
      <c r="G66" s="22" t="n">
        <f aca="false">IF($A66=MAX('1. Inputs'!$B$17,1),'1. Inputs'!$B$3,0)+IF($A66-'1. Inputs'!$B$17&gt;=1,INDEX(F$3:F$86,$A66-'1. Inputs'!$B$17),0)</f>
        <v>13353866.0315773</v>
      </c>
      <c r="H66" s="22" t="n">
        <f aca="false">H65*(1-'1. Inputs'!$B$18)+G66</f>
        <v>415612371.459022</v>
      </c>
      <c r="I66" s="22" t="n">
        <f aca="false">H66*'1. Inputs'!$B$18</f>
        <v>4156123.71459022</v>
      </c>
      <c r="J66" s="22" t="n">
        <f aca="false">J65+F66-I66</f>
        <v>575084207.165257</v>
      </c>
      <c r="K66" s="22" t="n">
        <f aca="false">IF(MAX(0,$A66-'1. Inputs'!$C$24-'1. Inputs'!$B$30+1)&lt;=0,0,'1. Inputs'!$B$24*('1. Inputs'!$B$5-'5. Diagnosing a miss'!$B$21)*MAX(0,$A66-'1. Inputs'!$C$24-'1. Inputs'!$B$30+1)^'1. Inputs'!$B$7/('1. Inputs'!$B$6^'1. Inputs'!$B$7+MAX(0,$A66-'1. Inputs'!$C$24-'1. Inputs'!$B$30+1)^'1. Inputs'!$B$7)*('1. Inputs'!$B$9+'1. Inputs'!$B$10*MAX(0,$A66-'1. Inputs'!$C$24-'1. Inputs'!$B$30+1)/(MAX(0,$A66-'1. Inputs'!$C$24-'1. Inputs'!$B$30+1)+'1. Inputs'!$B$11))*'1. Inputs'!$B$13*(1+'1. Inputs'!$B$14*MIN(MAX(0,$A66-'1. Inputs'!$C$24-'1. Inputs'!$B$30+1),'1. Inputs'!$B$15))*'1. Inputs'!$B$31)</f>
        <v>3725901.95181422</v>
      </c>
      <c r="L66" s="22" t="n">
        <f aca="false">IF(MAX(0,$A66-'1. Inputs'!$C$25-'1. Inputs'!$B$30+1)&lt;=0,0,'1. Inputs'!$B$25*('1. Inputs'!$B$5-'5. Diagnosing a miss'!$B$21)*MAX(0,$A66-'1. Inputs'!$C$25-'1. Inputs'!$B$30+1)^'1. Inputs'!$B$7/('1. Inputs'!$B$6^'1. Inputs'!$B$7+MAX(0,$A66-'1. Inputs'!$C$25-'1. Inputs'!$B$30+1)^'1. Inputs'!$B$7)*('1. Inputs'!$B$9+'1. Inputs'!$B$10*MAX(0,$A66-'1. Inputs'!$C$25-'1. Inputs'!$B$30+1)/(MAX(0,$A66-'1. Inputs'!$C$25-'1. Inputs'!$B$30+1)+'1. Inputs'!$B$11))*'1. Inputs'!$B$13*(1+'1. Inputs'!$B$14*MIN(MAX(0,$A66-'1. Inputs'!$C$25-'1. Inputs'!$B$30+1),'1. Inputs'!$B$15))*'1. Inputs'!$B$31)</f>
        <v>4922313.48195414</v>
      </c>
      <c r="M66" s="22" t="n">
        <f aca="false">IF(MAX(0,$A66-'1. Inputs'!$C$26-'1. Inputs'!$B$30+1)&lt;=0,0,'1. Inputs'!$B$26*('1. Inputs'!$B$5-'5. Diagnosing a miss'!$B$21)*MAX(0,$A66-'1. Inputs'!$C$26-'1. Inputs'!$B$30+1)^'1. Inputs'!$B$7/('1. Inputs'!$B$6^'1. Inputs'!$B$7+MAX(0,$A66-'1. Inputs'!$C$26-'1. Inputs'!$B$30+1)^'1. Inputs'!$B$7)*('1. Inputs'!$B$9+'1. Inputs'!$B$10*MAX(0,$A66-'1. Inputs'!$C$26-'1. Inputs'!$B$30+1)/(MAX(0,$A66-'1. Inputs'!$C$26-'1. Inputs'!$B$30+1)+'1. Inputs'!$B$11))*'1. Inputs'!$B$13*(1+'1. Inputs'!$B$14*MIN(MAX(0,$A66-'1. Inputs'!$C$26-'1. Inputs'!$B$30+1),'1. Inputs'!$B$15))*'1. Inputs'!$B$31)</f>
        <v>2128724.68930818</v>
      </c>
      <c r="N66" s="22" t="n">
        <f aca="false">IF(MAX(0,$A66-'1. Inputs'!$C$27-'1. Inputs'!$B$30+1)&lt;=0,0,'1. Inputs'!$B$27*('1. Inputs'!$B$5-'5. Diagnosing a miss'!$B$21)*MAX(0,$A66-'1. Inputs'!$C$27-'1. Inputs'!$B$30+1)^'1. Inputs'!$B$7/('1. Inputs'!$B$6^'1. Inputs'!$B$7+MAX(0,$A66-'1. Inputs'!$C$27-'1. Inputs'!$B$30+1)^'1. Inputs'!$B$7)*('1. Inputs'!$B$9+'1. Inputs'!$B$10*MAX(0,$A66-'1. Inputs'!$C$27-'1. Inputs'!$B$30+1)/(MAX(0,$A66-'1. Inputs'!$C$27-'1. Inputs'!$B$30+1)+'1. Inputs'!$B$11))*'1. Inputs'!$B$13*(1+'1. Inputs'!$B$14*MIN(MAX(0,$A66-'1. Inputs'!$C$27-'1. Inputs'!$B$30+1),'1. Inputs'!$B$15))*'1. Inputs'!$B$31)</f>
        <v>1516451.83620334</v>
      </c>
      <c r="O66" s="22" t="n">
        <f aca="false">SUM(K66:N66)</f>
        <v>12293391.9592799</v>
      </c>
      <c r="P66" s="22" t="n">
        <f aca="false">IF($A66=MAX('1. Inputs'!$B$17,1),'1. Inputs'!$B$3,0)+IF($A66-'1. Inputs'!$B$17&gt;=1,INDEX(O$3:O$86,$A66-'1. Inputs'!$B$17),0)</f>
        <v>11870103.1391798</v>
      </c>
      <c r="Q66" s="22" t="n">
        <f aca="false">Q65*(1-'1. Inputs'!$B$18)+P66</f>
        <v>379315993.181378</v>
      </c>
      <c r="R66" s="22" t="n">
        <f aca="false">Q66*'1. Inputs'!$B$18</f>
        <v>3793159.93181378</v>
      </c>
      <c r="S66" s="22" t="n">
        <f aca="false">S65+O66-R66</f>
        <v>520969908.290298</v>
      </c>
      <c r="T66" s="22" t="n">
        <f aca="false">IF(MAX(0,$A66-'1. Inputs'!$C$24-'1. Inputs'!$B$30+1)&lt;=0,0,'1. Inputs'!$B$24*'1. Inputs'!$B$5*MAX(0,$A66-'1. Inputs'!$C$24-'1. Inputs'!$B$30+1)^'1. Inputs'!$B$7/('1. Inputs'!$B$6^'1. Inputs'!$B$7+MAX(0,$A66-'1. Inputs'!$C$24-'1. Inputs'!$B$30+1)^'1. Inputs'!$B$7)*('1. Inputs'!$B$9+'1. Inputs'!$B$10*MAX(0,$A66-'1. Inputs'!$C$24-'1. Inputs'!$B$30+1)/(MAX(0,$A66-'1. Inputs'!$C$24-'1. Inputs'!$B$30+1)+'1. Inputs'!$B$11))*'1. Inputs'!$B$13*(1+'1. Inputs'!$B$14*MIN(MAX(0,$A66-'1. Inputs'!$C$24-'1. Inputs'!$B$30+1),'1. Inputs'!$B$15))*('1. Inputs'!$B$31*'5. Diagnosing a miss'!$B$22))</f>
        <v>3772475.7262119</v>
      </c>
      <c r="U66" s="22" t="n">
        <f aca="false">IF(MAX(0,$A66-'1. Inputs'!$C$25-'1. Inputs'!$B$30+1)&lt;=0,0,'1. Inputs'!$B$25*'1. Inputs'!$B$5*MAX(0,$A66-'1. Inputs'!$C$25-'1. Inputs'!$B$30+1)^'1. Inputs'!$B$7/('1. Inputs'!$B$6^'1. Inputs'!$B$7+MAX(0,$A66-'1. Inputs'!$C$25-'1. Inputs'!$B$30+1)^'1. Inputs'!$B$7)*('1. Inputs'!$B$9+'1. Inputs'!$B$10*MAX(0,$A66-'1. Inputs'!$C$25-'1. Inputs'!$B$30+1)/(MAX(0,$A66-'1. Inputs'!$C$25-'1. Inputs'!$B$30+1)+'1. Inputs'!$B$11))*'1. Inputs'!$B$13*(1+'1. Inputs'!$B$14*MIN(MAX(0,$A66-'1. Inputs'!$C$25-'1. Inputs'!$B$30+1),'1. Inputs'!$B$15))*('1. Inputs'!$B$31*'5. Diagnosing a miss'!$B$22))</f>
        <v>4983842.40047856</v>
      </c>
      <c r="V66" s="22" t="n">
        <f aca="false">IF(MAX(0,$A66-'1. Inputs'!$C$26-'1. Inputs'!$B$30+1)&lt;=0,0,'1. Inputs'!$B$26*'1. Inputs'!$B$5*MAX(0,$A66-'1. Inputs'!$C$26-'1. Inputs'!$B$30+1)^'1. Inputs'!$B$7/('1. Inputs'!$B$6^'1. Inputs'!$B$7+MAX(0,$A66-'1. Inputs'!$C$26-'1. Inputs'!$B$30+1)^'1. Inputs'!$B$7)*('1. Inputs'!$B$9+'1. Inputs'!$B$10*MAX(0,$A66-'1. Inputs'!$C$26-'1. Inputs'!$B$30+1)/(MAX(0,$A66-'1. Inputs'!$C$26-'1. Inputs'!$B$30+1)+'1. Inputs'!$B$11))*'1. Inputs'!$B$13*(1+'1. Inputs'!$B$14*MIN(MAX(0,$A66-'1. Inputs'!$C$26-'1. Inputs'!$B$30+1),'1. Inputs'!$B$15))*('1. Inputs'!$B$31*'5. Diagnosing a miss'!$B$22))</f>
        <v>2155333.74792453</v>
      </c>
      <c r="W66" s="22" t="n">
        <f aca="false">IF(MAX(0,$A66-'1. Inputs'!$C$27-'1. Inputs'!$B$30+1)&lt;=0,0,'1. Inputs'!$B$27*'1. Inputs'!$B$5*MAX(0,$A66-'1. Inputs'!$C$27-'1. Inputs'!$B$30+1)^'1. Inputs'!$B$7/('1. Inputs'!$B$6^'1. Inputs'!$B$7+MAX(0,$A66-'1. Inputs'!$C$27-'1. Inputs'!$B$30+1)^'1. Inputs'!$B$7)*('1. Inputs'!$B$9+'1. Inputs'!$B$10*MAX(0,$A66-'1. Inputs'!$C$27-'1. Inputs'!$B$30+1)/(MAX(0,$A66-'1. Inputs'!$C$27-'1. Inputs'!$B$30+1)+'1. Inputs'!$B$11))*'1. Inputs'!$B$13*(1+'1. Inputs'!$B$14*MIN(MAX(0,$A66-'1. Inputs'!$C$27-'1. Inputs'!$B$30+1),'1. Inputs'!$B$15))*('1. Inputs'!$B$31*'5. Diagnosing a miss'!$B$22))</f>
        <v>1535407.48415589</v>
      </c>
      <c r="X66" s="22" t="n">
        <f aca="false">SUM(T66:W66)</f>
        <v>12447059.3587709</v>
      </c>
      <c r="Y66" s="22" t="n">
        <f aca="false">IF($A66=MAX('1. Inputs'!$B$17,1),'1. Inputs'!$B$3,0)+IF($A66-'1. Inputs'!$B$17&gt;=1,INDEX(X$3:X$86,$A66-'1. Inputs'!$B$17),0)</f>
        <v>12018479.4284195</v>
      </c>
      <c r="Z66" s="22" t="n">
        <f aca="false">Z65*(1-'1. Inputs'!$B$18)+Y66</f>
        <v>382945631.009142</v>
      </c>
      <c r="AA66" s="22" t="n">
        <f aca="false">Z66*'1. Inputs'!$B$18</f>
        <v>3829456.31009142</v>
      </c>
      <c r="AB66" s="22" t="n">
        <f aca="false">AB65+X66-AA66</f>
        <v>526381338.177794</v>
      </c>
      <c r="AC66" s="22" t="n">
        <f aca="false">IF(MAX(0,$A66-'1. Inputs'!$C$24-('1. Inputs'!$B$30+'5. Diagnosing a miss'!$B$23)+1)&lt;=0,0,'1. Inputs'!$B$24*'1. Inputs'!$B$5*MAX(0,$A66-'1. Inputs'!$C$24-('1. Inputs'!$B$30+'5. Diagnosing a miss'!$B$23)+1)^'1. Inputs'!$B$7/('1. Inputs'!$B$6^'1. Inputs'!$B$7+MAX(0,$A66-'1. Inputs'!$C$24-('1. Inputs'!$B$30+'5. Diagnosing a miss'!$B$23)+1)^'1. Inputs'!$B$7)*('1. Inputs'!$B$9+'1. Inputs'!$B$10*MAX(0,$A66-'1. Inputs'!$C$24-('1. Inputs'!$B$30+'5. Diagnosing a miss'!$B$23)+1)/(MAX(0,$A66-'1. Inputs'!$C$24-('1. Inputs'!$B$30+'5. Diagnosing a miss'!$B$23)+1)+'1. Inputs'!$B$11))*'1. Inputs'!$B$13*(1+'1. Inputs'!$B$14*MIN(MAX(0,$A66-'1. Inputs'!$C$24-('1. Inputs'!$B$30+'5. Diagnosing a miss'!$B$23)+1),'1. Inputs'!$B$15))*'1. Inputs'!$B$31)</f>
        <v>4169543.5381546</v>
      </c>
      <c r="AD66" s="22" t="n">
        <f aca="false">IF(MAX(0,$A66-'1. Inputs'!$C$25-('1. Inputs'!$B$30+'5. Diagnosing a miss'!$B$23)+1)&lt;=0,0,'1. Inputs'!$B$25*'1. Inputs'!$B$5*MAX(0,$A66-'1. Inputs'!$C$25-('1. Inputs'!$B$30+'5. Diagnosing a miss'!$B$23)+1)^'1. Inputs'!$B$7/('1. Inputs'!$B$6^'1. Inputs'!$B$7+MAX(0,$A66-'1. Inputs'!$C$25-('1. Inputs'!$B$30+'5. Diagnosing a miss'!$B$23)+1)^'1. Inputs'!$B$7)*('1. Inputs'!$B$9+'1. Inputs'!$B$10*MAX(0,$A66-'1. Inputs'!$C$25-('1. Inputs'!$B$30+'5. Diagnosing a miss'!$B$23)+1)/(MAX(0,$A66-'1. Inputs'!$C$25-('1. Inputs'!$B$30+'5. Diagnosing a miss'!$B$23)+1)+'1. Inputs'!$B$11))*'1. Inputs'!$B$13*(1+'1. Inputs'!$B$14*MIN(MAX(0,$A66-'1. Inputs'!$C$25-('1. Inputs'!$B$30+'5. Diagnosing a miss'!$B$23)+1),'1. Inputs'!$B$15))*'1. Inputs'!$B$31)</f>
        <v>5501123.59550562</v>
      </c>
      <c r="AE66" s="22" t="n">
        <f aca="false">IF(MAX(0,$A66-'1. Inputs'!$C$26-('1. Inputs'!$B$30+'5. Diagnosing a miss'!$B$23)+1)&lt;=0,0,'1. Inputs'!$B$26*'1. Inputs'!$B$5*MAX(0,$A66-'1. Inputs'!$C$26-('1. Inputs'!$B$30+'5. Diagnosing a miss'!$B$23)+1)^'1. Inputs'!$B$7/('1. Inputs'!$B$6^'1. Inputs'!$B$7+MAX(0,$A66-'1. Inputs'!$C$26-('1. Inputs'!$B$30+'5. Diagnosing a miss'!$B$23)+1)^'1. Inputs'!$B$7)*('1. Inputs'!$B$9+'1. Inputs'!$B$10*MAX(0,$A66-'1. Inputs'!$C$26-('1. Inputs'!$B$30+'5. Diagnosing a miss'!$B$23)+1)/(MAX(0,$A66-'1. Inputs'!$C$26-('1. Inputs'!$B$30+'5. Diagnosing a miss'!$B$23)+1)+'1. Inputs'!$B$11))*'1. Inputs'!$B$13*(1+'1. Inputs'!$B$14*MIN(MAX(0,$A66-'1. Inputs'!$C$26-('1. Inputs'!$B$30+'5. Diagnosing a miss'!$B$23)+1),'1. Inputs'!$B$15))*'1. Inputs'!$B$31)</f>
        <v>2374615.38461538</v>
      </c>
      <c r="AF66" s="22" t="n">
        <f aca="false">IF(MAX(0,$A66-'1. Inputs'!$C$27-('1. Inputs'!$B$30+'5. Diagnosing a miss'!$B$23)+1)&lt;=0,0,'1. Inputs'!$B$27*'1. Inputs'!$B$5*MAX(0,$A66-'1. Inputs'!$C$27-('1. Inputs'!$B$30+'5. Diagnosing a miss'!$B$23)+1)^'1. Inputs'!$B$7/('1. Inputs'!$B$6^'1. Inputs'!$B$7+MAX(0,$A66-'1. Inputs'!$C$27-('1. Inputs'!$B$30+'5. Diagnosing a miss'!$B$23)+1)^'1. Inputs'!$B$7)*('1. Inputs'!$B$9+'1. Inputs'!$B$10*MAX(0,$A66-'1. Inputs'!$C$27-('1. Inputs'!$B$30+'5. Diagnosing a miss'!$B$23)+1)/(MAX(0,$A66-'1. Inputs'!$C$27-('1. Inputs'!$B$30+'5. Diagnosing a miss'!$B$23)+1)+'1. Inputs'!$B$11))*'1. Inputs'!$B$13*(1+'1. Inputs'!$B$14*MIN(MAX(0,$A66-'1. Inputs'!$C$27-('1. Inputs'!$B$30+'5. Diagnosing a miss'!$B$23)+1),'1. Inputs'!$B$15))*'1. Inputs'!$B$31)</f>
        <v>1690838.09062965</v>
      </c>
      <c r="AG66" s="22" t="n">
        <f aca="false">SUM(AC66:AF66)</f>
        <v>13736120.6089053</v>
      </c>
      <c r="AH66" s="22" t="n">
        <f aca="false">IF($A66=MAX('1. Inputs'!$B$17,1),'1. Inputs'!$B$3,0)+IF($A66-'1. Inputs'!$B$17&gt;=1,INDEX(AG$3:AG$86,$A66-'1. Inputs'!$B$17),0)</f>
        <v>13177712.2504601</v>
      </c>
      <c r="AI66" s="22" t="n">
        <f aca="false">AI65*(1-'1. Inputs'!$B$18)+AH66</f>
        <v>384906702.886656</v>
      </c>
      <c r="AJ66" s="22" t="n">
        <f aca="false">AI66*'1. Inputs'!$B$18</f>
        <v>3849067.02886656</v>
      </c>
      <c r="AK66" s="22" t="n">
        <f aca="false">AK65+AG66-AJ66</f>
        <v>543178965.329994</v>
      </c>
    </row>
    <row r="67" customFormat="false" ht="15" hidden="false" customHeight="false" outlineLevel="0" collapsed="false">
      <c r="A67" s="7" t="n">
        <v>65</v>
      </c>
      <c r="B67" s="22" t="n">
        <f aca="false">IF(MAX(0,$A67-'1. Inputs'!$C$24-'1. Inputs'!$B$30+1)&lt;=0,0,'1. Inputs'!$B$24*'1. Inputs'!$B$5*MAX(0,$A67-'1. Inputs'!$C$24-'1. Inputs'!$B$30+1)^'1. Inputs'!$B$7/('1. Inputs'!$B$6^'1. Inputs'!$B$7+MAX(0,$A67-'1. Inputs'!$C$24-'1. Inputs'!$B$30+1)^'1. Inputs'!$B$7)*('1. Inputs'!$B$9+'1. Inputs'!$B$10*MAX(0,$A67-'1. Inputs'!$C$24-'1. Inputs'!$B$30+1)/(MAX(0,$A67-'1. Inputs'!$C$24-'1. Inputs'!$B$30+1)+'1. Inputs'!$B$11))*'1. Inputs'!$B$13*(1+'1. Inputs'!$B$14*MIN(MAX(0,$A67-'1. Inputs'!$C$24-'1. Inputs'!$B$30+1),'1. Inputs'!$B$15))*'1. Inputs'!$B$31)</f>
        <v>4198432.94232281</v>
      </c>
      <c r="C67" s="22" t="n">
        <f aca="false">IF(MAX(0,$A67-'1. Inputs'!$C$25-'1. Inputs'!$B$30+1)&lt;=0,0,'1. Inputs'!$B$25*'1. Inputs'!$B$5*MAX(0,$A67-'1. Inputs'!$C$25-'1. Inputs'!$B$30+1)^'1. Inputs'!$B$7/('1. Inputs'!$B$6^'1. Inputs'!$B$7+MAX(0,$A67-'1. Inputs'!$C$25-'1. Inputs'!$B$30+1)^'1. Inputs'!$B$7)*('1. Inputs'!$B$9+'1. Inputs'!$B$10*MAX(0,$A67-'1. Inputs'!$C$25-'1. Inputs'!$B$30+1)/(MAX(0,$A67-'1. Inputs'!$C$25-'1. Inputs'!$B$30+1)+'1. Inputs'!$B$11))*'1. Inputs'!$B$13*(1+'1. Inputs'!$B$14*MIN(MAX(0,$A67-'1. Inputs'!$C$25-'1. Inputs'!$B$30+1),'1. Inputs'!$B$15))*'1. Inputs'!$B$31)</f>
        <v>5548729.42702703</v>
      </c>
      <c r="D67" s="22" t="n">
        <f aca="false">IF(MAX(0,$A67-'1. Inputs'!$C$26-'1. Inputs'!$B$30+1)&lt;=0,0,'1. Inputs'!$B$26*'1. Inputs'!$B$5*MAX(0,$A67-'1. Inputs'!$C$26-'1. Inputs'!$B$30+1)^'1. Inputs'!$B$7/('1. Inputs'!$B$6^'1. Inputs'!$B$7+MAX(0,$A67-'1. Inputs'!$C$26-'1. Inputs'!$B$30+1)^'1. Inputs'!$B$7)*('1. Inputs'!$B$9+'1. Inputs'!$B$10*MAX(0,$A67-'1. Inputs'!$C$26-'1. Inputs'!$B$30+1)/(MAX(0,$A67-'1. Inputs'!$C$26-'1. Inputs'!$B$30+1)+'1. Inputs'!$B$11))*'1. Inputs'!$B$13*(1+'1. Inputs'!$B$14*MIN(MAX(0,$A67-'1. Inputs'!$C$26-'1. Inputs'!$B$30+1),'1. Inputs'!$B$15))*'1. Inputs'!$B$31)</f>
        <v>2400918.67098381</v>
      </c>
      <c r="E67" s="22" t="n">
        <f aca="false">IF(MAX(0,$A67-'1. Inputs'!$C$27-'1. Inputs'!$B$30+1)&lt;=0,0,'1. Inputs'!$B$27*'1. Inputs'!$B$5*MAX(0,$A67-'1. Inputs'!$C$27-'1. Inputs'!$B$30+1)^'1. Inputs'!$B$7/('1. Inputs'!$B$6^'1. Inputs'!$B$7+MAX(0,$A67-'1. Inputs'!$C$27-'1. Inputs'!$B$30+1)^'1. Inputs'!$B$7)*('1. Inputs'!$B$9+'1. Inputs'!$B$10*MAX(0,$A67-'1. Inputs'!$C$27-'1. Inputs'!$B$30+1)/(MAX(0,$A67-'1. Inputs'!$C$27-'1. Inputs'!$B$30+1)+'1. Inputs'!$B$11))*'1. Inputs'!$B$13*(1+'1. Inputs'!$B$14*MIN(MAX(0,$A67-'1. Inputs'!$C$27-'1. Inputs'!$B$30+1),'1. Inputs'!$B$15))*'1. Inputs'!$B$31)</f>
        <v>1710582.33962264</v>
      </c>
      <c r="F67" s="22" t="n">
        <f aca="false">SUM(B67:E67)</f>
        <v>13858663.3799563</v>
      </c>
      <c r="G67" s="22" t="n">
        <f aca="false">IF($A67=MAX('1. Inputs'!$B$17,1),'1. Inputs'!$B$3,0)+IF($A67-'1. Inputs'!$B$17&gt;=1,INDEX(F$3:F$86,$A67-'1. Inputs'!$B$17),0)</f>
        <v>13406006.7143168</v>
      </c>
      <c r="H67" s="22" t="n">
        <f aca="false">H66*(1-'1. Inputs'!$B$18)+G67</f>
        <v>424862254.458748</v>
      </c>
      <c r="I67" s="22" t="n">
        <f aca="false">H67*'1. Inputs'!$B$18</f>
        <v>4248622.54458748</v>
      </c>
      <c r="J67" s="22" t="n">
        <f aca="false">J66+F67-I67</f>
        <v>584694248.000626</v>
      </c>
      <c r="K67" s="22" t="n">
        <f aca="false">IF(MAX(0,$A67-'1. Inputs'!$C$24-'1. Inputs'!$B$30+1)&lt;=0,0,'1. Inputs'!$B$24*('1. Inputs'!$B$5-'5. Diagnosing a miss'!$B$21)*MAX(0,$A67-'1. Inputs'!$C$24-'1. Inputs'!$B$30+1)^'1. Inputs'!$B$7/('1. Inputs'!$B$6^'1. Inputs'!$B$7+MAX(0,$A67-'1. Inputs'!$C$24-'1. Inputs'!$B$30+1)^'1. Inputs'!$B$7)*('1. Inputs'!$B$9+'1. Inputs'!$B$10*MAX(0,$A67-'1. Inputs'!$C$24-'1. Inputs'!$B$30+1)/(MAX(0,$A67-'1. Inputs'!$C$24-'1. Inputs'!$B$30+1)+'1. Inputs'!$B$11))*'1. Inputs'!$B$13*(1+'1. Inputs'!$B$14*MIN(MAX(0,$A67-'1. Inputs'!$C$24-'1. Inputs'!$B$30+1),'1. Inputs'!$B$15))*'1. Inputs'!$B$31)</f>
        <v>3731940.39317583</v>
      </c>
      <c r="L67" s="22" t="n">
        <f aca="false">IF(MAX(0,$A67-'1. Inputs'!$C$25-'1. Inputs'!$B$30+1)&lt;=0,0,'1. Inputs'!$B$25*('1. Inputs'!$B$5-'5. Diagnosing a miss'!$B$21)*MAX(0,$A67-'1. Inputs'!$C$25-'1. Inputs'!$B$30+1)^'1. Inputs'!$B$7/('1. Inputs'!$B$6^'1. Inputs'!$B$7+MAX(0,$A67-'1. Inputs'!$C$25-'1. Inputs'!$B$30+1)^'1. Inputs'!$B$7)*('1. Inputs'!$B$9+'1. Inputs'!$B$10*MAX(0,$A67-'1. Inputs'!$C$25-'1. Inputs'!$B$30+1)/(MAX(0,$A67-'1. Inputs'!$C$25-'1. Inputs'!$B$30+1)+'1. Inputs'!$B$11))*'1. Inputs'!$B$13*(1+'1. Inputs'!$B$14*MIN(MAX(0,$A67-'1. Inputs'!$C$25-'1. Inputs'!$B$30+1),'1. Inputs'!$B$15))*'1. Inputs'!$B$31)</f>
        <v>4932203.93513514</v>
      </c>
      <c r="M67" s="22" t="n">
        <f aca="false">IF(MAX(0,$A67-'1. Inputs'!$C$26-'1. Inputs'!$B$30+1)&lt;=0,0,'1. Inputs'!$B$26*('1. Inputs'!$B$5-'5. Diagnosing a miss'!$B$21)*MAX(0,$A67-'1. Inputs'!$C$26-'1. Inputs'!$B$30+1)^'1. Inputs'!$B$7/('1. Inputs'!$B$6^'1. Inputs'!$B$7+MAX(0,$A67-'1. Inputs'!$C$26-'1. Inputs'!$B$30+1)^'1. Inputs'!$B$7)*('1. Inputs'!$B$9+'1. Inputs'!$B$10*MAX(0,$A67-'1. Inputs'!$C$26-'1. Inputs'!$B$30+1)/(MAX(0,$A67-'1. Inputs'!$C$26-'1. Inputs'!$B$30+1)+'1. Inputs'!$B$11))*'1. Inputs'!$B$13*(1+'1. Inputs'!$B$14*MIN(MAX(0,$A67-'1. Inputs'!$C$26-'1. Inputs'!$B$30+1),'1. Inputs'!$B$15))*'1. Inputs'!$B$31)</f>
        <v>2134149.92976339</v>
      </c>
      <c r="N67" s="22" t="n">
        <f aca="false">IF(MAX(0,$A67-'1. Inputs'!$C$27-'1. Inputs'!$B$30+1)&lt;=0,0,'1. Inputs'!$B$27*('1. Inputs'!$B$5-'5. Diagnosing a miss'!$B$21)*MAX(0,$A67-'1. Inputs'!$C$27-'1. Inputs'!$B$30+1)^'1. Inputs'!$B$7/('1. Inputs'!$B$6^'1. Inputs'!$B$7+MAX(0,$A67-'1. Inputs'!$C$27-'1. Inputs'!$B$30+1)^'1. Inputs'!$B$7)*('1. Inputs'!$B$9+'1. Inputs'!$B$10*MAX(0,$A67-'1. Inputs'!$C$27-'1. Inputs'!$B$30+1)/(MAX(0,$A67-'1. Inputs'!$C$27-'1. Inputs'!$B$30+1)+'1. Inputs'!$B$11))*'1. Inputs'!$B$13*(1+'1. Inputs'!$B$14*MIN(MAX(0,$A67-'1. Inputs'!$C$27-'1. Inputs'!$B$30+1),'1. Inputs'!$B$15))*'1. Inputs'!$B$31)</f>
        <v>1520517.63522013</v>
      </c>
      <c r="O67" s="22" t="n">
        <f aca="false">SUM(K67:N67)</f>
        <v>12318811.8932945</v>
      </c>
      <c r="P67" s="22" t="n">
        <f aca="false">IF($A67=MAX('1. Inputs'!$B$17,1),'1. Inputs'!$B$3,0)+IF($A67-'1. Inputs'!$B$17&gt;=1,INDEX(O$3:O$86,$A67-'1. Inputs'!$B$17),0)</f>
        <v>11916450.412726</v>
      </c>
      <c r="Q67" s="22" t="n">
        <f aca="false">Q66*(1-'1. Inputs'!$B$18)+P67</f>
        <v>387439283.66229</v>
      </c>
      <c r="R67" s="22" t="n">
        <f aca="false">Q67*'1. Inputs'!$B$18</f>
        <v>3874392.8366229</v>
      </c>
      <c r="S67" s="22" t="n">
        <f aca="false">S66+O67-R67</f>
        <v>529414327.346969</v>
      </c>
      <c r="T67" s="22" t="n">
        <f aca="false">IF(MAX(0,$A67-'1. Inputs'!$C$24-'1. Inputs'!$B$30+1)&lt;=0,0,'1. Inputs'!$B$24*'1. Inputs'!$B$5*MAX(0,$A67-'1. Inputs'!$C$24-'1. Inputs'!$B$30+1)^'1. Inputs'!$B$7/('1. Inputs'!$B$6^'1. Inputs'!$B$7+MAX(0,$A67-'1. Inputs'!$C$24-'1. Inputs'!$B$30+1)^'1. Inputs'!$B$7)*('1. Inputs'!$B$9+'1. Inputs'!$B$10*MAX(0,$A67-'1. Inputs'!$C$24-'1. Inputs'!$B$30+1)/(MAX(0,$A67-'1. Inputs'!$C$24-'1. Inputs'!$B$30+1)+'1. Inputs'!$B$11))*'1. Inputs'!$B$13*(1+'1. Inputs'!$B$14*MIN(MAX(0,$A67-'1. Inputs'!$C$24-'1. Inputs'!$B$30+1),'1. Inputs'!$B$15))*('1. Inputs'!$B$31*'5. Diagnosing a miss'!$B$22))</f>
        <v>3778589.64809053</v>
      </c>
      <c r="U67" s="22" t="n">
        <f aca="false">IF(MAX(0,$A67-'1. Inputs'!$C$25-'1. Inputs'!$B$30+1)&lt;=0,0,'1. Inputs'!$B$25*'1. Inputs'!$B$5*MAX(0,$A67-'1. Inputs'!$C$25-'1. Inputs'!$B$30+1)^'1. Inputs'!$B$7/('1. Inputs'!$B$6^'1. Inputs'!$B$7+MAX(0,$A67-'1. Inputs'!$C$25-'1. Inputs'!$B$30+1)^'1. Inputs'!$B$7)*('1. Inputs'!$B$9+'1. Inputs'!$B$10*MAX(0,$A67-'1. Inputs'!$C$25-'1. Inputs'!$B$30+1)/(MAX(0,$A67-'1. Inputs'!$C$25-'1. Inputs'!$B$30+1)+'1. Inputs'!$B$11))*'1. Inputs'!$B$13*(1+'1. Inputs'!$B$14*MIN(MAX(0,$A67-'1. Inputs'!$C$25-'1. Inputs'!$B$30+1),'1. Inputs'!$B$15))*('1. Inputs'!$B$31*'5. Diagnosing a miss'!$B$22))</f>
        <v>4993856.48432432</v>
      </c>
      <c r="V67" s="22" t="n">
        <f aca="false">IF(MAX(0,$A67-'1. Inputs'!$C$26-'1. Inputs'!$B$30+1)&lt;=0,0,'1. Inputs'!$B$26*'1. Inputs'!$B$5*MAX(0,$A67-'1. Inputs'!$C$26-'1. Inputs'!$B$30+1)^'1. Inputs'!$B$7/('1. Inputs'!$B$6^'1. Inputs'!$B$7+MAX(0,$A67-'1. Inputs'!$C$26-'1. Inputs'!$B$30+1)^'1. Inputs'!$B$7)*('1. Inputs'!$B$9+'1. Inputs'!$B$10*MAX(0,$A67-'1. Inputs'!$C$26-'1. Inputs'!$B$30+1)/(MAX(0,$A67-'1. Inputs'!$C$26-'1. Inputs'!$B$30+1)+'1. Inputs'!$B$11))*'1. Inputs'!$B$13*(1+'1. Inputs'!$B$14*MIN(MAX(0,$A67-'1. Inputs'!$C$26-'1. Inputs'!$B$30+1),'1. Inputs'!$B$15))*('1. Inputs'!$B$31*'5. Diagnosing a miss'!$B$22))</f>
        <v>2160826.80388543</v>
      </c>
      <c r="W67" s="22" t="n">
        <f aca="false">IF(MAX(0,$A67-'1. Inputs'!$C$27-'1. Inputs'!$B$30+1)&lt;=0,0,'1. Inputs'!$B$27*'1. Inputs'!$B$5*MAX(0,$A67-'1. Inputs'!$C$27-'1. Inputs'!$B$30+1)^'1. Inputs'!$B$7/('1. Inputs'!$B$6^'1. Inputs'!$B$7+MAX(0,$A67-'1. Inputs'!$C$27-'1. Inputs'!$B$30+1)^'1. Inputs'!$B$7)*('1. Inputs'!$B$9+'1. Inputs'!$B$10*MAX(0,$A67-'1. Inputs'!$C$27-'1. Inputs'!$B$30+1)/(MAX(0,$A67-'1. Inputs'!$C$27-'1. Inputs'!$B$30+1)+'1. Inputs'!$B$11))*'1. Inputs'!$B$13*(1+'1. Inputs'!$B$14*MIN(MAX(0,$A67-'1. Inputs'!$C$27-'1. Inputs'!$B$30+1),'1. Inputs'!$B$15))*('1. Inputs'!$B$31*'5. Diagnosing a miss'!$B$22))</f>
        <v>1539524.10566038</v>
      </c>
      <c r="X67" s="22" t="n">
        <f aca="false">SUM(T67:W67)</f>
        <v>12472797.0419607</v>
      </c>
      <c r="Y67" s="22" t="n">
        <f aca="false">IF($A67=MAX('1. Inputs'!$B$17,1),'1. Inputs'!$B$3,0)+IF($A67-'1. Inputs'!$B$17&gt;=1,INDEX(X$3:X$86,$A67-'1. Inputs'!$B$17),0)</f>
        <v>12065406.0428851</v>
      </c>
      <c r="Z67" s="22" t="n">
        <f aca="false">Z66*(1-'1. Inputs'!$B$18)+Y67</f>
        <v>391181580.741936</v>
      </c>
      <c r="AA67" s="22" t="n">
        <f aca="false">Z67*'1. Inputs'!$B$18</f>
        <v>3911815.80741936</v>
      </c>
      <c r="AB67" s="22" t="n">
        <f aca="false">AB66+X67-AA67</f>
        <v>534942319.412335</v>
      </c>
      <c r="AC67" s="22" t="n">
        <f aca="false">IF(MAX(0,$A67-'1. Inputs'!$C$24-('1. Inputs'!$B$30+'5. Diagnosing a miss'!$B$23)+1)&lt;=0,0,'1. Inputs'!$B$24*'1. Inputs'!$B$5*MAX(0,$A67-'1. Inputs'!$C$24-('1. Inputs'!$B$30+'5. Diagnosing a miss'!$B$23)+1)^'1. Inputs'!$B$7/('1. Inputs'!$B$6^'1. Inputs'!$B$7+MAX(0,$A67-'1. Inputs'!$C$24-('1. Inputs'!$B$30+'5. Diagnosing a miss'!$B$23)+1)^'1. Inputs'!$B$7)*('1. Inputs'!$B$9+'1. Inputs'!$B$10*MAX(0,$A67-'1. Inputs'!$C$24-('1. Inputs'!$B$30+'5. Diagnosing a miss'!$B$23)+1)/(MAX(0,$A67-'1. Inputs'!$C$24-('1. Inputs'!$B$30+'5. Diagnosing a miss'!$B$23)+1)+'1. Inputs'!$B$11))*'1. Inputs'!$B$13*(1+'1. Inputs'!$B$14*MIN(MAX(0,$A67-'1. Inputs'!$C$24-('1. Inputs'!$B$30+'5. Diagnosing a miss'!$B$23)+1),'1. Inputs'!$B$15))*'1. Inputs'!$B$31)</f>
        <v>4177211.99867639</v>
      </c>
      <c r="AD67" s="22" t="n">
        <f aca="false">IF(MAX(0,$A67-'1. Inputs'!$C$25-('1. Inputs'!$B$30+'5. Diagnosing a miss'!$B$23)+1)&lt;=0,0,'1. Inputs'!$B$25*'1. Inputs'!$B$5*MAX(0,$A67-'1. Inputs'!$C$25-('1. Inputs'!$B$30+'5. Diagnosing a miss'!$B$23)+1)^'1. Inputs'!$B$7/('1. Inputs'!$B$6^'1. Inputs'!$B$7+MAX(0,$A67-'1. Inputs'!$C$25-('1. Inputs'!$B$30+'5. Diagnosing a miss'!$B$23)+1)^'1. Inputs'!$B$7)*('1. Inputs'!$B$9+'1. Inputs'!$B$10*MAX(0,$A67-'1. Inputs'!$C$25-('1. Inputs'!$B$30+'5. Diagnosing a miss'!$B$23)+1)/(MAX(0,$A67-'1. Inputs'!$C$25-('1. Inputs'!$B$30+'5. Diagnosing a miss'!$B$23)+1)+'1. Inputs'!$B$11))*'1. Inputs'!$B$13*(1+'1. Inputs'!$B$14*MIN(MAX(0,$A67-'1. Inputs'!$C$25-('1. Inputs'!$B$30+'5. Diagnosing a miss'!$B$23)+1),'1. Inputs'!$B$15))*'1. Inputs'!$B$31)</f>
        <v>5513833.34793359</v>
      </c>
      <c r="AE67" s="22" t="n">
        <f aca="false">IF(MAX(0,$A67-'1. Inputs'!$C$26-('1. Inputs'!$B$30+'5. Diagnosing a miss'!$B$23)+1)&lt;=0,0,'1. Inputs'!$B$26*'1. Inputs'!$B$5*MAX(0,$A67-'1. Inputs'!$C$26-('1. Inputs'!$B$30+'5. Diagnosing a miss'!$B$23)+1)^'1. Inputs'!$B$7/('1. Inputs'!$B$6^'1. Inputs'!$B$7+MAX(0,$A67-'1. Inputs'!$C$26-('1. Inputs'!$B$30+'5. Diagnosing a miss'!$B$23)+1)^'1. Inputs'!$B$7)*('1. Inputs'!$B$9+'1. Inputs'!$B$10*MAX(0,$A67-'1. Inputs'!$C$26-('1. Inputs'!$B$30+'5. Diagnosing a miss'!$B$23)+1)/(MAX(0,$A67-'1. Inputs'!$C$26-('1. Inputs'!$B$30+'5. Diagnosing a miss'!$B$23)+1)+'1. Inputs'!$B$11))*'1. Inputs'!$B$13*(1+'1. Inputs'!$B$14*MIN(MAX(0,$A67-'1. Inputs'!$C$26-('1. Inputs'!$B$30+'5. Diagnosing a miss'!$B$23)+1),'1. Inputs'!$B$15))*'1. Inputs'!$B$31)</f>
        <v>2381686.20762578</v>
      </c>
      <c r="AF67" s="22" t="n">
        <f aca="false">IF(MAX(0,$A67-'1. Inputs'!$C$27-('1. Inputs'!$B$30+'5. Diagnosing a miss'!$B$23)+1)&lt;=0,0,'1. Inputs'!$B$27*'1. Inputs'!$B$5*MAX(0,$A67-'1. Inputs'!$C$27-('1. Inputs'!$B$30+'5. Diagnosing a miss'!$B$23)+1)^'1. Inputs'!$B$7/('1. Inputs'!$B$6^'1. Inputs'!$B$7+MAX(0,$A67-'1. Inputs'!$C$27-('1. Inputs'!$B$30+'5. Diagnosing a miss'!$B$23)+1)^'1. Inputs'!$B$7)*('1. Inputs'!$B$9+'1. Inputs'!$B$10*MAX(0,$A67-'1. Inputs'!$C$27-('1. Inputs'!$B$30+'5. Diagnosing a miss'!$B$23)+1)/(MAX(0,$A67-'1. Inputs'!$C$27-('1. Inputs'!$B$30+'5. Diagnosing a miss'!$B$23)+1)+'1. Inputs'!$B$11))*'1. Inputs'!$B$13*(1+'1. Inputs'!$B$14*MIN(MAX(0,$A67-'1. Inputs'!$C$27-('1. Inputs'!$B$30+'5. Diagnosing a miss'!$B$23)+1),'1. Inputs'!$B$15))*'1. Inputs'!$B$31)</f>
        <v>1696153.84615385</v>
      </c>
      <c r="AG67" s="22" t="n">
        <f aca="false">SUM(AC67:AF67)</f>
        <v>13768885.4003896</v>
      </c>
      <c r="AH67" s="22" t="n">
        <f aca="false">IF($A67=MAX('1. Inputs'!$B$17,1),'1. Inputs'!$B$3,0)+IF($A67-'1. Inputs'!$B$17&gt;=1,INDEX(AG$3:AG$86,$A67-'1. Inputs'!$B$17),0)</f>
        <v>13240003.120475</v>
      </c>
      <c r="AI67" s="22" t="n">
        <f aca="false">AI66*(1-'1. Inputs'!$B$18)+AH67</f>
        <v>394297638.978265</v>
      </c>
      <c r="AJ67" s="22" t="n">
        <f aca="false">AI67*'1. Inputs'!$B$18</f>
        <v>3942976.38978265</v>
      </c>
      <c r="AK67" s="22" t="n">
        <f aca="false">AK66+AG67-AJ67</f>
        <v>553004874.340601</v>
      </c>
    </row>
    <row r="68" customFormat="false" ht="15" hidden="false" customHeight="false" outlineLevel="0" collapsed="false">
      <c r="A68" s="7" t="n">
        <v>66</v>
      </c>
      <c r="B68" s="22" t="n">
        <f aca="false">IF(MAX(0,$A68-'1. Inputs'!$C$24-'1. Inputs'!$B$30+1)&lt;=0,0,'1. Inputs'!$B$24*'1. Inputs'!$B$5*MAX(0,$A68-'1. Inputs'!$C$24-'1. Inputs'!$B$30+1)^'1. Inputs'!$B$7/('1. Inputs'!$B$6^'1. Inputs'!$B$7+MAX(0,$A68-'1. Inputs'!$C$24-'1. Inputs'!$B$30+1)^'1. Inputs'!$B$7)*('1. Inputs'!$B$9+'1. Inputs'!$B$10*MAX(0,$A68-'1. Inputs'!$C$24-'1. Inputs'!$B$30+1)/(MAX(0,$A68-'1. Inputs'!$C$24-'1. Inputs'!$B$30+1)+'1. Inputs'!$B$11))*'1. Inputs'!$B$13*(1+'1. Inputs'!$B$14*MIN(MAX(0,$A68-'1. Inputs'!$C$24-'1. Inputs'!$B$30+1),'1. Inputs'!$B$15))*'1. Inputs'!$B$31)</f>
        <v>4204966.436986</v>
      </c>
      <c r="C68" s="22" t="n">
        <f aca="false">IF(MAX(0,$A68-'1. Inputs'!$C$25-'1. Inputs'!$B$30+1)&lt;=0,0,'1. Inputs'!$B$25*'1. Inputs'!$B$5*MAX(0,$A68-'1. Inputs'!$C$25-'1. Inputs'!$B$30+1)^'1. Inputs'!$B$7/('1. Inputs'!$B$6^'1. Inputs'!$B$7+MAX(0,$A68-'1. Inputs'!$C$25-'1. Inputs'!$B$30+1)^'1. Inputs'!$B$7)*('1. Inputs'!$B$9+'1. Inputs'!$B$10*MAX(0,$A68-'1. Inputs'!$C$25-'1. Inputs'!$B$30+1)/(MAX(0,$A68-'1. Inputs'!$C$25-'1. Inputs'!$B$30+1)+'1. Inputs'!$B$11))*'1. Inputs'!$B$13*(1+'1. Inputs'!$B$14*MIN(MAX(0,$A68-'1. Inputs'!$C$25-'1. Inputs'!$B$30+1),'1. Inputs'!$B$15))*'1. Inputs'!$B$31)</f>
        <v>5559391.38420614</v>
      </c>
      <c r="D68" s="22" t="n">
        <f aca="false">IF(MAX(0,$A68-'1. Inputs'!$C$26-'1. Inputs'!$B$30+1)&lt;=0,0,'1. Inputs'!$B$26*'1. Inputs'!$B$5*MAX(0,$A68-'1. Inputs'!$C$26-'1. Inputs'!$B$30+1)^'1. Inputs'!$B$7/('1. Inputs'!$B$6^'1. Inputs'!$B$7+MAX(0,$A68-'1. Inputs'!$C$26-'1. Inputs'!$B$30+1)^'1. Inputs'!$B$7)*('1. Inputs'!$B$9+'1. Inputs'!$B$10*MAX(0,$A68-'1. Inputs'!$C$26-'1. Inputs'!$B$30+1)/(MAX(0,$A68-'1. Inputs'!$C$26-'1. Inputs'!$B$30+1)+'1. Inputs'!$B$11))*'1. Inputs'!$B$13*(1+'1. Inputs'!$B$14*MIN(MAX(0,$A68-'1. Inputs'!$C$26-'1. Inputs'!$B$30+1),'1. Inputs'!$B$15))*'1. Inputs'!$B$31)</f>
        <v>2406741.57303371</v>
      </c>
      <c r="E68" s="22" t="n">
        <f aca="false">IF(MAX(0,$A68-'1. Inputs'!$C$27-'1. Inputs'!$B$30+1)&lt;=0,0,'1. Inputs'!$B$27*'1. Inputs'!$B$5*MAX(0,$A68-'1. Inputs'!$C$27-'1. Inputs'!$B$30+1)^'1. Inputs'!$B$7/('1. Inputs'!$B$6^'1. Inputs'!$B$7+MAX(0,$A68-'1. Inputs'!$C$27-'1. Inputs'!$B$30+1)^'1. Inputs'!$B$7)*('1. Inputs'!$B$9+'1. Inputs'!$B$10*MAX(0,$A68-'1. Inputs'!$C$27-'1. Inputs'!$B$30+1)/(MAX(0,$A68-'1. Inputs'!$C$27-'1. Inputs'!$B$30+1)+'1. Inputs'!$B$11))*'1. Inputs'!$B$13*(1+'1. Inputs'!$B$14*MIN(MAX(0,$A68-'1. Inputs'!$C$27-'1. Inputs'!$B$30+1),'1. Inputs'!$B$15))*'1. Inputs'!$B$31)</f>
        <v>1714941.90784558</v>
      </c>
      <c r="F68" s="22" t="n">
        <f aca="false">SUM(B68:E68)</f>
        <v>13886041.3020714</v>
      </c>
      <c r="G68" s="22" t="n">
        <f aca="false">IF($A68=MAX('1. Inputs'!$B$17,1),'1. Inputs'!$B$3,0)+IF($A68-'1. Inputs'!$B$17&gt;=1,INDEX(F$3:F$86,$A68-'1. Inputs'!$B$17),0)</f>
        <v>13455285.6412853</v>
      </c>
      <c r="H68" s="22" t="n">
        <f aca="false">H67*(1-'1. Inputs'!$B$18)+G68</f>
        <v>434068917.555446</v>
      </c>
      <c r="I68" s="22" t="n">
        <f aca="false">H68*'1. Inputs'!$B$18</f>
        <v>4340689.17555446</v>
      </c>
      <c r="J68" s="22" t="n">
        <f aca="false">J67+F68-I68</f>
        <v>594239600.127143</v>
      </c>
      <c r="K68" s="22" t="n">
        <f aca="false">IF(MAX(0,$A68-'1. Inputs'!$C$24-'1. Inputs'!$B$30+1)&lt;=0,0,'1. Inputs'!$B$24*('1. Inputs'!$B$5-'5. Diagnosing a miss'!$B$21)*MAX(0,$A68-'1. Inputs'!$C$24-'1. Inputs'!$B$30+1)^'1. Inputs'!$B$7/('1. Inputs'!$B$6^'1. Inputs'!$B$7+MAX(0,$A68-'1. Inputs'!$C$24-'1. Inputs'!$B$30+1)^'1. Inputs'!$B$7)*('1. Inputs'!$B$9+'1. Inputs'!$B$10*MAX(0,$A68-'1. Inputs'!$C$24-'1. Inputs'!$B$30+1)/(MAX(0,$A68-'1. Inputs'!$C$24-'1. Inputs'!$B$30+1)+'1. Inputs'!$B$11))*'1. Inputs'!$B$13*(1+'1. Inputs'!$B$14*MIN(MAX(0,$A68-'1. Inputs'!$C$24-'1. Inputs'!$B$30+1),'1. Inputs'!$B$15))*'1. Inputs'!$B$31)</f>
        <v>3737747.94398755</v>
      </c>
      <c r="L68" s="22" t="n">
        <f aca="false">IF(MAX(0,$A68-'1. Inputs'!$C$25-'1. Inputs'!$B$30+1)&lt;=0,0,'1. Inputs'!$B$25*('1. Inputs'!$B$5-'5. Diagnosing a miss'!$B$21)*MAX(0,$A68-'1. Inputs'!$C$25-'1. Inputs'!$B$30+1)^'1. Inputs'!$B$7/('1. Inputs'!$B$6^'1. Inputs'!$B$7+MAX(0,$A68-'1. Inputs'!$C$25-'1. Inputs'!$B$30+1)^'1. Inputs'!$B$7)*('1. Inputs'!$B$9+'1. Inputs'!$B$10*MAX(0,$A68-'1. Inputs'!$C$25-'1. Inputs'!$B$30+1)/(MAX(0,$A68-'1. Inputs'!$C$25-'1. Inputs'!$B$30+1)+'1. Inputs'!$B$11))*'1. Inputs'!$B$13*(1+'1. Inputs'!$B$14*MIN(MAX(0,$A68-'1. Inputs'!$C$25-'1. Inputs'!$B$30+1),'1. Inputs'!$B$15))*'1. Inputs'!$B$31)</f>
        <v>4941681.23040545</v>
      </c>
      <c r="M68" s="22" t="n">
        <f aca="false">IF(MAX(0,$A68-'1. Inputs'!$C$26-'1. Inputs'!$B$30+1)&lt;=0,0,'1. Inputs'!$B$26*('1. Inputs'!$B$5-'5. Diagnosing a miss'!$B$21)*MAX(0,$A68-'1. Inputs'!$C$26-'1. Inputs'!$B$30+1)^'1. Inputs'!$B$7/('1. Inputs'!$B$6^'1. Inputs'!$B$7+MAX(0,$A68-'1. Inputs'!$C$26-'1. Inputs'!$B$30+1)^'1. Inputs'!$B$7)*('1. Inputs'!$B$9+'1. Inputs'!$B$10*MAX(0,$A68-'1. Inputs'!$C$26-'1. Inputs'!$B$30+1)/(MAX(0,$A68-'1. Inputs'!$C$26-'1. Inputs'!$B$30+1)+'1. Inputs'!$B$11))*'1. Inputs'!$B$13*(1+'1. Inputs'!$B$14*MIN(MAX(0,$A68-'1. Inputs'!$C$26-'1. Inputs'!$B$30+1),'1. Inputs'!$B$15))*'1. Inputs'!$B$31)</f>
        <v>2139325.84269663</v>
      </c>
      <c r="N68" s="22" t="n">
        <f aca="false">IF(MAX(0,$A68-'1. Inputs'!$C$27-'1. Inputs'!$B$30+1)&lt;=0,0,'1. Inputs'!$B$27*('1. Inputs'!$B$5-'5. Diagnosing a miss'!$B$21)*MAX(0,$A68-'1. Inputs'!$C$27-'1. Inputs'!$B$30+1)^'1. Inputs'!$B$7/('1. Inputs'!$B$6^'1. Inputs'!$B$7+MAX(0,$A68-'1. Inputs'!$C$27-'1. Inputs'!$B$30+1)^'1. Inputs'!$B$7)*('1. Inputs'!$B$9+'1. Inputs'!$B$10*MAX(0,$A68-'1. Inputs'!$C$27-'1. Inputs'!$B$30+1)/(MAX(0,$A68-'1. Inputs'!$C$27-'1. Inputs'!$B$30+1)+'1. Inputs'!$B$11))*'1. Inputs'!$B$13*(1+'1. Inputs'!$B$14*MIN(MAX(0,$A68-'1. Inputs'!$C$27-'1. Inputs'!$B$30+1),'1. Inputs'!$B$15))*'1. Inputs'!$B$31)</f>
        <v>1524392.80697385</v>
      </c>
      <c r="O68" s="22" t="n">
        <f aca="false">SUM(K68:N68)</f>
        <v>12343147.8240635</v>
      </c>
      <c r="P68" s="22" t="n">
        <f aca="false">IF($A68=MAX('1. Inputs'!$B$17,1),'1. Inputs'!$B$3,0)+IF($A68-'1. Inputs'!$B$17&gt;=1,INDEX(O$3:O$86,$A68-'1. Inputs'!$B$17),0)</f>
        <v>11960253.9033647</v>
      </c>
      <c r="Q68" s="22" t="n">
        <f aca="false">Q67*(1-'1. Inputs'!$B$18)+P68</f>
        <v>395525144.729032</v>
      </c>
      <c r="R68" s="22" t="n">
        <f aca="false">Q68*'1. Inputs'!$B$18</f>
        <v>3955251.44729032</v>
      </c>
      <c r="S68" s="22" t="n">
        <f aca="false">S67+O68-R68</f>
        <v>537802223.723742</v>
      </c>
      <c r="T68" s="22" t="n">
        <f aca="false">IF(MAX(0,$A68-'1. Inputs'!$C$24-'1. Inputs'!$B$30+1)&lt;=0,0,'1. Inputs'!$B$24*'1. Inputs'!$B$5*MAX(0,$A68-'1. Inputs'!$C$24-'1. Inputs'!$B$30+1)^'1. Inputs'!$B$7/('1. Inputs'!$B$6^'1. Inputs'!$B$7+MAX(0,$A68-'1. Inputs'!$C$24-'1. Inputs'!$B$30+1)^'1. Inputs'!$B$7)*('1. Inputs'!$B$9+'1. Inputs'!$B$10*MAX(0,$A68-'1. Inputs'!$C$24-'1. Inputs'!$B$30+1)/(MAX(0,$A68-'1. Inputs'!$C$24-'1. Inputs'!$B$30+1)+'1. Inputs'!$B$11))*'1. Inputs'!$B$13*(1+'1. Inputs'!$B$14*MIN(MAX(0,$A68-'1. Inputs'!$C$24-'1. Inputs'!$B$30+1),'1. Inputs'!$B$15))*('1. Inputs'!$B$31*'5. Diagnosing a miss'!$B$22))</f>
        <v>3784469.7932874</v>
      </c>
      <c r="U68" s="22" t="n">
        <f aca="false">IF(MAX(0,$A68-'1. Inputs'!$C$25-'1. Inputs'!$B$30+1)&lt;=0,0,'1. Inputs'!$B$25*'1. Inputs'!$B$5*MAX(0,$A68-'1. Inputs'!$C$25-'1. Inputs'!$B$30+1)^'1. Inputs'!$B$7/('1. Inputs'!$B$6^'1. Inputs'!$B$7+MAX(0,$A68-'1. Inputs'!$C$25-'1. Inputs'!$B$30+1)^'1. Inputs'!$B$7)*('1. Inputs'!$B$9+'1. Inputs'!$B$10*MAX(0,$A68-'1. Inputs'!$C$25-'1. Inputs'!$B$30+1)/(MAX(0,$A68-'1. Inputs'!$C$25-'1. Inputs'!$B$30+1)+'1. Inputs'!$B$11))*'1. Inputs'!$B$13*(1+'1. Inputs'!$B$14*MIN(MAX(0,$A68-'1. Inputs'!$C$25-'1. Inputs'!$B$30+1),'1. Inputs'!$B$15))*('1. Inputs'!$B$31*'5. Diagnosing a miss'!$B$22))</f>
        <v>5003452.24578552</v>
      </c>
      <c r="V68" s="22" t="n">
        <f aca="false">IF(MAX(0,$A68-'1. Inputs'!$C$26-'1. Inputs'!$B$30+1)&lt;=0,0,'1. Inputs'!$B$26*'1. Inputs'!$B$5*MAX(0,$A68-'1. Inputs'!$C$26-'1. Inputs'!$B$30+1)^'1. Inputs'!$B$7/('1. Inputs'!$B$6^'1. Inputs'!$B$7+MAX(0,$A68-'1. Inputs'!$C$26-'1. Inputs'!$B$30+1)^'1. Inputs'!$B$7)*('1. Inputs'!$B$9+'1. Inputs'!$B$10*MAX(0,$A68-'1. Inputs'!$C$26-'1. Inputs'!$B$30+1)/(MAX(0,$A68-'1. Inputs'!$C$26-'1. Inputs'!$B$30+1)+'1. Inputs'!$B$11))*'1. Inputs'!$B$13*(1+'1. Inputs'!$B$14*MIN(MAX(0,$A68-'1. Inputs'!$C$26-'1. Inputs'!$B$30+1),'1. Inputs'!$B$15))*('1. Inputs'!$B$31*'5. Diagnosing a miss'!$B$22))</f>
        <v>2166067.41573034</v>
      </c>
      <c r="W68" s="22" t="n">
        <f aca="false">IF(MAX(0,$A68-'1. Inputs'!$C$27-'1. Inputs'!$B$30+1)&lt;=0,0,'1. Inputs'!$B$27*'1. Inputs'!$B$5*MAX(0,$A68-'1. Inputs'!$C$27-'1. Inputs'!$B$30+1)^'1. Inputs'!$B$7/('1. Inputs'!$B$6^'1. Inputs'!$B$7+MAX(0,$A68-'1. Inputs'!$C$27-'1. Inputs'!$B$30+1)^'1. Inputs'!$B$7)*('1. Inputs'!$B$9+'1. Inputs'!$B$10*MAX(0,$A68-'1. Inputs'!$C$27-'1. Inputs'!$B$30+1)/(MAX(0,$A68-'1. Inputs'!$C$27-'1. Inputs'!$B$30+1)+'1. Inputs'!$B$11))*'1. Inputs'!$B$13*(1+'1. Inputs'!$B$14*MIN(MAX(0,$A68-'1. Inputs'!$C$27-'1. Inputs'!$B$30+1),'1. Inputs'!$B$15))*('1. Inputs'!$B$31*'5. Diagnosing a miss'!$B$22))</f>
        <v>1543447.71706102</v>
      </c>
      <c r="X68" s="22" t="n">
        <f aca="false">SUM(T68:W68)</f>
        <v>12497437.1718643</v>
      </c>
      <c r="Y68" s="22" t="n">
        <f aca="false">IF($A68=MAX('1. Inputs'!$B$17,1),'1. Inputs'!$B$3,0)+IF($A68-'1. Inputs'!$B$17&gt;=1,INDEX(X$3:X$86,$A68-'1. Inputs'!$B$17),0)</f>
        <v>12109757.0771568</v>
      </c>
      <c r="Z68" s="22" t="n">
        <f aca="false">Z67*(1-'1. Inputs'!$B$18)+Y68</f>
        <v>399379522.011673</v>
      </c>
      <c r="AA68" s="22" t="n">
        <f aca="false">Z68*'1. Inputs'!$B$18</f>
        <v>3993795.22011673</v>
      </c>
      <c r="AB68" s="22" t="n">
        <f aca="false">AB67+X68-AA68</f>
        <v>543445961.364083</v>
      </c>
      <c r="AC68" s="22" t="n">
        <f aca="false">IF(MAX(0,$A68-'1. Inputs'!$C$24-('1. Inputs'!$B$30+'5. Diagnosing a miss'!$B$23)+1)&lt;=0,0,'1. Inputs'!$B$24*'1. Inputs'!$B$5*MAX(0,$A68-'1. Inputs'!$C$24-('1. Inputs'!$B$30+'5. Diagnosing a miss'!$B$23)+1)^'1. Inputs'!$B$7/('1. Inputs'!$B$6^'1. Inputs'!$B$7+MAX(0,$A68-'1. Inputs'!$C$24-('1. Inputs'!$B$30+'5. Diagnosing a miss'!$B$23)+1)^'1. Inputs'!$B$7)*('1. Inputs'!$B$9+'1. Inputs'!$B$10*MAX(0,$A68-'1. Inputs'!$C$24-('1. Inputs'!$B$30+'5. Diagnosing a miss'!$B$23)+1)/(MAX(0,$A68-'1. Inputs'!$C$24-('1. Inputs'!$B$30+'5. Diagnosing a miss'!$B$23)+1)+'1. Inputs'!$B$11))*'1. Inputs'!$B$13*(1+'1. Inputs'!$B$14*MIN(MAX(0,$A68-'1. Inputs'!$C$24-('1. Inputs'!$B$30+'5. Diagnosing a miss'!$B$23)+1),'1. Inputs'!$B$15))*'1. Inputs'!$B$31)</f>
        <v>4184571.5027027</v>
      </c>
      <c r="AD68" s="22" t="n">
        <f aca="false">IF(MAX(0,$A68-'1. Inputs'!$C$25-('1. Inputs'!$B$30+'5. Diagnosing a miss'!$B$23)+1)&lt;=0,0,'1. Inputs'!$B$25*'1. Inputs'!$B$5*MAX(0,$A68-'1. Inputs'!$C$25-('1. Inputs'!$B$30+'5. Diagnosing a miss'!$B$23)+1)^'1. Inputs'!$B$7/('1. Inputs'!$B$6^'1. Inputs'!$B$7+MAX(0,$A68-'1. Inputs'!$C$25-('1. Inputs'!$B$30+'5. Diagnosing a miss'!$B$23)+1)^'1. Inputs'!$B$7)*('1. Inputs'!$B$9+'1. Inputs'!$B$10*MAX(0,$A68-'1. Inputs'!$C$25-('1. Inputs'!$B$30+'5. Diagnosing a miss'!$B$23)+1)/(MAX(0,$A68-'1. Inputs'!$C$25-('1. Inputs'!$B$30+'5. Diagnosing a miss'!$B$23)+1)+'1. Inputs'!$B$11))*'1. Inputs'!$B$13*(1+'1. Inputs'!$B$14*MIN(MAX(0,$A68-'1. Inputs'!$C$25-('1. Inputs'!$B$30+'5. Diagnosing a miss'!$B$23)+1),'1. Inputs'!$B$15))*'1. Inputs'!$B$31)</f>
        <v>5525981.38064756</v>
      </c>
      <c r="AE68" s="22" t="n">
        <f aca="false">IF(MAX(0,$A68-'1. Inputs'!$C$26-('1. Inputs'!$B$30+'5. Diagnosing a miss'!$B$23)+1)&lt;=0,0,'1. Inputs'!$B$26*'1. Inputs'!$B$5*MAX(0,$A68-'1. Inputs'!$C$26-('1. Inputs'!$B$30+'5. Diagnosing a miss'!$B$23)+1)^'1. Inputs'!$B$7/('1. Inputs'!$B$6^'1. Inputs'!$B$7+MAX(0,$A68-'1. Inputs'!$C$26-('1. Inputs'!$B$30+'5. Diagnosing a miss'!$B$23)+1)^'1. Inputs'!$B$7)*('1. Inputs'!$B$9+'1. Inputs'!$B$10*MAX(0,$A68-'1. Inputs'!$C$26-('1. Inputs'!$B$30+'5. Diagnosing a miss'!$B$23)+1)/(MAX(0,$A68-'1. Inputs'!$C$26-('1. Inputs'!$B$30+'5. Diagnosing a miss'!$B$23)+1)+'1. Inputs'!$B$11))*'1. Inputs'!$B$13*(1+'1. Inputs'!$B$14*MIN(MAX(0,$A68-'1. Inputs'!$C$26-('1. Inputs'!$B$30+'5. Diagnosing a miss'!$B$23)+1),'1. Inputs'!$B$15))*'1. Inputs'!$B$31)</f>
        <v>2388411.64202027</v>
      </c>
      <c r="AF68" s="22" t="n">
        <f aca="false">IF(MAX(0,$A68-'1. Inputs'!$C$27-('1. Inputs'!$B$30+'5. Diagnosing a miss'!$B$23)+1)&lt;=0,0,'1. Inputs'!$B$27*'1. Inputs'!$B$5*MAX(0,$A68-'1. Inputs'!$C$27-('1. Inputs'!$B$30+'5. Diagnosing a miss'!$B$23)+1)^'1. Inputs'!$B$7/('1. Inputs'!$B$6^'1. Inputs'!$B$7+MAX(0,$A68-'1. Inputs'!$C$27-('1. Inputs'!$B$30+'5. Diagnosing a miss'!$B$23)+1)^'1. Inputs'!$B$7)*('1. Inputs'!$B$9+'1. Inputs'!$B$10*MAX(0,$A68-'1. Inputs'!$C$27-('1. Inputs'!$B$30+'5. Diagnosing a miss'!$B$23)+1)/(MAX(0,$A68-'1. Inputs'!$C$27-('1. Inputs'!$B$30+'5. Diagnosing a miss'!$B$23)+1)+'1. Inputs'!$B$11))*'1. Inputs'!$B$13*(1+'1. Inputs'!$B$14*MIN(MAX(0,$A68-'1. Inputs'!$C$27-('1. Inputs'!$B$30+'5. Diagnosing a miss'!$B$23)+1),'1. Inputs'!$B$15))*'1. Inputs'!$B$31)</f>
        <v>1701204.43401842</v>
      </c>
      <c r="AG68" s="22" t="n">
        <f aca="false">SUM(AC68:AF68)</f>
        <v>13800168.9593889</v>
      </c>
      <c r="AH68" s="22" t="n">
        <f aca="false">IF($A68=MAX('1. Inputs'!$B$17,1),'1. Inputs'!$B$3,0)+IF($A68-'1. Inputs'!$B$17&gt;=1,INDEX(AG$3:AG$86,$A68-'1. Inputs'!$B$17),0)</f>
        <v>13298621.2132947</v>
      </c>
      <c r="AI68" s="22" t="n">
        <f aca="false">AI67*(1-'1. Inputs'!$B$18)+AH68</f>
        <v>403653283.801777</v>
      </c>
      <c r="AJ68" s="22" t="n">
        <f aca="false">AI68*'1. Inputs'!$B$18</f>
        <v>4036532.83801777</v>
      </c>
      <c r="AK68" s="22" t="n">
        <f aca="false">AK67+AG68-AJ68</f>
        <v>562768510.461972</v>
      </c>
    </row>
    <row r="69" customFormat="false" ht="15" hidden="false" customHeight="false" outlineLevel="0" collapsed="false">
      <c r="A69" s="7" t="n">
        <v>67</v>
      </c>
      <c r="B69" s="22" t="n">
        <f aca="false">IF(MAX(0,$A69-'1. Inputs'!$C$24-'1. Inputs'!$B$30+1)&lt;=0,0,'1. Inputs'!$B$24*'1. Inputs'!$B$5*MAX(0,$A69-'1. Inputs'!$C$24-'1. Inputs'!$B$30+1)^'1. Inputs'!$B$7/('1. Inputs'!$B$6^'1. Inputs'!$B$7+MAX(0,$A69-'1. Inputs'!$C$24-'1. Inputs'!$B$30+1)^'1. Inputs'!$B$7)*('1. Inputs'!$B$9+'1. Inputs'!$B$10*MAX(0,$A69-'1. Inputs'!$C$24-'1. Inputs'!$B$30+1)/(MAX(0,$A69-'1. Inputs'!$C$24-'1. Inputs'!$B$30+1)+'1. Inputs'!$B$11))*'1. Inputs'!$B$13*(1+'1. Inputs'!$B$14*MIN(MAX(0,$A69-'1. Inputs'!$C$24-'1. Inputs'!$B$30+1),'1. Inputs'!$B$15))*'1. Inputs'!$B$31)</f>
        <v>4211254.30505547</v>
      </c>
      <c r="C69" s="22" t="n">
        <f aca="false">IF(MAX(0,$A69-'1. Inputs'!$C$25-'1. Inputs'!$B$30+1)&lt;=0,0,'1. Inputs'!$B$25*'1. Inputs'!$B$5*MAX(0,$A69-'1. Inputs'!$C$25-'1. Inputs'!$B$30+1)^'1. Inputs'!$B$7/('1. Inputs'!$B$6^'1. Inputs'!$B$7+MAX(0,$A69-'1. Inputs'!$C$25-'1. Inputs'!$B$30+1)^'1. Inputs'!$B$7)*('1. Inputs'!$B$9+'1. Inputs'!$B$10*MAX(0,$A69-'1. Inputs'!$C$25-'1. Inputs'!$B$30+1)/(MAX(0,$A69-'1. Inputs'!$C$25-'1. Inputs'!$B$30+1)+'1. Inputs'!$B$11))*'1. Inputs'!$B$13*(1+'1. Inputs'!$B$14*MIN(MAX(0,$A69-'1. Inputs'!$C$25-'1. Inputs'!$B$30+1),'1. Inputs'!$B$15))*'1. Inputs'!$B$31)</f>
        <v>5569615.99823518</v>
      </c>
      <c r="D69" s="22" t="n">
        <f aca="false">IF(MAX(0,$A69-'1. Inputs'!$C$26-'1. Inputs'!$B$30+1)&lt;=0,0,'1. Inputs'!$B$26*'1. Inputs'!$B$5*MAX(0,$A69-'1. Inputs'!$C$26-'1. Inputs'!$B$30+1)^'1. Inputs'!$B$7/('1. Inputs'!$B$6^'1. Inputs'!$B$7+MAX(0,$A69-'1. Inputs'!$C$26-'1. Inputs'!$B$30+1)^'1. Inputs'!$B$7)*('1. Inputs'!$B$9+'1. Inputs'!$B$10*MAX(0,$A69-'1. Inputs'!$C$26-'1. Inputs'!$B$30+1)/(MAX(0,$A69-'1. Inputs'!$C$26-'1. Inputs'!$B$30+1)+'1. Inputs'!$B$11))*'1. Inputs'!$B$13*(1+'1. Inputs'!$B$14*MIN(MAX(0,$A69-'1. Inputs'!$C$26-'1. Inputs'!$B$30+1),'1. Inputs'!$B$15))*'1. Inputs'!$B$31)</f>
        <v>2412302.08972095</v>
      </c>
      <c r="E69" s="22" t="n">
        <f aca="false">IF(MAX(0,$A69-'1. Inputs'!$C$27-'1. Inputs'!$B$30+1)&lt;=0,0,'1. Inputs'!$B$27*'1. Inputs'!$B$5*MAX(0,$A69-'1. Inputs'!$C$27-'1. Inputs'!$B$30+1)^'1. Inputs'!$B$7/('1. Inputs'!$B$6^'1. Inputs'!$B$7+MAX(0,$A69-'1. Inputs'!$C$27-'1. Inputs'!$B$30+1)^'1. Inputs'!$B$7)*('1. Inputs'!$B$9+'1. Inputs'!$B$10*MAX(0,$A69-'1. Inputs'!$C$27-'1. Inputs'!$B$30+1)/(MAX(0,$A69-'1. Inputs'!$C$27-'1. Inputs'!$B$30+1)+'1. Inputs'!$B$11))*'1. Inputs'!$B$13*(1+'1. Inputs'!$B$14*MIN(MAX(0,$A69-'1. Inputs'!$C$27-'1. Inputs'!$B$30+1),'1. Inputs'!$B$15))*'1. Inputs'!$B$31)</f>
        <v>1719101.12359551</v>
      </c>
      <c r="F69" s="22" t="n">
        <f aca="false">SUM(B69:E69)</f>
        <v>13912273.5166071</v>
      </c>
      <c r="G69" s="22" t="n">
        <f aca="false">IF($A69=MAX('1. Inputs'!$B$17,1),'1. Inputs'!$B$3,0)+IF($A69-'1. Inputs'!$B$17&gt;=1,INDEX(F$3:F$86,$A69-'1. Inputs'!$B$17),0)</f>
        <v>13501921.556478</v>
      </c>
      <c r="H69" s="22" t="n">
        <f aca="false">H68*(1-'1. Inputs'!$B$18)+G69</f>
        <v>443230149.93637</v>
      </c>
      <c r="I69" s="22" t="n">
        <f aca="false">H69*'1. Inputs'!$B$18</f>
        <v>4432301.4993637</v>
      </c>
      <c r="J69" s="22" t="n">
        <f aca="false">J68+F69-I69</f>
        <v>603719572.144386</v>
      </c>
      <c r="K69" s="22" t="n">
        <f aca="false">IF(MAX(0,$A69-'1. Inputs'!$C$24-'1. Inputs'!$B$30+1)&lt;=0,0,'1. Inputs'!$B$24*('1. Inputs'!$B$5-'5. Diagnosing a miss'!$B$21)*MAX(0,$A69-'1. Inputs'!$C$24-'1. Inputs'!$B$30+1)^'1. Inputs'!$B$7/('1. Inputs'!$B$6^'1. Inputs'!$B$7+MAX(0,$A69-'1. Inputs'!$C$24-'1. Inputs'!$B$30+1)^'1. Inputs'!$B$7)*('1. Inputs'!$B$9+'1. Inputs'!$B$10*MAX(0,$A69-'1. Inputs'!$C$24-'1. Inputs'!$B$30+1)/(MAX(0,$A69-'1. Inputs'!$C$24-'1. Inputs'!$B$30+1)+'1. Inputs'!$B$11))*'1. Inputs'!$B$13*(1+'1. Inputs'!$B$14*MIN(MAX(0,$A69-'1. Inputs'!$C$24-'1. Inputs'!$B$30+1),'1. Inputs'!$B$15))*'1. Inputs'!$B$31)</f>
        <v>3743337.16004931</v>
      </c>
      <c r="L69" s="22" t="n">
        <f aca="false">IF(MAX(0,$A69-'1. Inputs'!$C$25-'1. Inputs'!$B$30+1)&lt;=0,0,'1. Inputs'!$B$25*('1. Inputs'!$B$5-'5. Diagnosing a miss'!$B$21)*MAX(0,$A69-'1. Inputs'!$C$25-'1. Inputs'!$B$30+1)^'1. Inputs'!$B$7/('1. Inputs'!$B$6^'1. Inputs'!$B$7+MAX(0,$A69-'1. Inputs'!$C$25-'1. Inputs'!$B$30+1)^'1. Inputs'!$B$7)*('1. Inputs'!$B$9+'1. Inputs'!$B$10*MAX(0,$A69-'1. Inputs'!$C$25-'1. Inputs'!$B$30+1)/(MAX(0,$A69-'1. Inputs'!$C$25-'1. Inputs'!$B$30+1)+'1. Inputs'!$B$11))*'1. Inputs'!$B$13*(1+'1. Inputs'!$B$14*MIN(MAX(0,$A69-'1. Inputs'!$C$25-'1. Inputs'!$B$30+1),'1. Inputs'!$B$15))*'1. Inputs'!$B$31)</f>
        <v>4950769.77620905</v>
      </c>
      <c r="M69" s="22" t="n">
        <f aca="false">IF(MAX(0,$A69-'1. Inputs'!$C$26-'1. Inputs'!$B$30+1)&lt;=0,0,'1. Inputs'!$B$26*('1. Inputs'!$B$5-'5. Diagnosing a miss'!$B$21)*MAX(0,$A69-'1. Inputs'!$C$26-'1. Inputs'!$B$30+1)^'1. Inputs'!$B$7/('1. Inputs'!$B$6^'1. Inputs'!$B$7+MAX(0,$A69-'1. Inputs'!$C$26-'1. Inputs'!$B$30+1)^'1. Inputs'!$B$7)*('1. Inputs'!$B$9+'1. Inputs'!$B$10*MAX(0,$A69-'1. Inputs'!$C$26-'1. Inputs'!$B$30+1)/(MAX(0,$A69-'1. Inputs'!$C$26-'1. Inputs'!$B$30+1)+'1. Inputs'!$B$11))*'1. Inputs'!$B$13*(1+'1. Inputs'!$B$14*MIN(MAX(0,$A69-'1. Inputs'!$C$26-'1. Inputs'!$B$30+1),'1. Inputs'!$B$15))*'1. Inputs'!$B$31)</f>
        <v>2144268.5241964</v>
      </c>
      <c r="N69" s="22" t="n">
        <f aca="false">IF(MAX(0,$A69-'1. Inputs'!$C$27-'1. Inputs'!$B$30+1)&lt;=0,0,'1. Inputs'!$B$27*('1. Inputs'!$B$5-'5. Diagnosing a miss'!$B$21)*MAX(0,$A69-'1. Inputs'!$C$27-'1. Inputs'!$B$30+1)^'1. Inputs'!$B$7/('1. Inputs'!$B$6^'1. Inputs'!$B$7+MAX(0,$A69-'1. Inputs'!$C$27-'1. Inputs'!$B$30+1)^'1. Inputs'!$B$7)*('1. Inputs'!$B$9+'1. Inputs'!$B$10*MAX(0,$A69-'1. Inputs'!$C$27-'1. Inputs'!$B$30+1)/(MAX(0,$A69-'1. Inputs'!$C$27-'1. Inputs'!$B$30+1)+'1. Inputs'!$B$11))*'1. Inputs'!$B$13*(1+'1. Inputs'!$B$14*MIN(MAX(0,$A69-'1. Inputs'!$C$27-'1. Inputs'!$B$30+1),'1. Inputs'!$B$15))*'1. Inputs'!$B$31)</f>
        <v>1528089.88764045</v>
      </c>
      <c r="O69" s="22" t="n">
        <f aca="false">SUM(K69:N69)</f>
        <v>12366465.3480952</v>
      </c>
      <c r="P69" s="22" t="n">
        <f aca="false">IF($A69=MAX('1. Inputs'!$B$17,1),'1. Inputs'!$B$3,0)+IF($A69-'1. Inputs'!$B$17&gt;=1,INDEX(O$3:O$86,$A69-'1. Inputs'!$B$17),0)</f>
        <v>12001708.0502027</v>
      </c>
      <c r="Q69" s="22" t="n">
        <f aca="false">Q68*(1-'1. Inputs'!$B$18)+P69</f>
        <v>403571601.331944</v>
      </c>
      <c r="R69" s="22" t="n">
        <f aca="false">Q69*'1. Inputs'!$B$18</f>
        <v>4035716.01331944</v>
      </c>
      <c r="S69" s="22" t="n">
        <f aca="false">S68+O69-R69</f>
        <v>546132973.058518</v>
      </c>
      <c r="T69" s="22" t="n">
        <f aca="false">IF(MAX(0,$A69-'1. Inputs'!$C$24-'1. Inputs'!$B$30+1)&lt;=0,0,'1. Inputs'!$B$24*'1. Inputs'!$B$5*MAX(0,$A69-'1. Inputs'!$C$24-'1. Inputs'!$B$30+1)^'1. Inputs'!$B$7/('1. Inputs'!$B$6^'1. Inputs'!$B$7+MAX(0,$A69-'1. Inputs'!$C$24-'1. Inputs'!$B$30+1)^'1. Inputs'!$B$7)*('1. Inputs'!$B$9+'1. Inputs'!$B$10*MAX(0,$A69-'1. Inputs'!$C$24-'1. Inputs'!$B$30+1)/(MAX(0,$A69-'1. Inputs'!$C$24-'1. Inputs'!$B$30+1)+'1. Inputs'!$B$11))*'1. Inputs'!$B$13*(1+'1. Inputs'!$B$14*MIN(MAX(0,$A69-'1. Inputs'!$C$24-'1. Inputs'!$B$30+1),'1. Inputs'!$B$15))*('1. Inputs'!$B$31*'5. Diagnosing a miss'!$B$22))</f>
        <v>3790128.87454992</v>
      </c>
      <c r="U69" s="22" t="n">
        <f aca="false">IF(MAX(0,$A69-'1. Inputs'!$C$25-'1. Inputs'!$B$30+1)&lt;=0,0,'1. Inputs'!$B$25*'1. Inputs'!$B$5*MAX(0,$A69-'1. Inputs'!$C$25-'1. Inputs'!$B$30+1)^'1. Inputs'!$B$7/('1. Inputs'!$B$6^'1. Inputs'!$B$7+MAX(0,$A69-'1. Inputs'!$C$25-'1. Inputs'!$B$30+1)^'1. Inputs'!$B$7)*('1. Inputs'!$B$9+'1. Inputs'!$B$10*MAX(0,$A69-'1. Inputs'!$C$25-'1. Inputs'!$B$30+1)/(MAX(0,$A69-'1. Inputs'!$C$25-'1. Inputs'!$B$30+1)+'1. Inputs'!$B$11))*'1. Inputs'!$B$13*(1+'1. Inputs'!$B$14*MIN(MAX(0,$A69-'1. Inputs'!$C$25-'1. Inputs'!$B$30+1),'1. Inputs'!$B$15))*('1. Inputs'!$B$31*'5. Diagnosing a miss'!$B$22))</f>
        <v>5012654.39841166</v>
      </c>
      <c r="V69" s="22" t="n">
        <f aca="false">IF(MAX(0,$A69-'1. Inputs'!$C$26-'1. Inputs'!$B$30+1)&lt;=0,0,'1. Inputs'!$B$26*'1. Inputs'!$B$5*MAX(0,$A69-'1. Inputs'!$C$26-'1. Inputs'!$B$30+1)^'1. Inputs'!$B$7/('1. Inputs'!$B$6^'1. Inputs'!$B$7+MAX(0,$A69-'1. Inputs'!$C$26-'1. Inputs'!$B$30+1)^'1. Inputs'!$B$7)*('1. Inputs'!$B$9+'1. Inputs'!$B$10*MAX(0,$A69-'1. Inputs'!$C$26-'1. Inputs'!$B$30+1)/(MAX(0,$A69-'1. Inputs'!$C$26-'1. Inputs'!$B$30+1)+'1. Inputs'!$B$11))*'1. Inputs'!$B$13*(1+'1. Inputs'!$B$14*MIN(MAX(0,$A69-'1. Inputs'!$C$26-'1. Inputs'!$B$30+1),'1. Inputs'!$B$15))*('1. Inputs'!$B$31*'5. Diagnosing a miss'!$B$22))</f>
        <v>2171071.88074885</v>
      </c>
      <c r="W69" s="22" t="n">
        <f aca="false">IF(MAX(0,$A69-'1. Inputs'!$C$27-'1. Inputs'!$B$30+1)&lt;=0,0,'1. Inputs'!$B$27*'1. Inputs'!$B$5*MAX(0,$A69-'1. Inputs'!$C$27-'1. Inputs'!$B$30+1)^'1. Inputs'!$B$7/('1. Inputs'!$B$6^'1. Inputs'!$B$7+MAX(0,$A69-'1. Inputs'!$C$27-'1. Inputs'!$B$30+1)^'1. Inputs'!$B$7)*('1. Inputs'!$B$9+'1. Inputs'!$B$10*MAX(0,$A69-'1. Inputs'!$C$27-'1. Inputs'!$B$30+1)/(MAX(0,$A69-'1. Inputs'!$C$27-'1. Inputs'!$B$30+1)+'1. Inputs'!$B$11))*'1. Inputs'!$B$13*(1+'1. Inputs'!$B$14*MIN(MAX(0,$A69-'1. Inputs'!$C$27-'1. Inputs'!$B$30+1),'1. Inputs'!$B$15))*('1. Inputs'!$B$31*'5. Diagnosing a miss'!$B$22))</f>
        <v>1547191.01123595</v>
      </c>
      <c r="X69" s="22" t="n">
        <f aca="false">SUM(T69:W69)</f>
        <v>12521046.1649464</v>
      </c>
      <c r="Y69" s="22" t="n">
        <f aca="false">IF($A69=MAX('1. Inputs'!$B$17,1),'1. Inputs'!$B$3,0)+IF($A69-'1. Inputs'!$B$17&gt;=1,INDEX(X$3:X$86,$A69-'1. Inputs'!$B$17),0)</f>
        <v>12151729.4008302</v>
      </c>
      <c r="Z69" s="22" t="n">
        <f aca="false">Z68*(1-'1. Inputs'!$B$18)+Y69</f>
        <v>407537456.192387</v>
      </c>
      <c r="AA69" s="22" t="n">
        <f aca="false">Z69*'1. Inputs'!$B$18</f>
        <v>4075374.56192387</v>
      </c>
      <c r="AB69" s="22" t="n">
        <f aca="false">AB68+X69-AA69</f>
        <v>551891632.967105</v>
      </c>
      <c r="AC69" s="22" t="n">
        <f aca="false">IF(MAX(0,$A69-'1. Inputs'!$C$24-('1. Inputs'!$B$30+'5. Diagnosing a miss'!$B$23)+1)&lt;=0,0,'1. Inputs'!$B$24*'1. Inputs'!$B$5*MAX(0,$A69-'1. Inputs'!$C$24-('1. Inputs'!$B$30+'5. Diagnosing a miss'!$B$23)+1)^'1. Inputs'!$B$7/('1. Inputs'!$B$6^'1. Inputs'!$B$7+MAX(0,$A69-'1. Inputs'!$C$24-('1. Inputs'!$B$30+'5. Diagnosing a miss'!$B$23)+1)^'1. Inputs'!$B$7)*('1. Inputs'!$B$9+'1. Inputs'!$B$10*MAX(0,$A69-'1. Inputs'!$C$24-('1. Inputs'!$B$30+'5. Diagnosing a miss'!$B$23)+1)/(MAX(0,$A69-'1. Inputs'!$C$24-('1. Inputs'!$B$30+'5. Diagnosing a miss'!$B$23)+1)+'1. Inputs'!$B$11))*'1. Inputs'!$B$13*(1+'1. Inputs'!$B$14*MIN(MAX(0,$A69-'1. Inputs'!$C$24-('1. Inputs'!$B$30+'5. Diagnosing a miss'!$B$23)+1),'1. Inputs'!$B$15))*'1. Inputs'!$B$31)</f>
        <v>4191639.695791</v>
      </c>
      <c r="AD69" s="22" t="n">
        <f aca="false">IF(MAX(0,$A69-'1. Inputs'!$C$25-('1. Inputs'!$B$30+'5. Diagnosing a miss'!$B$23)+1)&lt;=0,0,'1. Inputs'!$B$25*'1. Inputs'!$B$5*MAX(0,$A69-'1. Inputs'!$C$25-('1. Inputs'!$B$30+'5. Diagnosing a miss'!$B$23)+1)^'1. Inputs'!$B$7/('1. Inputs'!$B$6^'1. Inputs'!$B$7+MAX(0,$A69-'1. Inputs'!$C$25-('1. Inputs'!$B$30+'5. Diagnosing a miss'!$B$23)+1)^'1. Inputs'!$B$7)*('1. Inputs'!$B$9+'1. Inputs'!$B$10*MAX(0,$A69-'1. Inputs'!$C$25-('1. Inputs'!$B$30+'5. Diagnosing a miss'!$B$23)+1)/(MAX(0,$A69-'1. Inputs'!$C$25-('1. Inputs'!$B$30+'5. Diagnosing a miss'!$B$23)+1)+'1. Inputs'!$B$11))*'1. Inputs'!$B$13*(1+'1. Inputs'!$B$14*MIN(MAX(0,$A69-'1. Inputs'!$C$25-('1. Inputs'!$B$30+'5. Diagnosing a miss'!$B$23)+1),'1. Inputs'!$B$15))*'1. Inputs'!$B$31)</f>
        <v>5537602.66719841</v>
      </c>
      <c r="AE69" s="22" t="n">
        <f aca="false">IF(MAX(0,$A69-'1. Inputs'!$C$26-('1. Inputs'!$B$30+'5. Diagnosing a miss'!$B$23)+1)&lt;=0,0,'1. Inputs'!$B$26*'1. Inputs'!$B$5*MAX(0,$A69-'1. Inputs'!$C$26-('1. Inputs'!$B$30+'5. Diagnosing a miss'!$B$23)+1)^'1. Inputs'!$B$7/('1. Inputs'!$B$6^'1. Inputs'!$B$7+MAX(0,$A69-'1. Inputs'!$C$26-('1. Inputs'!$B$30+'5. Diagnosing a miss'!$B$23)+1)^'1. Inputs'!$B$7)*('1. Inputs'!$B$9+'1. Inputs'!$B$10*MAX(0,$A69-'1. Inputs'!$C$26-('1. Inputs'!$B$30+'5. Diagnosing a miss'!$B$23)+1)/(MAX(0,$A69-'1. Inputs'!$C$26-('1. Inputs'!$B$30+'5. Diagnosing a miss'!$B$23)+1)+'1. Inputs'!$B$11))*'1. Inputs'!$B$13*(1+'1. Inputs'!$B$14*MIN(MAX(0,$A69-'1. Inputs'!$C$26-('1. Inputs'!$B$30+'5. Diagnosing a miss'!$B$23)+1),'1. Inputs'!$B$15))*'1. Inputs'!$B$31)</f>
        <v>2394815.2754717</v>
      </c>
      <c r="AF69" s="22" t="n">
        <f aca="false">IF(MAX(0,$A69-'1. Inputs'!$C$27-('1. Inputs'!$B$30+'5. Diagnosing a miss'!$B$23)+1)&lt;=0,0,'1. Inputs'!$B$27*'1. Inputs'!$B$5*MAX(0,$A69-'1. Inputs'!$C$27-('1. Inputs'!$B$30+'5. Diagnosing a miss'!$B$23)+1)^'1. Inputs'!$B$7/('1. Inputs'!$B$6^'1. Inputs'!$B$7+MAX(0,$A69-'1. Inputs'!$C$27-('1. Inputs'!$B$30+'5. Diagnosing a miss'!$B$23)+1)^'1. Inputs'!$B$7)*('1. Inputs'!$B$9+'1. Inputs'!$B$10*MAX(0,$A69-'1. Inputs'!$C$27-('1. Inputs'!$B$30+'5. Diagnosing a miss'!$B$23)+1)/(MAX(0,$A69-'1. Inputs'!$C$27-('1. Inputs'!$B$30+'5. Diagnosing a miss'!$B$23)+1)+'1. Inputs'!$B$11))*'1. Inputs'!$B$13*(1+'1. Inputs'!$B$14*MIN(MAX(0,$A69-'1. Inputs'!$C$27-('1. Inputs'!$B$30+'5. Diagnosing a miss'!$B$23)+1),'1. Inputs'!$B$15))*'1. Inputs'!$B$31)</f>
        <v>1706008.31572876</v>
      </c>
      <c r="AG69" s="22" t="n">
        <f aca="false">SUM(AC69:AF69)</f>
        <v>13830065.9541899</v>
      </c>
      <c r="AH69" s="22" t="n">
        <f aca="false">IF($A69=MAX('1. Inputs'!$B$17,1),'1. Inputs'!$B$3,0)+IF($A69-'1. Inputs'!$B$17&gt;=1,INDEX(AG$3:AG$86,$A69-'1. Inputs'!$B$17),0)</f>
        <v>13353866.0315773</v>
      </c>
      <c r="AI69" s="22" t="n">
        <f aca="false">AI68*(1-'1. Inputs'!$B$18)+AH69</f>
        <v>412970616.995336</v>
      </c>
      <c r="AJ69" s="22" t="n">
        <f aca="false">AI69*'1. Inputs'!$B$18</f>
        <v>4129706.16995336</v>
      </c>
      <c r="AK69" s="22" t="n">
        <f aca="false">AK68+AG69-AJ69</f>
        <v>572468870.246208</v>
      </c>
    </row>
    <row r="70" customFormat="false" ht="15" hidden="false" customHeight="false" outlineLevel="0" collapsed="false">
      <c r="A70" s="7" t="n">
        <v>68</v>
      </c>
      <c r="B70" s="22" t="n">
        <f aca="false">IF(MAX(0,$A70-'1. Inputs'!$C$24-'1. Inputs'!$B$30+1)&lt;=0,0,'1. Inputs'!$B$24*'1. Inputs'!$B$5*MAX(0,$A70-'1. Inputs'!$C$24-'1. Inputs'!$B$30+1)^'1. Inputs'!$B$7/('1. Inputs'!$B$6^'1. Inputs'!$B$7+MAX(0,$A70-'1. Inputs'!$C$24-'1. Inputs'!$B$30+1)^'1. Inputs'!$B$7)*('1. Inputs'!$B$9+'1. Inputs'!$B$10*MAX(0,$A70-'1. Inputs'!$C$24-'1. Inputs'!$B$30+1)/(MAX(0,$A70-'1. Inputs'!$C$24-'1. Inputs'!$B$30+1)+'1. Inputs'!$B$11))*'1. Inputs'!$B$13*(1+'1. Inputs'!$B$14*MIN(MAX(0,$A70-'1. Inputs'!$C$24-'1. Inputs'!$B$30+1),'1. Inputs'!$B$15))*'1. Inputs'!$B$31)</f>
        <v>4217309.69273885</v>
      </c>
      <c r="C70" s="22" t="n">
        <f aca="false">IF(MAX(0,$A70-'1. Inputs'!$C$25-'1. Inputs'!$B$30+1)&lt;=0,0,'1. Inputs'!$B$25*'1. Inputs'!$B$5*MAX(0,$A70-'1. Inputs'!$C$25-'1. Inputs'!$B$30+1)^'1. Inputs'!$B$7/('1. Inputs'!$B$6^'1. Inputs'!$B$7+MAX(0,$A70-'1. Inputs'!$C$25-'1. Inputs'!$B$30+1)^'1. Inputs'!$B$7)*('1. Inputs'!$B$9+'1. Inputs'!$B$10*MAX(0,$A70-'1. Inputs'!$C$25-'1. Inputs'!$B$30+1)/(MAX(0,$A70-'1. Inputs'!$C$25-'1. Inputs'!$B$30+1)+'1. Inputs'!$B$11))*'1. Inputs'!$B$13*(1+'1. Inputs'!$B$14*MIN(MAX(0,$A70-'1. Inputs'!$C$25-'1. Inputs'!$B$30+1),'1. Inputs'!$B$15))*'1. Inputs'!$B$31)</f>
        <v>5579428.67027027</v>
      </c>
      <c r="D70" s="22" t="n">
        <f aca="false">IF(MAX(0,$A70-'1. Inputs'!$C$26-'1. Inputs'!$B$30+1)&lt;=0,0,'1. Inputs'!$B$26*'1. Inputs'!$B$5*MAX(0,$A70-'1. Inputs'!$C$26-'1. Inputs'!$B$30+1)^'1. Inputs'!$B$7/('1. Inputs'!$B$6^'1. Inputs'!$B$7+MAX(0,$A70-'1. Inputs'!$C$26-'1. Inputs'!$B$30+1)^'1. Inputs'!$B$7)*('1. Inputs'!$B$9+'1. Inputs'!$B$10*MAX(0,$A70-'1. Inputs'!$C$26-'1. Inputs'!$B$30+1)/(MAX(0,$A70-'1. Inputs'!$C$26-'1. Inputs'!$B$30+1)+'1. Inputs'!$B$11))*'1. Inputs'!$B$13*(1+'1. Inputs'!$B$14*MIN(MAX(0,$A70-'1. Inputs'!$C$26-'1. Inputs'!$B$30+1),'1. Inputs'!$B$15))*'1. Inputs'!$B$31)</f>
        <v>2417616.85403331</v>
      </c>
      <c r="E70" s="22" t="n">
        <f aca="false">IF(MAX(0,$A70-'1. Inputs'!$C$27-'1. Inputs'!$B$30+1)&lt;=0,0,'1. Inputs'!$B$27*'1. Inputs'!$B$5*MAX(0,$A70-'1. Inputs'!$C$27-'1. Inputs'!$B$30+1)^'1. Inputs'!$B$7/('1. Inputs'!$B$6^'1. Inputs'!$B$7+MAX(0,$A70-'1. Inputs'!$C$27-'1. Inputs'!$B$30+1)^'1. Inputs'!$B$7)*('1. Inputs'!$B$9+'1. Inputs'!$B$10*MAX(0,$A70-'1. Inputs'!$C$27-'1. Inputs'!$B$30+1)/(MAX(0,$A70-'1. Inputs'!$C$27-'1. Inputs'!$B$30+1)+'1. Inputs'!$B$11))*'1. Inputs'!$B$13*(1+'1. Inputs'!$B$14*MIN(MAX(0,$A70-'1. Inputs'!$C$27-'1. Inputs'!$B$30+1),'1. Inputs'!$B$15))*'1. Inputs'!$B$31)</f>
        <v>1723072.92122925</v>
      </c>
      <c r="F70" s="22" t="n">
        <f aca="false">SUM(B70:E70)</f>
        <v>13937428.1382717</v>
      </c>
      <c r="G70" s="22" t="n">
        <f aca="false">IF($A70=MAX('1. Inputs'!$B$17,1),'1. Inputs'!$B$3,0)+IF($A70-'1. Inputs'!$B$17&gt;=1,INDEX(F$3:F$86,$A70-'1. Inputs'!$B$17),0)</f>
        <v>13546112.2803898</v>
      </c>
      <c r="H70" s="22" t="n">
        <f aca="false">H69*(1-'1. Inputs'!$B$18)+G70</f>
        <v>452343960.717396</v>
      </c>
      <c r="I70" s="22" t="n">
        <f aca="false">H70*'1. Inputs'!$B$18</f>
        <v>4523439.60717396</v>
      </c>
      <c r="J70" s="22" t="n">
        <f aca="false">J69+F70-I70</f>
        <v>613133560.675484</v>
      </c>
      <c r="K70" s="22" t="n">
        <f aca="false">IF(MAX(0,$A70-'1. Inputs'!$C$24-'1. Inputs'!$B$30+1)&lt;=0,0,'1. Inputs'!$B$24*('1. Inputs'!$B$5-'5. Diagnosing a miss'!$B$21)*MAX(0,$A70-'1. Inputs'!$C$24-'1. Inputs'!$B$30+1)^'1. Inputs'!$B$7/('1. Inputs'!$B$6^'1. Inputs'!$B$7+MAX(0,$A70-'1. Inputs'!$C$24-'1. Inputs'!$B$30+1)^'1. Inputs'!$B$7)*('1. Inputs'!$B$9+'1. Inputs'!$B$10*MAX(0,$A70-'1. Inputs'!$C$24-'1. Inputs'!$B$30+1)/(MAX(0,$A70-'1. Inputs'!$C$24-'1. Inputs'!$B$30+1)+'1. Inputs'!$B$11))*'1. Inputs'!$B$13*(1+'1. Inputs'!$B$14*MIN(MAX(0,$A70-'1. Inputs'!$C$24-'1. Inputs'!$B$30+1),'1. Inputs'!$B$15))*'1. Inputs'!$B$31)</f>
        <v>3748719.72687898</v>
      </c>
      <c r="L70" s="22" t="n">
        <f aca="false">IF(MAX(0,$A70-'1. Inputs'!$C$25-'1. Inputs'!$B$30+1)&lt;=0,0,'1. Inputs'!$B$25*('1. Inputs'!$B$5-'5. Diagnosing a miss'!$B$21)*MAX(0,$A70-'1. Inputs'!$C$25-'1. Inputs'!$B$30+1)^'1. Inputs'!$B$7/('1. Inputs'!$B$6^'1. Inputs'!$B$7+MAX(0,$A70-'1. Inputs'!$C$25-'1. Inputs'!$B$30+1)^'1. Inputs'!$B$7)*('1. Inputs'!$B$9+'1. Inputs'!$B$10*MAX(0,$A70-'1. Inputs'!$C$25-'1. Inputs'!$B$30+1)/(MAX(0,$A70-'1. Inputs'!$C$25-'1. Inputs'!$B$30+1)+'1. Inputs'!$B$11))*'1. Inputs'!$B$13*(1+'1. Inputs'!$B$14*MIN(MAX(0,$A70-'1. Inputs'!$C$25-'1. Inputs'!$B$30+1),'1. Inputs'!$B$15))*'1. Inputs'!$B$31)</f>
        <v>4959492.15135135</v>
      </c>
      <c r="M70" s="22" t="n">
        <f aca="false">IF(MAX(0,$A70-'1. Inputs'!$C$26-'1. Inputs'!$B$30+1)&lt;=0,0,'1. Inputs'!$B$26*('1. Inputs'!$B$5-'5. Diagnosing a miss'!$B$21)*MAX(0,$A70-'1. Inputs'!$C$26-'1. Inputs'!$B$30+1)^'1. Inputs'!$B$7/('1. Inputs'!$B$6^'1. Inputs'!$B$7+MAX(0,$A70-'1. Inputs'!$C$26-'1. Inputs'!$B$30+1)^'1. Inputs'!$B$7)*('1. Inputs'!$B$9+'1. Inputs'!$B$10*MAX(0,$A70-'1. Inputs'!$C$26-'1. Inputs'!$B$30+1)/(MAX(0,$A70-'1. Inputs'!$C$26-'1. Inputs'!$B$30+1)+'1. Inputs'!$B$11))*'1. Inputs'!$B$13*(1+'1. Inputs'!$B$14*MIN(MAX(0,$A70-'1. Inputs'!$C$26-'1. Inputs'!$B$30+1),'1. Inputs'!$B$15))*'1. Inputs'!$B$31)</f>
        <v>2148992.75914072</v>
      </c>
      <c r="N70" s="22" t="n">
        <f aca="false">IF(MAX(0,$A70-'1. Inputs'!$C$27-'1. Inputs'!$B$30+1)&lt;=0,0,'1. Inputs'!$B$27*('1. Inputs'!$B$5-'5. Diagnosing a miss'!$B$21)*MAX(0,$A70-'1. Inputs'!$C$27-'1. Inputs'!$B$30+1)^'1. Inputs'!$B$7/('1. Inputs'!$B$6^'1. Inputs'!$B$7+MAX(0,$A70-'1. Inputs'!$C$27-'1. Inputs'!$B$30+1)^'1. Inputs'!$B$7)*('1. Inputs'!$B$9+'1. Inputs'!$B$10*MAX(0,$A70-'1. Inputs'!$C$27-'1. Inputs'!$B$30+1)/(MAX(0,$A70-'1. Inputs'!$C$27-'1. Inputs'!$B$30+1)+'1. Inputs'!$B$11))*'1. Inputs'!$B$13*(1+'1. Inputs'!$B$14*MIN(MAX(0,$A70-'1. Inputs'!$C$27-'1. Inputs'!$B$30+1),'1. Inputs'!$B$15))*'1. Inputs'!$B$31)</f>
        <v>1531620.374426</v>
      </c>
      <c r="O70" s="22" t="n">
        <f aca="false">SUM(K70:N70)</f>
        <v>12388825.011797</v>
      </c>
      <c r="P70" s="22" t="n">
        <f aca="false">IF($A70=MAX('1. Inputs'!$B$17,1),'1. Inputs'!$B$3,0)+IF($A70-'1. Inputs'!$B$17&gt;=1,INDEX(O$3:O$86,$A70-'1. Inputs'!$B$17),0)</f>
        <v>12040988.6936799</v>
      </c>
      <c r="Q70" s="22" t="n">
        <f aca="false">Q69*(1-'1. Inputs'!$B$18)+P70</f>
        <v>411576874.012305</v>
      </c>
      <c r="R70" s="22" t="n">
        <f aca="false">Q70*'1. Inputs'!$B$18</f>
        <v>4115768.74012305</v>
      </c>
      <c r="S70" s="22" t="n">
        <f aca="false">S69+O70-R70</f>
        <v>554406029.330192</v>
      </c>
      <c r="T70" s="22" t="n">
        <f aca="false">IF(MAX(0,$A70-'1. Inputs'!$C$24-'1. Inputs'!$B$30+1)&lt;=0,0,'1. Inputs'!$B$24*'1. Inputs'!$B$5*MAX(0,$A70-'1. Inputs'!$C$24-'1. Inputs'!$B$30+1)^'1. Inputs'!$B$7/('1. Inputs'!$B$6^'1. Inputs'!$B$7+MAX(0,$A70-'1. Inputs'!$C$24-'1. Inputs'!$B$30+1)^'1. Inputs'!$B$7)*('1. Inputs'!$B$9+'1. Inputs'!$B$10*MAX(0,$A70-'1. Inputs'!$C$24-'1. Inputs'!$B$30+1)/(MAX(0,$A70-'1. Inputs'!$C$24-'1. Inputs'!$B$30+1)+'1. Inputs'!$B$11))*'1. Inputs'!$B$13*(1+'1. Inputs'!$B$14*MIN(MAX(0,$A70-'1. Inputs'!$C$24-'1. Inputs'!$B$30+1),'1. Inputs'!$B$15))*('1. Inputs'!$B$31*'5. Diagnosing a miss'!$B$22))</f>
        <v>3795578.72346497</v>
      </c>
      <c r="U70" s="22" t="n">
        <f aca="false">IF(MAX(0,$A70-'1. Inputs'!$C$25-'1. Inputs'!$B$30+1)&lt;=0,0,'1. Inputs'!$B$25*'1. Inputs'!$B$5*MAX(0,$A70-'1. Inputs'!$C$25-'1. Inputs'!$B$30+1)^'1. Inputs'!$B$7/('1. Inputs'!$B$6^'1. Inputs'!$B$7+MAX(0,$A70-'1. Inputs'!$C$25-'1. Inputs'!$B$30+1)^'1. Inputs'!$B$7)*('1. Inputs'!$B$9+'1. Inputs'!$B$10*MAX(0,$A70-'1. Inputs'!$C$25-'1. Inputs'!$B$30+1)/(MAX(0,$A70-'1. Inputs'!$C$25-'1. Inputs'!$B$30+1)+'1. Inputs'!$B$11))*'1. Inputs'!$B$13*(1+'1. Inputs'!$B$14*MIN(MAX(0,$A70-'1. Inputs'!$C$25-'1. Inputs'!$B$30+1),'1. Inputs'!$B$15))*('1. Inputs'!$B$31*'5. Diagnosing a miss'!$B$22))</f>
        <v>5021485.80324324</v>
      </c>
      <c r="V70" s="22" t="n">
        <f aca="false">IF(MAX(0,$A70-'1. Inputs'!$C$26-'1. Inputs'!$B$30+1)&lt;=0,0,'1. Inputs'!$B$26*'1. Inputs'!$B$5*MAX(0,$A70-'1. Inputs'!$C$26-'1. Inputs'!$B$30+1)^'1. Inputs'!$B$7/('1. Inputs'!$B$6^'1. Inputs'!$B$7+MAX(0,$A70-'1. Inputs'!$C$26-'1. Inputs'!$B$30+1)^'1. Inputs'!$B$7)*('1. Inputs'!$B$9+'1. Inputs'!$B$10*MAX(0,$A70-'1. Inputs'!$C$26-'1. Inputs'!$B$30+1)/(MAX(0,$A70-'1. Inputs'!$C$26-'1. Inputs'!$B$30+1)+'1. Inputs'!$B$11))*'1. Inputs'!$B$13*(1+'1. Inputs'!$B$14*MIN(MAX(0,$A70-'1. Inputs'!$C$26-'1. Inputs'!$B$30+1),'1. Inputs'!$B$15))*('1. Inputs'!$B$31*'5. Diagnosing a miss'!$B$22))</f>
        <v>2175855.16862998</v>
      </c>
      <c r="W70" s="22" t="n">
        <f aca="false">IF(MAX(0,$A70-'1. Inputs'!$C$27-'1. Inputs'!$B$30+1)&lt;=0,0,'1. Inputs'!$B$27*'1. Inputs'!$B$5*MAX(0,$A70-'1. Inputs'!$C$27-'1. Inputs'!$B$30+1)^'1. Inputs'!$B$7/('1. Inputs'!$B$6^'1. Inputs'!$B$7+MAX(0,$A70-'1. Inputs'!$C$27-'1. Inputs'!$B$30+1)^'1. Inputs'!$B$7)*('1. Inputs'!$B$9+'1. Inputs'!$B$10*MAX(0,$A70-'1. Inputs'!$C$27-'1. Inputs'!$B$30+1)/(MAX(0,$A70-'1. Inputs'!$C$27-'1. Inputs'!$B$30+1)+'1. Inputs'!$B$11))*'1. Inputs'!$B$13*(1+'1. Inputs'!$B$14*MIN(MAX(0,$A70-'1. Inputs'!$C$27-'1. Inputs'!$B$30+1),'1. Inputs'!$B$15))*('1. Inputs'!$B$31*'5. Diagnosing a miss'!$B$22))</f>
        <v>1550765.62910632</v>
      </c>
      <c r="X70" s="22" t="n">
        <f aca="false">SUM(T70:W70)</f>
        <v>12543685.3244445</v>
      </c>
      <c r="Y70" s="22" t="n">
        <f aca="false">IF($A70=MAX('1. Inputs'!$B$17,1),'1. Inputs'!$B$3,0)+IF($A70-'1. Inputs'!$B$17&gt;=1,INDEX(X$3:X$86,$A70-'1. Inputs'!$B$17),0)</f>
        <v>12191501.0523509</v>
      </c>
      <c r="Z70" s="22" t="n">
        <f aca="false">Z69*(1-'1. Inputs'!$B$18)+Y70</f>
        <v>415653582.682814</v>
      </c>
      <c r="AA70" s="22" t="n">
        <f aca="false">Z70*'1. Inputs'!$B$18</f>
        <v>4156535.82682814</v>
      </c>
      <c r="AB70" s="22" t="n">
        <f aca="false">AB69+X70-AA70</f>
        <v>560278782.464721</v>
      </c>
      <c r="AC70" s="22" t="n">
        <f aca="false">IF(MAX(0,$A70-'1. Inputs'!$C$24-('1. Inputs'!$B$30+'5. Diagnosing a miss'!$B$23)+1)&lt;=0,0,'1. Inputs'!$B$24*'1. Inputs'!$B$5*MAX(0,$A70-'1. Inputs'!$C$24-('1. Inputs'!$B$30+'5. Diagnosing a miss'!$B$23)+1)^'1. Inputs'!$B$7/('1. Inputs'!$B$6^'1. Inputs'!$B$7+MAX(0,$A70-'1. Inputs'!$C$24-('1. Inputs'!$B$30+'5. Diagnosing a miss'!$B$23)+1)^'1. Inputs'!$B$7)*('1. Inputs'!$B$9+'1. Inputs'!$B$10*MAX(0,$A70-'1. Inputs'!$C$24-('1. Inputs'!$B$30+'5. Diagnosing a miss'!$B$23)+1)/(MAX(0,$A70-'1. Inputs'!$C$24-('1. Inputs'!$B$30+'5. Diagnosing a miss'!$B$23)+1)+'1. Inputs'!$B$11))*'1. Inputs'!$B$13*(1+'1. Inputs'!$B$14*MIN(MAX(0,$A70-'1. Inputs'!$C$24-('1. Inputs'!$B$30+'5. Diagnosing a miss'!$B$23)+1),'1. Inputs'!$B$15))*'1. Inputs'!$B$31)</f>
        <v>4198432.94232281</v>
      </c>
      <c r="AD70" s="22" t="n">
        <f aca="false">IF(MAX(0,$A70-'1. Inputs'!$C$25-('1. Inputs'!$B$30+'5. Diagnosing a miss'!$B$23)+1)&lt;=0,0,'1. Inputs'!$B$25*'1. Inputs'!$B$5*MAX(0,$A70-'1. Inputs'!$C$25-('1. Inputs'!$B$30+'5. Diagnosing a miss'!$B$23)+1)^'1. Inputs'!$B$7/('1. Inputs'!$B$6^'1. Inputs'!$B$7+MAX(0,$A70-'1. Inputs'!$C$25-('1. Inputs'!$B$30+'5. Diagnosing a miss'!$B$23)+1)^'1. Inputs'!$B$7)*('1. Inputs'!$B$9+'1. Inputs'!$B$10*MAX(0,$A70-'1. Inputs'!$C$25-('1. Inputs'!$B$30+'5. Diagnosing a miss'!$B$23)+1)/(MAX(0,$A70-'1. Inputs'!$C$25-('1. Inputs'!$B$30+'5. Diagnosing a miss'!$B$23)+1)+'1. Inputs'!$B$11))*'1. Inputs'!$B$13*(1+'1. Inputs'!$B$14*MIN(MAX(0,$A70-'1. Inputs'!$C$25-('1. Inputs'!$B$30+'5. Diagnosing a miss'!$B$23)+1),'1. Inputs'!$B$15))*'1. Inputs'!$B$31)</f>
        <v>5548729.42702703</v>
      </c>
      <c r="AE70" s="22" t="n">
        <f aca="false">IF(MAX(0,$A70-'1. Inputs'!$C$26-('1. Inputs'!$B$30+'5. Diagnosing a miss'!$B$23)+1)&lt;=0,0,'1. Inputs'!$B$26*'1. Inputs'!$B$5*MAX(0,$A70-'1. Inputs'!$C$26-('1. Inputs'!$B$30+'5. Diagnosing a miss'!$B$23)+1)^'1. Inputs'!$B$7/('1. Inputs'!$B$6^'1. Inputs'!$B$7+MAX(0,$A70-'1. Inputs'!$C$26-('1. Inputs'!$B$30+'5. Diagnosing a miss'!$B$23)+1)^'1. Inputs'!$B$7)*('1. Inputs'!$B$9+'1. Inputs'!$B$10*MAX(0,$A70-'1. Inputs'!$C$26-('1. Inputs'!$B$30+'5. Diagnosing a miss'!$B$23)+1)/(MAX(0,$A70-'1. Inputs'!$C$26-('1. Inputs'!$B$30+'5. Diagnosing a miss'!$B$23)+1)+'1. Inputs'!$B$11))*'1. Inputs'!$B$13*(1+'1. Inputs'!$B$14*MIN(MAX(0,$A70-'1. Inputs'!$C$26-('1. Inputs'!$B$30+'5. Diagnosing a miss'!$B$23)+1),'1. Inputs'!$B$15))*'1. Inputs'!$B$31)</f>
        <v>2400918.67098381</v>
      </c>
      <c r="AF70" s="22" t="n">
        <f aca="false">IF(MAX(0,$A70-'1. Inputs'!$C$27-('1. Inputs'!$B$30+'5. Diagnosing a miss'!$B$23)+1)&lt;=0,0,'1. Inputs'!$B$27*'1. Inputs'!$B$5*MAX(0,$A70-'1. Inputs'!$C$27-('1. Inputs'!$B$30+'5. Diagnosing a miss'!$B$23)+1)^'1. Inputs'!$B$7/('1. Inputs'!$B$6^'1. Inputs'!$B$7+MAX(0,$A70-'1. Inputs'!$C$27-('1. Inputs'!$B$30+'5. Diagnosing a miss'!$B$23)+1)^'1. Inputs'!$B$7)*('1. Inputs'!$B$9+'1. Inputs'!$B$10*MAX(0,$A70-'1. Inputs'!$C$27-('1. Inputs'!$B$30+'5. Diagnosing a miss'!$B$23)+1)/(MAX(0,$A70-'1. Inputs'!$C$27-('1. Inputs'!$B$30+'5. Diagnosing a miss'!$B$23)+1)+'1. Inputs'!$B$11))*'1. Inputs'!$B$13*(1+'1. Inputs'!$B$14*MIN(MAX(0,$A70-'1. Inputs'!$C$27-('1. Inputs'!$B$30+'5. Diagnosing a miss'!$B$23)+1),'1. Inputs'!$B$15))*'1. Inputs'!$B$31)</f>
        <v>1710582.33962264</v>
      </c>
      <c r="AG70" s="22" t="n">
        <f aca="false">SUM(AC70:AF70)</f>
        <v>13858663.3799563</v>
      </c>
      <c r="AH70" s="22" t="n">
        <f aca="false">IF($A70=MAX('1. Inputs'!$B$17,1),'1. Inputs'!$B$3,0)+IF($A70-'1. Inputs'!$B$17&gt;=1,INDEX(AG$3:AG$86,$A70-'1. Inputs'!$B$17),0)</f>
        <v>13406006.7143168</v>
      </c>
      <c r="AI70" s="22" t="n">
        <f aca="false">AI69*(1-'1. Inputs'!$B$18)+AH70</f>
        <v>422246917.5397</v>
      </c>
      <c r="AJ70" s="22" t="n">
        <f aca="false">AI70*'1. Inputs'!$B$18</f>
        <v>4222469.175397</v>
      </c>
      <c r="AK70" s="22" t="n">
        <f aca="false">AK69+AG70-AJ70</f>
        <v>582105064.450767</v>
      </c>
    </row>
    <row r="71" customFormat="false" ht="15" hidden="false" customHeight="false" outlineLevel="0" collapsed="false">
      <c r="A71" s="7" t="n">
        <v>69</v>
      </c>
      <c r="B71" s="22" t="n">
        <f aca="false">IF(MAX(0,$A71-'1. Inputs'!$C$24-'1. Inputs'!$B$30+1)&lt;=0,0,'1. Inputs'!$B$24*'1. Inputs'!$B$5*MAX(0,$A71-'1. Inputs'!$C$24-'1. Inputs'!$B$30+1)^'1. Inputs'!$B$7/('1. Inputs'!$B$6^'1. Inputs'!$B$7+MAX(0,$A71-'1. Inputs'!$C$24-'1. Inputs'!$B$30+1)^'1. Inputs'!$B$7)*('1. Inputs'!$B$9+'1. Inputs'!$B$10*MAX(0,$A71-'1. Inputs'!$C$24-'1. Inputs'!$B$30+1)/(MAX(0,$A71-'1. Inputs'!$C$24-'1. Inputs'!$B$30+1)+'1. Inputs'!$B$11))*'1. Inputs'!$B$13*(1+'1. Inputs'!$B$14*MIN(MAX(0,$A71-'1. Inputs'!$C$24-'1. Inputs'!$B$30+1),'1. Inputs'!$B$15))*'1. Inputs'!$B$31)</f>
        <v>4223144.84869565</v>
      </c>
      <c r="C71" s="22" t="n">
        <f aca="false">IF(MAX(0,$A71-'1. Inputs'!$C$25-'1. Inputs'!$B$30+1)&lt;=0,0,'1. Inputs'!$B$25*'1. Inputs'!$B$5*MAX(0,$A71-'1. Inputs'!$C$25-'1. Inputs'!$B$30+1)^'1. Inputs'!$B$7/('1. Inputs'!$B$6^'1. Inputs'!$B$7+MAX(0,$A71-'1. Inputs'!$C$25-'1. Inputs'!$B$30+1)^'1. Inputs'!$B$7)*('1. Inputs'!$B$9+'1. Inputs'!$B$10*MAX(0,$A71-'1. Inputs'!$C$25-'1. Inputs'!$B$30+1)/(MAX(0,$A71-'1. Inputs'!$C$25-'1. Inputs'!$B$30+1)+'1. Inputs'!$B$11))*'1. Inputs'!$B$13*(1+'1. Inputs'!$B$14*MIN(MAX(0,$A71-'1. Inputs'!$C$25-'1. Inputs'!$B$30+1),'1. Inputs'!$B$15))*'1. Inputs'!$B$31)</f>
        <v>5588852.92772133</v>
      </c>
      <c r="D71" s="22" t="n">
        <f aca="false">IF(MAX(0,$A71-'1. Inputs'!$C$26-'1. Inputs'!$B$30+1)&lt;=0,0,'1. Inputs'!$B$26*'1. Inputs'!$B$5*MAX(0,$A71-'1. Inputs'!$C$26-'1. Inputs'!$B$30+1)^'1. Inputs'!$B$7/('1. Inputs'!$B$6^'1. Inputs'!$B$7+MAX(0,$A71-'1. Inputs'!$C$26-'1. Inputs'!$B$30+1)^'1. Inputs'!$B$7)*('1. Inputs'!$B$9+'1. Inputs'!$B$10*MAX(0,$A71-'1. Inputs'!$C$26-'1. Inputs'!$B$30+1)/(MAX(0,$A71-'1. Inputs'!$C$26-'1. Inputs'!$B$30+1)+'1. Inputs'!$B$11))*'1. Inputs'!$B$13*(1+'1. Inputs'!$B$14*MIN(MAX(0,$A71-'1. Inputs'!$C$26-'1. Inputs'!$B$30+1),'1. Inputs'!$B$15))*'1. Inputs'!$B$31)</f>
        <v>2422701.1668993</v>
      </c>
      <c r="E71" s="22" t="n">
        <f aca="false">IF(MAX(0,$A71-'1. Inputs'!$C$27-'1. Inputs'!$B$30+1)&lt;=0,0,'1. Inputs'!$B$27*'1. Inputs'!$B$5*MAX(0,$A71-'1. Inputs'!$C$27-'1. Inputs'!$B$30+1)^'1. Inputs'!$B$7/('1. Inputs'!$B$6^'1. Inputs'!$B$7+MAX(0,$A71-'1. Inputs'!$C$27-'1. Inputs'!$B$30+1)^'1. Inputs'!$B$7)*('1. Inputs'!$B$9+'1. Inputs'!$B$10*MAX(0,$A71-'1. Inputs'!$C$27-'1. Inputs'!$B$30+1)/(MAX(0,$A71-'1. Inputs'!$C$27-'1. Inputs'!$B$30+1)+'1. Inputs'!$B$11))*'1. Inputs'!$B$13*(1+'1. Inputs'!$B$14*MIN(MAX(0,$A71-'1. Inputs'!$C$27-'1. Inputs'!$B$30+1),'1. Inputs'!$B$15))*'1. Inputs'!$B$31)</f>
        <v>1726869.18145236</v>
      </c>
      <c r="F71" s="22" t="n">
        <f aca="false">SUM(B71:E71)</f>
        <v>13961568.1247686</v>
      </c>
      <c r="G71" s="22" t="n">
        <f aca="false">IF($A71=MAX('1. Inputs'!$B$17,1),'1. Inputs'!$B$3,0)+IF($A71-'1. Inputs'!$B$17&gt;=1,INDEX(F$3:F$86,$A71-'1. Inputs'!$B$17),0)</f>
        <v>13588037.0702705</v>
      </c>
      <c r="H71" s="22" t="n">
        <f aca="false">H70*(1-'1. Inputs'!$B$18)+G71</f>
        <v>461408558.180492</v>
      </c>
      <c r="I71" s="22" t="n">
        <f aca="false">H71*'1. Inputs'!$B$18</f>
        <v>4614085.58180492</v>
      </c>
      <c r="J71" s="22" t="n">
        <f aca="false">J70+F71-I71</f>
        <v>622481043.218448</v>
      </c>
      <c r="K71" s="22" t="n">
        <f aca="false">IF(MAX(0,$A71-'1. Inputs'!$C$24-'1. Inputs'!$B$30+1)&lt;=0,0,'1. Inputs'!$B$24*('1. Inputs'!$B$5-'5. Diagnosing a miss'!$B$21)*MAX(0,$A71-'1. Inputs'!$C$24-'1. Inputs'!$B$30+1)^'1. Inputs'!$B$7/('1. Inputs'!$B$6^'1. Inputs'!$B$7+MAX(0,$A71-'1. Inputs'!$C$24-'1. Inputs'!$B$30+1)^'1. Inputs'!$B$7)*('1. Inputs'!$B$9+'1. Inputs'!$B$10*MAX(0,$A71-'1. Inputs'!$C$24-'1. Inputs'!$B$30+1)/(MAX(0,$A71-'1. Inputs'!$C$24-'1. Inputs'!$B$30+1)+'1. Inputs'!$B$11))*'1. Inputs'!$B$13*(1+'1. Inputs'!$B$14*MIN(MAX(0,$A71-'1. Inputs'!$C$24-'1. Inputs'!$B$30+1),'1. Inputs'!$B$15))*'1. Inputs'!$B$31)</f>
        <v>3753906.53217391</v>
      </c>
      <c r="L71" s="22" t="n">
        <f aca="false">IF(MAX(0,$A71-'1. Inputs'!$C$25-'1. Inputs'!$B$30+1)&lt;=0,0,'1. Inputs'!$B$25*('1. Inputs'!$B$5-'5. Diagnosing a miss'!$B$21)*MAX(0,$A71-'1. Inputs'!$C$25-'1. Inputs'!$B$30+1)^'1. Inputs'!$B$7/('1. Inputs'!$B$6^'1. Inputs'!$B$7+MAX(0,$A71-'1. Inputs'!$C$25-'1. Inputs'!$B$30+1)^'1. Inputs'!$B$7)*('1. Inputs'!$B$9+'1. Inputs'!$B$10*MAX(0,$A71-'1. Inputs'!$C$25-'1. Inputs'!$B$30+1)/(MAX(0,$A71-'1. Inputs'!$C$25-'1. Inputs'!$B$30+1)+'1. Inputs'!$B$11))*'1. Inputs'!$B$13*(1+'1. Inputs'!$B$14*MIN(MAX(0,$A71-'1. Inputs'!$C$25-'1. Inputs'!$B$30+1),'1. Inputs'!$B$15))*'1. Inputs'!$B$31)</f>
        <v>4967869.26908563</v>
      </c>
      <c r="M71" s="22" t="n">
        <f aca="false">IF(MAX(0,$A71-'1. Inputs'!$C$26-'1. Inputs'!$B$30+1)&lt;=0,0,'1. Inputs'!$B$26*('1. Inputs'!$B$5-'5. Diagnosing a miss'!$B$21)*MAX(0,$A71-'1. Inputs'!$C$26-'1. Inputs'!$B$30+1)^'1. Inputs'!$B$7/('1. Inputs'!$B$6^'1. Inputs'!$B$7+MAX(0,$A71-'1. Inputs'!$C$26-'1. Inputs'!$B$30+1)^'1. Inputs'!$B$7)*('1. Inputs'!$B$9+'1. Inputs'!$B$10*MAX(0,$A71-'1. Inputs'!$C$26-'1. Inputs'!$B$30+1)/(MAX(0,$A71-'1. Inputs'!$C$26-'1. Inputs'!$B$30+1)+'1. Inputs'!$B$11))*'1. Inputs'!$B$13*(1+'1. Inputs'!$B$14*MIN(MAX(0,$A71-'1. Inputs'!$C$26-'1. Inputs'!$B$30+1),'1. Inputs'!$B$15))*'1. Inputs'!$B$31)</f>
        <v>2153512.14835494</v>
      </c>
      <c r="N71" s="22" t="n">
        <f aca="false">IF(MAX(0,$A71-'1. Inputs'!$C$27-'1. Inputs'!$B$30+1)&lt;=0,0,'1. Inputs'!$B$27*('1. Inputs'!$B$5-'5. Diagnosing a miss'!$B$21)*MAX(0,$A71-'1. Inputs'!$C$27-'1. Inputs'!$B$30+1)^'1. Inputs'!$B$7/('1. Inputs'!$B$6^'1. Inputs'!$B$7+MAX(0,$A71-'1. Inputs'!$C$27-'1. Inputs'!$B$30+1)^'1. Inputs'!$B$7)*('1. Inputs'!$B$9+'1. Inputs'!$B$10*MAX(0,$A71-'1. Inputs'!$C$27-'1. Inputs'!$B$30+1)/(MAX(0,$A71-'1. Inputs'!$C$27-'1. Inputs'!$B$30+1)+'1. Inputs'!$B$11))*'1. Inputs'!$B$13*(1+'1. Inputs'!$B$14*MIN(MAX(0,$A71-'1. Inputs'!$C$27-'1. Inputs'!$B$30+1),'1. Inputs'!$B$15))*'1. Inputs'!$B$31)</f>
        <v>1534994.82795765</v>
      </c>
      <c r="O71" s="22" t="n">
        <f aca="false">SUM(K71:N71)</f>
        <v>12410282.7775721</v>
      </c>
      <c r="P71" s="22" t="n">
        <f aca="false">IF($A71=MAX('1. Inputs'!$B$17,1),'1. Inputs'!$B$3,0)+IF($A71-'1. Inputs'!$B$17&gt;=1,INDEX(O$3:O$86,$A71-'1. Inputs'!$B$17),0)</f>
        <v>12078255.1735738</v>
      </c>
      <c r="Q71" s="22" t="n">
        <f aca="false">Q70*(1-'1. Inputs'!$B$18)+P71</f>
        <v>419539360.445755</v>
      </c>
      <c r="R71" s="22" t="n">
        <f aca="false">Q71*'1. Inputs'!$B$18</f>
        <v>4195393.60445755</v>
      </c>
      <c r="S71" s="22" t="n">
        <f aca="false">S70+O71-R71</f>
        <v>562620918.503307</v>
      </c>
      <c r="T71" s="22" t="n">
        <f aca="false">IF(MAX(0,$A71-'1. Inputs'!$C$24-'1. Inputs'!$B$30+1)&lt;=0,0,'1. Inputs'!$B$24*'1. Inputs'!$B$5*MAX(0,$A71-'1. Inputs'!$C$24-'1. Inputs'!$B$30+1)^'1. Inputs'!$B$7/('1. Inputs'!$B$6^'1. Inputs'!$B$7+MAX(0,$A71-'1. Inputs'!$C$24-'1. Inputs'!$B$30+1)^'1. Inputs'!$B$7)*('1. Inputs'!$B$9+'1. Inputs'!$B$10*MAX(0,$A71-'1. Inputs'!$C$24-'1. Inputs'!$B$30+1)/(MAX(0,$A71-'1. Inputs'!$C$24-'1. Inputs'!$B$30+1)+'1. Inputs'!$B$11))*'1. Inputs'!$B$13*(1+'1. Inputs'!$B$14*MIN(MAX(0,$A71-'1. Inputs'!$C$24-'1. Inputs'!$B$30+1),'1. Inputs'!$B$15))*('1. Inputs'!$B$31*'5. Diagnosing a miss'!$B$22))</f>
        <v>3800830.36382609</v>
      </c>
      <c r="U71" s="22" t="n">
        <f aca="false">IF(MAX(0,$A71-'1. Inputs'!$C$25-'1. Inputs'!$B$30+1)&lt;=0,0,'1. Inputs'!$B$25*'1. Inputs'!$B$5*MAX(0,$A71-'1. Inputs'!$C$25-'1. Inputs'!$B$30+1)^'1. Inputs'!$B$7/('1. Inputs'!$B$6^'1. Inputs'!$B$7+MAX(0,$A71-'1. Inputs'!$C$25-'1. Inputs'!$B$30+1)^'1. Inputs'!$B$7)*('1. Inputs'!$B$9+'1. Inputs'!$B$10*MAX(0,$A71-'1. Inputs'!$C$25-'1. Inputs'!$B$30+1)/(MAX(0,$A71-'1. Inputs'!$C$25-'1. Inputs'!$B$30+1)+'1. Inputs'!$B$11))*'1. Inputs'!$B$13*(1+'1. Inputs'!$B$14*MIN(MAX(0,$A71-'1. Inputs'!$C$25-'1. Inputs'!$B$30+1),'1. Inputs'!$B$15))*('1. Inputs'!$B$31*'5. Diagnosing a miss'!$B$22))</f>
        <v>5029967.6349492</v>
      </c>
      <c r="V71" s="22" t="n">
        <f aca="false">IF(MAX(0,$A71-'1. Inputs'!$C$26-'1. Inputs'!$B$30+1)&lt;=0,0,'1. Inputs'!$B$26*'1. Inputs'!$B$5*MAX(0,$A71-'1. Inputs'!$C$26-'1. Inputs'!$B$30+1)^'1. Inputs'!$B$7/('1. Inputs'!$B$6^'1. Inputs'!$B$7+MAX(0,$A71-'1. Inputs'!$C$26-'1. Inputs'!$B$30+1)^'1. Inputs'!$B$7)*('1. Inputs'!$B$9+'1. Inputs'!$B$10*MAX(0,$A71-'1. Inputs'!$C$26-'1. Inputs'!$B$30+1)/(MAX(0,$A71-'1. Inputs'!$C$26-'1. Inputs'!$B$30+1)+'1. Inputs'!$B$11))*'1. Inputs'!$B$13*(1+'1. Inputs'!$B$14*MIN(MAX(0,$A71-'1. Inputs'!$C$26-'1. Inputs'!$B$30+1),'1. Inputs'!$B$15))*('1. Inputs'!$B$31*'5. Diagnosing a miss'!$B$22))</f>
        <v>2180431.05020937</v>
      </c>
      <c r="W71" s="22" t="n">
        <f aca="false">IF(MAX(0,$A71-'1. Inputs'!$C$27-'1. Inputs'!$B$30+1)&lt;=0,0,'1. Inputs'!$B$27*'1. Inputs'!$B$5*MAX(0,$A71-'1. Inputs'!$C$27-'1. Inputs'!$B$30+1)^'1. Inputs'!$B$7/('1. Inputs'!$B$6^'1. Inputs'!$B$7+MAX(0,$A71-'1. Inputs'!$C$27-'1. Inputs'!$B$30+1)^'1. Inputs'!$B$7)*('1. Inputs'!$B$9+'1. Inputs'!$B$10*MAX(0,$A71-'1. Inputs'!$C$27-'1. Inputs'!$B$30+1)/(MAX(0,$A71-'1. Inputs'!$C$27-'1. Inputs'!$B$30+1)+'1. Inputs'!$B$11))*'1. Inputs'!$B$13*(1+'1. Inputs'!$B$14*MIN(MAX(0,$A71-'1. Inputs'!$C$27-'1. Inputs'!$B$30+1),'1. Inputs'!$B$15))*('1. Inputs'!$B$31*'5. Diagnosing a miss'!$B$22))</f>
        <v>1554182.26330713</v>
      </c>
      <c r="X71" s="22" t="n">
        <f aca="false">SUM(T71:W71)</f>
        <v>12565411.3122918</v>
      </c>
      <c r="Y71" s="22" t="n">
        <f aca="false">IF($A71=MAX('1. Inputs'!$B$17,1),'1. Inputs'!$B$3,0)+IF($A71-'1. Inputs'!$B$17&gt;=1,INDEX(X$3:X$86,$A71-'1. Inputs'!$B$17),0)</f>
        <v>12229233.3632435</v>
      </c>
      <c r="Z71" s="22" t="n">
        <f aca="false">Z70*(1-'1. Inputs'!$B$18)+Y71</f>
        <v>423726280.219229</v>
      </c>
      <c r="AA71" s="22" t="n">
        <f aca="false">Z71*'1. Inputs'!$B$18</f>
        <v>4237262.80219229</v>
      </c>
      <c r="AB71" s="22" t="n">
        <f aca="false">AB70+X71-AA71</f>
        <v>568606930.974821</v>
      </c>
      <c r="AC71" s="22" t="n">
        <f aca="false">IF(MAX(0,$A71-'1. Inputs'!$C$24-('1. Inputs'!$B$30+'5. Diagnosing a miss'!$B$23)+1)&lt;=0,0,'1. Inputs'!$B$24*'1. Inputs'!$B$5*MAX(0,$A71-'1. Inputs'!$C$24-('1. Inputs'!$B$30+'5. Diagnosing a miss'!$B$23)+1)^'1. Inputs'!$B$7/('1. Inputs'!$B$6^'1. Inputs'!$B$7+MAX(0,$A71-'1. Inputs'!$C$24-('1. Inputs'!$B$30+'5. Diagnosing a miss'!$B$23)+1)^'1. Inputs'!$B$7)*('1. Inputs'!$B$9+'1. Inputs'!$B$10*MAX(0,$A71-'1. Inputs'!$C$24-('1. Inputs'!$B$30+'5. Diagnosing a miss'!$B$23)+1)/(MAX(0,$A71-'1. Inputs'!$C$24-('1. Inputs'!$B$30+'5. Diagnosing a miss'!$B$23)+1)+'1. Inputs'!$B$11))*'1. Inputs'!$B$13*(1+'1. Inputs'!$B$14*MIN(MAX(0,$A71-'1. Inputs'!$C$24-('1. Inputs'!$B$30+'5. Diagnosing a miss'!$B$23)+1),'1. Inputs'!$B$15))*'1. Inputs'!$B$31)</f>
        <v>4204966.436986</v>
      </c>
      <c r="AD71" s="22" t="n">
        <f aca="false">IF(MAX(0,$A71-'1. Inputs'!$C$25-('1. Inputs'!$B$30+'5. Diagnosing a miss'!$B$23)+1)&lt;=0,0,'1. Inputs'!$B$25*'1. Inputs'!$B$5*MAX(0,$A71-'1. Inputs'!$C$25-('1. Inputs'!$B$30+'5. Diagnosing a miss'!$B$23)+1)^'1. Inputs'!$B$7/('1. Inputs'!$B$6^'1. Inputs'!$B$7+MAX(0,$A71-'1. Inputs'!$C$25-('1. Inputs'!$B$30+'5. Diagnosing a miss'!$B$23)+1)^'1. Inputs'!$B$7)*('1. Inputs'!$B$9+'1. Inputs'!$B$10*MAX(0,$A71-'1. Inputs'!$C$25-('1. Inputs'!$B$30+'5. Diagnosing a miss'!$B$23)+1)/(MAX(0,$A71-'1. Inputs'!$C$25-('1. Inputs'!$B$30+'5. Diagnosing a miss'!$B$23)+1)+'1. Inputs'!$B$11))*'1. Inputs'!$B$13*(1+'1. Inputs'!$B$14*MIN(MAX(0,$A71-'1. Inputs'!$C$25-('1. Inputs'!$B$30+'5. Diagnosing a miss'!$B$23)+1),'1. Inputs'!$B$15))*'1. Inputs'!$B$31)</f>
        <v>5559391.38420614</v>
      </c>
      <c r="AE71" s="22" t="n">
        <f aca="false">IF(MAX(0,$A71-'1. Inputs'!$C$26-('1. Inputs'!$B$30+'5. Diagnosing a miss'!$B$23)+1)&lt;=0,0,'1. Inputs'!$B$26*'1. Inputs'!$B$5*MAX(0,$A71-'1. Inputs'!$C$26-('1. Inputs'!$B$30+'5. Diagnosing a miss'!$B$23)+1)^'1. Inputs'!$B$7/('1. Inputs'!$B$6^'1. Inputs'!$B$7+MAX(0,$A71-'1. Inputs'!$C$26-('1. Inputs'!$B$30+'5. Diagnosing a miss'!$B$23)+1)^'1. Inputs'!$B$7)*('1. Inputs'!$B$9+'1. Inputs'!$B$10*MAX(0,$A71-'1. Inputs'!$C$26-('1. Inputs'!$B$30+'5. Diagnosing a miss'!$B$23)+1)/(MAX(0,$A71-'1. Inputs'!$C$26-('1. Inputs'!$B$30+'5. Diagnosing a miss'!$B$23)+1)+'1. Inputs'!$B$11))*'1. Inputs'!$B$13*(1+'1. Inputs'!$B$14*MIN(MAX(0,$A71-'1. Inputs'!$C$26-('1. Inputs'!$B$30+'5. Diagnosing a miss'!$B$23)+1),'1. Inputs'!$B$15))*'1. Inputs'!$B$31)</f>
        <v>2406741.57303371</v>
      </c>
      <c r="AF71" s="22" t="n">
        <f aca="false">IF(MAX(0,$A71-'1. Inputs'!$C$27-('1. Inputs'!$B$30+'5. Diagnosing a miss'!$B$23)+1)&lt;=0,0,'1. Inputs'!$B$27*'1. Inputs'!$B$5*MAX(0,$A71-'1. Inputs'!$C$27-('1. Inputs'!$B$30+'5. Diagnosing a miss'!$B$23)+1)^'1. Inputs'!$B$7/('1. Inputs'!$B$6^'1. Inputs'!$B$7+MAX(0,$A71-'1. Inputs'!$C$27-('1. Inputs'!$B$30+'5. Diagnosing a miss'!$B$23)+1)^'1. Inputs'!$B$7)*('1. Inputs'!$B$9+'1. Inputs'!$B$10*MAX(0,$A71-'1. Inputs'!$C$27-('1. Inputs'!$B$30+'5. Diagnosing a miss'!$B$23)+1)/(MAX(0,$A71-'1. Inputs'!$C$27-('1. Inputs'!$B$30+'5. Diagnosing a miss'!$B$23)+1)+'1. Inputs'!$B$11))*'1. Inputs'!$B$13*(1+'1. Inputs'!$B$14*MIN(MAX(0,$A71-'1. Inputs'!$C$27-('1. Inputs'!$B$30+'5. Diagnosing a miss'!$B$23)+1),'1. Inputs'!$B$15))*'1. Inputs'!$B$31)</f>
        <v>1714941.90784558</v>
      </c>
      <c r="AG71" s="22" t="n">
        <f aca="false">SUM(AC71:AF71)</f>
        <v>13886041.3020714</v>
      </c>
      <c r="AH71" s="22" t="n">
        <f aca="false">IF($A71=MAX('1. Inputs'!$B$17,1),'1. Inputs'!$B$3,0)+IF($A71-'1. Inputs'!$B$17&gt;=1,INDEX(AG$3:AG$86,$A71-'1. Inputs'!$B$17),0)</f>
        <v>13455285.6412853</v>
      </c>
      <c r="AI71" s="22" t="n">
        <f aca="false">AI70*(1-'1. Inputs'!$B$18)+AH71</f>
        <v>431479734.005588</v>
      </c>
      <c r="AJ71" s="22" t="n">
        <f aca="false">AI71*'1. Inputs'!$B$18</f>
        <v>4314797.34005588</v>
      </c>
      <c r="AK71" s="22" t="n">
        <f aca="false">AK70+AG71-AJ71</f>
        <v>591676308.412783</v>
      </c>
    </row>
    <row r="72" customFormat="false" ht="15" hidden="false" customHeight="false" outlineLevel="0" collapsed="false">
      <c r="A72" s="7" t="n">
        <v>70</v>
      </c>
      <c r="B72" s="22" t="n">
        <f aca="false">IF(MAX(0,$A72-'1. Inputs'!$C$24-'1. Inputs'!$B$30+1)&lt;=0,0,'1. Inputs'!$B$24*'1. Inputs'!$B$5*MAX(0,$A72-'1. Inputs'!$C$24-'1. Inputs'!$B$30+1)^'1. Inputs'!$B$7/('1. Inputs'!$B$6^'1. Inputs'!$B$7+MAX(0,$A72-'1. Inputs'!$C$24-'1. Inputs'!$B$30+1)^'1. Inputs'!$B$7)*('1. Inputs'!$B$9+'1. Inputs'!$B$10*MAX(0,$A72-'1. Inputs'!$C$24-'1. Inputs'!$B$30+1)/(MAX(0,$A72-'1. Inputs'!$C$24-'1. Inputs'!$B$30+1)+'1. Inputs'!$B$11))*'1. Inputs'!$B$13*(1+'1. Inputs'!$B$14*MIN(MAX(0,$A72-'1. Inputs'!$C$24-'1. Inputs'!$B$30+1),'1. Inputs'!$B$15))*'1. Inputs'!$B$31)</f>
        <v>4228771.1977017</v>
      </c>
      <c r="C72" s="22" t="n">
        <f aca="false">IF(MAX(0,$A72-'1. Inputs'!$C$25-'1. Inputs'!$B$30+1)&lt;=0,0,'1. Inputs'!$B$25*'1. Inputs'!$B$5*MAX(0,$A72-'1. Inputs'!$C$25-'1. Inputs'!$B$30+1)^'1. Inputs'!$B$7/('1. Inputs'!$B$6^'1. Inputs'!$B$7+MAX(0,$A72-'1. Inputs'!$C$25-'1. Inputs'!$B$30+1)^'1. Inputs'!$B$7)*('1. Inputs'!$B$9+'1. Inputs'!$B$10*MAX(0,$A72-'1. Inputs'!$C$25-'1. Inputs'!$B$30+1)/(MAX(0,$A72-'1. Inputs'!$C$25-'1. Inputs'!$B$30+1)+'1. Inputs'!$B$11))*'1. Inputs'!$B$13*(1+'1. Inputs'!$B$14*MIN(MAX(0,$A72-'1. Inputs'!$C$25-'1. Inputs'!$B$30+1),'1. Inputs'!$B$15))*'1. Inputs'!$B$31)</f>
        <v>5597910.58976375</v>
      </c>
      <c r="D72" s="22" t="n">
        <f aca="false">IF(MAX(0,$A72-'1. Inputs'!$C$26-'1. Inputs'!$B$30+1)&lt;=0,0,'1. Inputs'!$B$26*'1. Inputs'!$B$5*MAX(0,$A72-'1. Inputs'!$C$26-'1. Inputs'!$B$30+1)^'1. Inputs'!$B$7/('1. Inputs'!$B$6^'1. Inputs'!$B$7+MAX(0,$A72-'1. Inputs'!$C$26-'1. Inputs'!$B$30+1)^'1. Inputs'!$B$7)*('1. Inputs'!$B$9+'1. Inputs'!$B$10*MAX(0,$A72-'1. Inputs'!$C$26-'1. Inputs'!$B$30+1)/(MAX(0,$A72-'1. Inputs'!$C$26-'1. Inputs'!$B$30+1)+'1. Inputs'!$B$11))*'1. Inputs'!$B$13*(1+'1. Inputs'!$B$14*MIN(MAX(0,$A72-'1. Inputs'!$C$26-'1. Inputs'!$B$30+1),'1. Inputs'!$B$15))*'1. Inputs'!$B$31)</f>
        <v>2427569.12432432</v>
      </c>
      <c r="E72" s="22" t="n">
        <f aca="false">IF(MAX(0,$A72-'1. Inputs'!$C$27-'1. Inputs'!$B$30+1)&lt;=0,0,'1. Inputs'!$B$27*'1. Inputs'!$B$5*MAX(0,$A72-'1. Inputs'!$C$27-'1. Inputs'!$B$30+1)^'1. Inputs'!$B$7/('1. Inputs'!$B$6^'1. Inputs'!$B$7+MAX(0,$A72-'1. Inputs'!$C$27-'1. Inputs'!$B$30+1)^'1. Inputs'!$B$7)*('1. Inputs'!$B$9+'1. Inputs'!$B$10*MAX(0,$A72-'1. Inputs'!$C$27-'1. Inputs'!$B$30+1)/(MAX(0,$A72-'1. Inputs'!$C$27-'1. Inputs'!$B$30+1)+'1. Inputs'!$B$11))*'1. Inputs'!$B$13*(1+'1. Inputs'!$B$14*MIN(MAX(0,$A72-'1. Inputs'!$C$27-'1. Inputs'!$B$30+1),'1. Inputs'!$B$15))*'1. Inputs'!$B$31)</f>
        <v>1730500.8334995</v>
      </c>
      <c r="F72" s="22" t="n">
        <f aca="false">SUM(B72:E72)</f>
        <v>13984751.7452893</v>
      </c>
      <c r="G72" s="22" t="n">
        <f aca="false">IF($A72=MAX('1. Inputs'!$B$17,1),'1. Inputs'!$B$3,0)+IF($A72-'1. Inputs'!$B$17&gt;=1,INDEX(F$3:F$86,$A72-'1. Inputs'!$B$17),0)</f>
        <v>13627858.6784789</v>
      </c>
      <c r="H72" s="22" t="n">
        <f aca="false">H71*(1-'1. Inputs'!$B$18)+G72</f>
        <v>470422331.277166</v>
      </c>
      <c r="I72" s="22" t="n">
        <f aca="false">H72*'1. Inputs'!$B$18</f>
        <v>4704223.31277166</v>
      </c>
      <c r="J72" s="22" t="n">
        <f aca="false">J71+F72-I72</f>
        <v>631761571.650965</v>
      </c>
      <c r="K72" s="22" t="n">
        <f aca="false">IF(MAX(0,$A72-'1. Inputs'!$C$24-'1. Inputs'!$B$30+1)&lt;=0,0,'1. Inputs'!$B$24*('1. Inputs'!$B$5-'5. Diagnosing a miss'!$B$21)*MAX(0,$A72-'1. Inputs'!$C$24-'1. Inputs'!$B$30+1)^'1. Inputs'!$B$7/('1. Inputs'!$B$6^'1. Inputs'!$B$7+MAX(0,$A72-'1. Inputs'!$C$24-'1. Inputs'!$B$30+1)^'1. Inputs'!$B$7)*('1. Inputs'!$B$9+'1. Inputs'!$B$10*MAX(0,$A72-'1. Inputs'!$C$24-'1. Inputs'!$B$30+1)/(MAX(0,$A72-'1. Inputs'!$C$24-'1. Inputs'!$B$30+1)+'1. Inputs'!$B$11))*'1. Inputs'!$B$13*(1+'1. Inputs'!$B$14*MIN(MAX(0,$A72-'1. Inputs'!$C$24-'1. Inputs'!$B$30+1),'1. Inputs'!$B$15))*'1. Inputs'!$B$31)</f>
        <v>3758907.7312904</v>
      </c>
      <c r="L72" s="22" t="n">
        <f aca="false">IF(MAX(0,$A72-'1. Inputs'!$C$25-'1. Inputs'!$B$30+1)&lt;=0,0,'1. Inputs'!$B$25*('1. Inputs'!$B$5-'5. Diagnosing a miss'!$B$21)*MAX(0,$A72-'1. Inputs'!$C$25-'1. Inputs'!$B$30+1)^'1. Inputs'!$B$7/('1. Inputs'!$B$6^'1. Inputs'!$B$7+MAX(0,$A72-'1. Inputs'!$C$25-'1. Inputs'!$B$30+1)^'1. Inputs'!$B$7)*('1. Inputs'!$B$9+'1. Inputs'!$B$10*MAX(0,$A72-'1. Inputs'!$C$25-'1. Inputs'!$B$30+1)/(MAX(0,$A72-'1. Inputs'!$C$25-'1. Inputs'!$B$30+1)+'1. Inputs'!$B$11))*'1. Inputs'!$B$13*(1+'1. Inputs'!$B$14*MIN(MAX(0,$A72-'1. Inputs'!$C$25-'1. Inputs'!$B$30+1),'1. Inputs'!$B$15))*'1. Inputs'!$B$31)</f>
        <v>4975920.52423444</v>
      </c>
      <c r="M72" s="22" t="n">
        <f aca="false">IF(MAX(0,$A72-'1. Inputs'!$C$26-'1. Inputs'!$B$30+1)&lt;=0,0,'1. Inputs'!$B$26*('1. Inputs'!$B$5-'5. Diagnosing a miss'!$B$21)*MAX(0,$A72-'1. Inputs'!$C$26-'1. Inputs'!$B$30+1)^'1. Inputs'!$B$7/('1. Inputs'!$B$6^'1. Inputs'!$B$7+MAX(0,$A72-'1. Inputs'!$C$26-'1. Inputs'!$B$30+1)^'1. Inputs'!$B$7)*('1. Inputs'!$B$9+'1. Inputs'!$B$10*MAX(0,$A72-'1. Inputs'!$C$26-'1. Inputs'!$B$30+1)/(MAX(0,$A72-'1. Inputs'!$C$26-'1. Inputs'!$B$30+1)+'1. Inputs'!$B$11))*'1. Inputs'!$B$13*(1+'1. Inputs'!$B$14*MIN(MAX(0,$A72-'1. Inputs'!$C$26-'1. Inputs'!$B$30+1),'1. Inputs'!$B$15))*'1. Inputs'!$B$31)</f>
        <v>2157839.22162162</v>
      </c>
      <c r="N72" s="22" t="n">
        <f aca="false">IF(MAX(0,$A72-'1. Inputs'!$C$27-'1. Inputs'!$B$30+1)&lt;=0,0,'1. Inputs'!$B$27*('1. Inputs'!$B$5-'5. Diagnosing a miss'!$B$21)*MAX(0,$A72-'1. Inputs'!$C$27-'1. Inputs'!$B$30+1)^'1. Inputs'!$B$7/('1. Inputs'!$B$6^'1. Inputs'!$B$7+MAX(0,$A72-'1. Inputs'!$C$27-'1. Inputs'!$B$30+1)^'1. Inputs'!$B$7)*('1. Inputs'!$B$9+'1. Inputs'!$B$10*MAX(0,$A72-'1. Inputs'!$C$27-'1. Inputs'!$B$30+1)/(MAX(0,$A72-'1. Inputs'!$C$27-'1. Inputs'!$B$30+1)+'1. Inputs'!$B$11))*'1. Inputs'!$B$13*(1+'1. Inputs'!$B$14*MIN(MAX(0,$A72-'1. Inputs'!$C$27-'1. Inputs'!$B$30+1),'1. Inputs'!$B$15))*'1. Inputs'!$B$31)</f>
        <v>1538222.96311067</v>
      </c>
      <c r="O72" s="22" t="n">
        <f aca="false">SUM(K72:N72)</f>
        <v>12430890.4402571</v>
      </c>
      <c r="P72" s="22" t="n">
        <f aca="false">IF($A72=MAX('1. Inputs'!$B$17,1),'1. Inputs'!$B$3,0)+IF($A72-'1. Inputs'!$B$17&gt;=1,INDEX(O$3:O$86,$A72-'1. Inputs'!$B$17),0)</f>
        <v>12113652.1586479</v>
      </c>
      <c r="Q72" s="22" t="n">
        <f aca="false">Q71*(1-'1. Inputs'!$B$18)+P72</f>
        <v>427457618.999946</v>
      </c>
      <c r="R72" s="22" t="n">
        <f aca="false">Q72*'1. Inputs'!$B$18</f>
        <v>4274576.18999946</v>
      </c>
      <c r="S72" s="22" t="n">
        <f aca="false">S71+O72-R72</f>
        <v>570777232.753564</v>
      </c>
      <c r="T72" s="22" t="n">
        <f aca="false">IF(MAX(0,$A72-'1. Inputs'!$C$24-'1. Inputs'!$B$30+1)&lt;=0,0,'1. Inputs'!$B$24*'1. Inputs'!$B$5*MAX(0,$A72-'1. Inputs'!$C$24-'1. Inputs'!$B$30+1)^'1. Inputs'!$B$7/('1. Inputs'!$B$6^'1. Inputs'!$B$7+MAX(0,$A72-'1. Inputs'!$C$24-'1. Inputs'!$B$30+1)^'1. Inputs'!$B$7)*('1. Inputs'!$B$9+'1. Inputs'!$B$10*MAX(0,$A72-'1. Inputs'!$C$24-'1. Inputs'!$B$30+1)/(MAX(0,$A72-'1. Inputs'!$C$24-'1. Inputs'!$B$30+1)+'1. Inputs'!$B$11))*'1. Inputs'!$B$13*(1+'1. Inputs'!$B$14*MIN(MAX(0,$A72-'1. Inputs'!$C$24-'1. Inputs'!$B$30+1),'1. Inputs'!$B$15))*('1. Inputs'!$B$31*'5. Diagnosing a miss'!$B$22))</f>
        <v>3805894.07793153</v>
      </c>
      <c r="U72" s="22" t="n">
        <f aca="false">IF(MAX(0,$A72-'1. Inputs'!$C$25-'1. Inputs'!$B$30+1)&lt;=0,0,'1. Inputs'!$B$25*'1. Inputs'!$B$5*MAX(0,$A72-'1. Inputs'!$C$25-'1. Inputs'!$B$30+1)^'1. Inputs'!$B$7/('1. Inputs'!$B$6^'1. Inputs'!$B$7+MAX(0,$A72-'1. Inputs'!$C$25-'1. Inputs'!$B$30+1)^'1. Inputs'!$B$7)*('1. Inputs'!$B$9+'1. Inputs'!$B$10*MAX(0,$A72-'1. Inputs'!$C$25-'1. Inputs'!$B$30+1)/(MAX(0,$A72-'1. Inputs'!$C$25-'1. Inputs'!$B$30+1)+'1. Inputs'!$B$11))*'1. Inputs'!$B$13*(1+'1. Inputs'!$B$14*MIN(MAX(0,$A72-'1. Inputs'!$C$25-'1. Inputs'!$B$30+1),'1. Inputs'!$B$15))*('1. Inputs'!$B$31*'5. Diagnosing a miss'!$B$22))</f>
        <v>5038119.53078737</v>
      </c>
      <c r="V72" s="22" t="n">
        <f aca="false">IF(MAX(0,$A72-'1. Inputs'!$C$26-'1. Inputs'!$B$30+1)&lt;=0,0,'1. Inputs'!$B$26*'1. Inputs'!$B$5*MAX(0,$A72-'1. Inputs'!$C$26-'1. Inputs'!$B$30+1)^'1. Inputs'!$B$7/('1. Inputs'!$B$6^'1. Inputs'!$B$7+MAX(0,$A72-'1. Inputs'!$C$26-'1. Inputs'!$B$30+1)^'1. Inputs'!$B$7)*('1. Inputs'!$B$9+'1. Inputs'!$B$10*MAX(0,$A72-'1. Inputs'!$C$26-'1. Inputs'!$B$30+1)/(MAX(0,$A72-'1. Inputs'!$C$26-'1. Inputs'!$B$30+1)+'1. Inputs'!$B$11))*'1. Inputs'!$B$13*(1+'1. Inputs'!$B$14*MIN(MAX(0,$A72-'1. Inputs'!$C$26-'1. Inputs'!$B$30+1),'1. Inputs'!$B$15))*('1. Inputs'!$B$31*'5. Diagnosing a miss'!$B$22))</f>
        <v>2184812.21189189</v>
      </c>
      <c r="W72" s="22" t="n">
        <f aca="false">IF(MAX(0,$A72-'1. Inputs'!$C$27-'1. Inputs'!$B$30+1)&lt;=0,0,'1. Inputs'!$B$27*'1. Inputs'!$B$5*MAX(0,$A72-'1. Inputs'!$C$27-'1. Inputs'!$B$30+1)^'1. Inputs'!$B$7/('1. Inputs'!$B$6^'1. Inputs'!$B$7+MAX(0,$A72-'1. Inputs'!$C$27-'1. Inputs'!$B$30+1)^'1. Inputs'!$B$7)*('1. Inputs'!$B$9+'1. Inputs'!$B$10*MAX(0,$A72-'1. Inputs'!$C$27-'1. Inputs'!$B$30+1)/(MAX(0,$A72-'1. Inputs'!$C$27-'1. Inputs'!$B$30+1)+'1. Inputs'!$B$11))*'1. Inputs'!$B$13*(1+'1. Inputs'!$B$14*MIN(MAX(0,$A72-'1. Inputs'!$C$27-'1. Inputs'!$B$30+1),'1. Inputs'!$B$15))*('1. Inputs'!$B$31*'5. Diagnosing a miss'!$B$22))</f>
        <v>1557450.75014955</v>
      </c>
      <c r="X72" s="22" t="n">
        <f aca="false">SUM(T72:W72)</f>
        <v>12586276.5707603</v>
      </c>
      <c r="Y72" s="22" t="n">
        <f aca="false">IF($A72=MAX('1. Inputs'!$B$17,1),'1. Inputs'!$B$3,0)+IF($A72-'1. Inputs'!$B$17&gt;=1,INDEX(X$3:X$86,$A72-'1. Inputs'!$B$17),0)</f>
        <v>12265072.810631</v>
      </c>
      <c r="Z72" s="22" t="n">
        <f aca="false">Z71*(1-'1. Inputs'!$B$18)+Y72</f>
        <v>431754090.227668</v>
      </c>
      <c r="AA72" s="22" t="n">
        <f aca="false">Z72*'1. Inputs'!$B$18</f>
        <v>4317540.90227668</v>
      </c>
      <c r="AB72" s="22" t="n">
        <f aca="false">AB71+X72-AA72</f>
        <v>576875666.643305</v>
      </c>
      <c r="AC72" s="22" t="n">
        <f aca="false">IF(MAX(0,$A72-'1. Inputs'!$C$24-('1. Inputs'!$B$30+'5. Diagnosing a miss'!$B$23)+1)&lt;=0,0,'1. Inputs'!$B$24*'1. Inputs'!$B$5*MAX(0,$A72-'1. Inputs'!$C$24-('1. Inputs'!$B$30+'5. Diagnosing a miss'!$B$23)+1)^'1. Inputs'!$B$7/('1. Inputs'!$B$6^'1. Inputs'!$B$7+MAX(0,$A72-'1. Inputs'!$C$24-('1. Inputs'!$B$30+'5. Diagnosing a miss'!$B$23)+1)^'1. Inputs'!$B$7)*('1. Inputs'!$B$9+'1. Inputs'!$B$10*MAX(0,$A72-'1. Inputs'!$C$24-('1. Inputs'!$B$30+'5. Diagnosing a miss'!$B$23)+1)/(MAX(0,$A72-'1. Inputs'!$C$24-('1. Inputs'!$B$30+'5. Diagnosing a miss'!$B$23)+1)+'1. Inputs'!$B$11))*'1. Inputs'!$B$13*(1+'1. Inputs'!$B$14*MIN(MAX(0,$A72-'1. Inputs'!$C$24-('1. Inputs'!$B$30+'5. Diagnosing a miss'!$B$23)+1),'1. Inputs'!$B$15))*'1. Inputs'!$B$31)</f>
        <v>4211254.30505547</v>
      </c>
      <c r="AD72" s="22" t="n">
        <f aca="false">IF(MAX(0,$A72-'1. Inputs'!$C$25-('1. Inputs'!$B$30+'5. Diagnosing a miss'!$B$23)+1)&lt;=0,0,'1. Inputs'!$B$25*'1. Inputs'!$B$5*MAX(0,$A72-'1. Inputs'!$C$25-('1. Inputs'!$B$30+'5. Diagnosing a miss'!$B$23)+1)^'1. Inputs'!$B$7/('1. Inputs'!$B$6^'1. Inputs'!$B$7+MAX(0,$A72-'1. Inputs'!$C$25-('1. Inputs'!$B$30+'5. Diagnosing a miss'!$B$23)+1)^'1. Inputs'!$B$7)*('1. Inputs'!$B$9+'1. Inputs'!$B$10*MAX(0,$A72-'1. Inputs'!$C$25-('1. Inputs'!$B$30+'5. Diagnosing a miss'!$B$23)+1)/(MAX(0,$A72-'1. Inputs'!$C$25-('1. Inputs'!$B$30+'5. Diagnosing a miss'!$B$23)+1)+'1. Inputs'!$B$11))*'1. Inputs'!$B$13*(1+'1. Inputs'!$B$14*MIN(MAX(0,$A72-'1. Inputs'!$C$25-('1. Inputs'!$B$30+'5. Diagnosing a miss'!$B$23)+1),'1. Inputs'!$B$15))*'1. Inputs'!$B$31)</f>
        <v>5569615.99823518</v>
      </c>
      <c r="AE72" s="22" t="n">
        <f aca="false">IF(MAX(0,$A72-'1. Inputs'!$C$26-('1. Inputs'!$B$30+'5. Diagnosing a miss'!$B$23)+1)&lt;=0,0,'1. Inputs'!$B$26*'1. Inputs'!$B$5*MAX(0,$A72-'1. Inputs'!$C$26-('1. Inputs'!$B$30+'5. Diagnosing a miss'!$B$23)+1)^'1. Inputs'!$B$7/('1. Inputs'!$B$6^'1. Inputs'!$B$7+MAX(0,$A72-'1. Inputs'!$C$26-('1. Inputs'!$B$30+'5. Diagnosing a miss'!$B$23)+1)^'1. Inputs'!$B$7)*('1. Inputs'!$B$9+'1. Inputs'!$B$10*MAX(0,$A72-'1. Inputs'!$C$26-('1. Inputs'!$B$30+'5. Diagnosing a miss'!$B$23)+1)/(MAX(0,$A72-'1. Inputs'!$C$26-('1. Inputs'!$B$30+'5. Diagnosing a miss'!$B$23)+1)+'1. Inputs'!$B$11))*'1. Inputs'!$B$13*(1+'1. Inputs'!$B$14*MIN(MAX(0,$A72-'1. Inputs'!$C$26-('1. Inputs'!$B$30+'5. Diagnosing a miss'!$B$23)+1),'1. Inputs'!$B$15))*'1. Inputs'!$B$31)</f>
        <v>2412302.08972095</v>
      </c>
      <c r="AF72" s="22" t="n">
        <f aca="false">IF(MAX(0,$A72-'1. Inputs'!$C$27-('1. Inputs'!$B$30+'5. Diagnosing a miss'!$B$23)+1)&lt;=0,0,'1. Inputs'!$B$27*'1. Inputs'!$B$5*MAX(0,$A72-'1. Inputs'!$C$27-('1. Inputs'!$B$30+'5. Diagnosing a miss'!$B$23)+1)^'1. Inputs'!$B$7/('1. Inputs'!$B$6^'1. Inputs'!$B$7+MAX(0,$A72-'1. Inputs'!$C$27-('1. Inputs'!$B$30+'5. Diagnosing a miss'!$B$23)+1)^'1. Inputs'!$B$7)*('1. Inputs'!$B$9+'1. Inputs'!$B$10*MAX(0,$A72-'1. Inputs'!$C$27-('1. Inputs'!$B$30+'5. Diagnosing a miss'!$B$23)+1)/(MAX(0,$A72-'1. Inputs'!$C$27-('1. Inputs'!$B$30+'5. Diagnosing a miss'!$B$23)+1)+'1. Inputs'!$B$11))*'1. Inputs'!$B$13*(1+'1. Inputs'!$B$14*MIN(MAX(0,$A72-'1. Inputs'!$C$27-('1. Inputs'!$B$30+'5. Diagnosing a miss'!$B$23)+1),'1. Inputs'!$B$15))*'1. Inputs'!$B$31)</f>
        <v>1719101.12359551</v>
      </c>
      <c r="AG72" s="22" t="n">
        <f aca="false">SUM(AC72:AF72)</f>
        <v>13912273.5166071</v>
      </c>
      <c r="AH72" s="22" t="n">
        <f aca="false">IF($A72=MAX('1. Inputs'!$B$17,1),'1. Inputs'!$B$3,0)+IF($A72-'1. Inputs'!$B$17&gt;=1,INDEX(AG$3:AG$86,$A72-'1. Inputs'!$B$17),0)</f>
        <v>13501921.556478</v>
      </c>
      <c r="AI72" s="22" t="n">
        <f aca="false">AI71*(1-'1. Inputs'!$B$18)+AH72</f>
        <v>440666858.22201</v>
      </c>
      <c r="AJ72" s="22" t="n">
        <f aca="false">AI72*'1. Inputs'!$B$18</f>
        <v>4406668.5822201</v>
      </c>
      <c r="AK72" s="22" t="n">
        <f aca="false">AK71+AG72-AJ72</f>
        <v>601181913.34717</v>
      </c>
    </row>
    <row r="73" customFormat="false" ht="15" hidden="false" customHeight="false" outlineLevel="0" collapsed="false">
      <c r="A73" s="7" t="n">
        <v>71</v>
      </c>
      <c r="B73" s="22" t="n">
        <f aca="false">IF(MAX(0,$A73-'1. Inputs'!$C$24-'1. Inputs'!$B$30+1)&lt;=0,0,'1. Inputs'!$B$24*'1. Inputs'!$B$5*MAX(0,$A73-'1. Inputs'!$C$24-'1. Inputs'!$B$30+1)^'1. Inputs'!$B$7/('1. Inputs'!$B$6^'1. Inputs'!$B$7+MAX(0,$A73-'1. Inputs'!$C$24-'1. Inputs'!$B$30+1)^'1. Inputs'!$B$7)*('1. Inputs'!$B$9+'1. Inputs'!$B$10*MAX(0,$A73-'1. Inputs'!$C$24-'1. Inputs'!$B$30+1)/(MAX(0,$A73-'1. Inputs'!$C$24-'1. Inputs'!$B$30+1)+'1. Inputs'!$B$11))*'1. Inputs'!$B$13*(1+'1. Inputs'!$B$14*MIN(MAX(0,$A73-'1. Inputs'!$C$24-'1. Inputs'!$B$30+1),'1. Inputs'!$B$15))*'1. Inputs'!$B$31)</f>
        <v>4234199.40731243</v>
      </c>
      <c r="C73" s="22" t="n">
        <f aca="false">IF(MAX(0,$A73-'1. Inputs'!$C$25-'1. Inputs'!$B$30+1)&lt;=0,0,'1. Inputs'!$B$25*'1. Inputs'!$B$5*MAX(0,$A73-'1. Inputs'!$C$25-'1. Inputs'!$B$30+1)^'1. Inputs'!$B$7/('1. Inputs'!$B$6^'1. Inputs'!$B$7+MAX(0,$A73-'1. Inputs'!$C$25-'1. Inputs'!$B$30+1)^'1. Inputs'!$B$7)*('1. Inputs'!$B$9+'1. Inputs'!$B$10*MAX(0,$A73-'1. Inputs'!$C$25-'1. Inputs'!$B$30+1)/(MAX(0,$A73-'1. Inputs'!$C$25-'1. Inputs'!$B$30+1)+'1. Inputs'!$B$11))*'1. Inputs'!$B$13*(1+'1. Inputs'!$B$14*MIN(MAX(0,$A73-'1. Inputs'!$C$25-'1. Inputs'!$B$30+1),'1. Inputs'!$B$15))*'1. Inputs'!$B$31)</f>
        <v>5606621.91598133</v>
      </c>
      <c r="D73" s="22" t="n">
        <f aca="false">IF(MAX(0,$A73-'1. Inputs'!$C$26-'1. Inputs'!$B$30+1)&lt;=0,0,'1. Inputs'!$B$26*'1. Inputs'!$B$5*MAX(0,$A73-'1. Inputs'!$C$26-'1. Inputs'!$B$30+1)^'1. Inputs'!$B$7/('1. Inputs'!$B$6^'1. Inputs'!$B$7+MAX(0,$A73-'1. Inputs'!$C$26-'1. Inputs'!$B$30+1)^'1. Inputs'!$B$7)*('1. Inputs'!$B$9+'1. Inputs'!$B$10*MAX(0,$A73-'1. Inputs'!$C$26-'1. Inputs'!$B$30+1)/(MAX(0,$A73-'1. Inputs'!$C$26-'1. Inputs'!$B$30+1)+'1. Inputs'!$B$11))*'1. Inputs'!$B$13*(1+'1. Inputs'!$B$14*MIN(MAX(0,$A73-'1. Inputs'!$C$26-'1. Inputs'!$B$30+1),'1. Inputs'!$B$15))*'1. Inputs'!$B$31)</f>
        <v>2432233.73059018</v>
      </c>
      <c r="E73" s="22" t="n">
        <f aca="false">IF(MAX(0,$A73-'1. Inputs'!$C$27-'1. Inputs'!$B$30+1)&lt;=0,0,'1. Inputs'!$B$27*'1. Inputs'!$B$5*MAX(0,$A73-'1. Inputs'!$C$27-'1. Inputs'!$B$30+1)^'1. Inputs'!$B$7/('1. Inputs'!$B$6^'1. Inputs'!$B$7+MAX(0,$A73-'1. Inputs'!$C$27-'1. Inputs'!$B$30+1)^'1. Inputs'!$B$7)*('1. Inputs'!$B$9+'1. Inputs'!$B$10*MAX(0,$A73-'1. Inputs'!$C$27-'1. Inputs'!$B$30+1)/(MAX(0,$A73-'1. Inputs'!$C$27-'1. Inputs'!$B$30+1)+'1. Inputs'!$B$11))*'1. Inputs'!$B$13*(1+'1. Inputs'!$B$14*MIN(MAX(0,$A73-'1. Inputs'!$C$27-'1. Inputs'!$B$30+1),'1. Inputs'!$B$15))*'1. Inputs'!$B$31)</f>
        <v>1733977.94594595</v>
      </c>
      <c r="F73" s="22" t="n">
        <f aca="false">SUM(B73:E73)</f>
        <v>14007032.9998299</v>
      </c>
      <c r="G73" s="22" t="n">
        <f aca="false">IF($A73=MAX('1. Inputs'!$B$17,1),'1. Inputs'!$B$3,0)+IF($A73-'1. Inputs'!$B$17&gt;=1,INDEX(F$3:F$86,$A73-'1. Inputs'!$B$17),0)</f>
        <v>13665725.15144</v>
      </c>
      <c r="H73" s="22" t="n">
        <f aca="false">H72*(1-'1. Inputs'!$B$18)+G73</f>
        <v>479383833.115835</v>
      </c>
      <c r="I73" s="22" t="n">
        <f aca="false">H73*'1. Inputs'!$B$18</f>
        <v>4793838.33115835</v>
      </c>
      <c r="J73" s="22" t="n">
        <f aca="false">J72+F73-I73</f>
        <v>640974766.319637</v>
      </c>
      <c r="K73" s="22" t="n">
        <f aca="false">IF(MAX(0,$A73-'1. Inputs'!$C$24-'1. Inputs'!$B$30+1)&lt;=0,0,'1. Inputs'!$B$24*('1. Inputs'!$B$5-'5. Diagnosing a miss'!$B$21)*MAX(0,$A73-'1. Inputs'!$C$24-'1. Inputs'!$B$30+1)^'1. Inputs'!$B$7/('1. Inputs'!$B$6^'1. Inputs'!$B$7+MAX(0,$A73-'1. Inputs'!$C$24-'1. Inputs'!$B$30+1)^'1. Inputs'!$B$7)*('1. Inputs'!$B$9+'1. Inputs'!$B$10*MAX(0,$A73-'1. Inputs'!$C$24-'1. Inputs'!$B$30+1)/(MAX(0,$A73-'1. Inputs'!$C$24-'1. Inputs'!$B$30+1)+'1. Inputs'!$B$11))*'1. Inputs'!$B$13*(1+'1. Inputs'!$B$14*MIN(MAX(0,$A73-'1. Inputs'!$C$24-'1. Inputs'!$B$30+1),'1. Inputs'!$B$15))*'1. Inputs'!$B$31)</f>
        <v>3763732.80649994</v>
      </c>
      <c r="L73" s="22" t="n">
        <f aca="false">IF(MAX(0,$A73-'1. Inputs'!$C$25-'1. Inputs'!$B$30+1)&lt;=0,0,'1. Inputs'!$B$25*('1. Inputs'!$B$5-'5. Diagnosing a miss'!$B$21)*MAX(0,$A73-'1. Inputs'!$C$25-'1. Inputs'!$B$30+1)^'1. Inputs'!$B$7/('1. Inputs'!$B$6^'1. Inputs'!$B$7+MAX(0,$A73-'1. Inputs'!$C$25-'1. Inputs'!$B$30+1)^'1. Inputs'!$B$7)*('1. Inputs'!$B$9+'1. Inputs'!$B$10*MAX(0,$A73-'1. Inputs'!$C$25-'1. Inputs'!$B$30+1)/(MAX(0,$A73-'1. Inputs'!$C$25-'1. Inputs'!$B$30+1)+'1. Inputs'!$B$11))*'1. Inputs'!$B$13*(1+'1. Inputs'!$B$14*MIN(MAX(0,$A73-'1. Inputs'!$C$25-'1. Inputs'!$B$30+1),'1. Inputs'!$B$15))*'1. Inputs'!$B$31)</f>
        <v>4983663.92531674</v>
      </c>
      <c r="M73" s="22" t="n">
        <f aca="false">IF(MAX(0,$A73-'1. Inputs'!$C$26-'1. Inputs'!$B$30+1)&lt;=0,0,'1. Inputs'!$B$26*('1. Inputs'!$B$5-'5. Diagnosing a miss'!$B$21)*MAX(0,$A73-'1. Inputs'!$C$26-'1. Inputs'!$B$30+1)^'1. Inputs'!$B$7/('1. Inputs'!$B$6^'1. Inputs'!$B$7+MAX(0,$A73-'1. Inputs'!$C$26-'1. Inputs'!$B$30+1)^'1. Inputs'!$B$7)*('1. Inputs'!$B$9+'1. Inputs'!$B$10*MAX(0,$A73-'1. Inputs'!$C$26-'1. Inputs'!$B$30+1)/(MAX(0,$A73-'1. Inputs'!$C$26-'1. Inputs'!$B$30+1)+'1. Inputs'!$B$11))*'1. Inputs'!$B$13*(1+'1. Inputs'!$B$14*MIN(MAX(0,$A73-'1. Inputs'!$C$26-'1. Inputs'!$B$30+1),'1. Inputs'!$B$15))*'1. Inputs'!$B$31)</f>
        <v>2161985.53830239</v>
      </c>
      <c r="N73" s="22" t="n">
        <f aca="false">IF(MAX(0,$A73-'1. Inputs'!$C$27-'1. Inputs'!$B$30+1)&lt;=0,0,'1. Inputs'!$B$27*('1. Inputs'!$B$5-'5. Diagnosing a miss'!$B$21)*MAX(0,$A73-'1. Inputs'!$C$27-'1. Inputs'!$B$30+1)^'1. Inputs'!$B$7/('1. Inputs'!$B$6^'1. Inputs'!$B$7+MAX(0,$A73-'1. Inputs'!$C$27-'1. Inputs'!$B$30+1)^'1. Inputs'!$B$7)*('1. Inputs'!$B$9+'1. Inputs'!$B$10*MAX(0,$A73-'1. Inputs'!$C$27-'1. Inputs'!$B$30+1)/(MAX(0,$A73-'1. Inputs'!$C$27-'1. Inputs'!$B$30+1)+'1. Inputs'!$B$11))*'1. Inputs'!$B$13*(1+'1. Inputs'!$B$14*MIN(MAX(0,$A73-'1. Inputs'!$C$27-'1. Inputs'!$B$30+1),'1. Inputs'!$B$15))*'1. Inputs'!$B$31)</f>
        <v>1541313.72972973</v>
      </c>
      <c r="O73" s="22" t="n">
        <f aca="false">SUM(K73:N73)</f>
        <v>12450695.9998488</v>
      </c>
      <c r="P73" s="22" t="n">
        <f aca="false">IF($A73=MAX('1. Inputs'!$B$17,1),'1. Inputs'!$B$3,0)+IF($A73-'1. Inputs'!$B$17&gt;=1,INDEX(O$3:O$86,$A73-'1. Inputs'!$B$17),0)</f>
        <v>12147311.2457244</v>
      </c>
      <c r="Q73" s="22" t="n">
        <f aca="false">Q72*(1-'1. Inputs'!$B$18)+P73</f>
        <v>435330354.055671</v>
      </c>
      <c r="R73" s="22" t="n">
        <f aca="false">Q73*'1. Inputs'!$B$18</f>
        <v>4353303.54055671</v>
      </c>
      <c r="S73" s="22" t="n">
        <f aca="false">S72+O73-R73</f>
        <v>578874625.212857</v>
      </c>
      <c r="T73" s="22" t="n">
        <f aca="false">IF(MAX(0,$A73-'1. Inputs'!$C$24-'1. Inputs'!$B$30+1)&lt;=0,0,'1. Inputs'!$B$24*'1. Inputs'!$B$5*MAX(0,$A73-'1. Inputs'!$C$24-'1. Inputs'!$B$30+1)^'1. Inputs'!$B$7/('1. Inputs'!$B$6^'1. Inputs'!$B$7+MAX(0,$A73-'1. Inputs'!$C$24-'1. Inputs'!$B$30+1)^'1. Inputs'!$B$7)*('1. Inputs'!$B$9+'1. Inputs'!$B$10*MAX(0,$A73-'1. Inputs'!$C$24-'1. Inputs'!$B$30+1)/(MAX(0,$A73-'1. Inputs'!$C$24-'1. Inputs'!$B$30+1)+'1. Inputs'!$B$11))*'1. Inputs'!$B$13*(1+'1. Inputs'!$B$14*MIN(MAX(0,$A73-'1. Inputs'!$C$24-'1. Inputs'!$B$30+1),'1. Inputs'!$B$15))*('1. Inputs'!$B$31*'5. Diagnosing a miss'!$B$22))</f>
        <v>3810779.46658119</v>
      </c>
      <c r="U73" s="22" t="n">
        <f aca="false">IF(MAX(0,$A73-'1. Inputs'!$C$25-'1. Inputs'!$B$30+1)&lt;=0,0,'1. Inputs'!$B$25*'1. Inputs'!$B$5*MAX(0,$A73-'1. Inputs'!$C$25-'1. Inputs'!$B$30+1)^'1. Inputs'!$B$7/('1. Inputs'!$B$6^'1. Inputs'!$B$7+MAX(0,$A73-'1. Inputs'!$C$25-'1. Inputs'!$B$30+1)^'1. Inputs'!$B$7)*('1. Inputs'!$B$9+'1. Inputs'!$B$10*MAX(0,$A73-'1. Inputs'!$C$25-'1. Inputs'!$B$30+1)/(MAX(0,$A73-'1. Inputs'!$C$25-'1. Inputs'!$B$30+1)+'1. Inputs'!$B$11))*'1. Inputs'!$B$13*(1+'1. Inputs'!$B$14*MIN(MAX(0,$A73-'1. Inputs'!$C$25-'1. Inputs'!$B$30+1),'1. Inputs'!$B$15))*('1. Inputs'!$B$31*'5. Diagnosing a miss'!$B$22))</f>
        <v>5045959.7243832</v>
      </c>
      <c r="V73" s="22" t="n">
        <f aca="false">IF(MAX(0,$A73-'1. Inputs'!$C$26-'1. Inputs'!$B$30+1)&lt;=0,0,'1. Inputs'!$B$26*'1. Inputs'!$B$5*MAX(0,$A73-'1. Inputs'!$C$26-'1. Inputs'!$B$30+1)^'1. Inputs'!$B$7/('1. Inputs'!$B$6^'1. Inputs'!$B$7+MAX(0,$A73-'1. Inputs'!$C$26-'1. Inputs'!$B$30+1)^'1. Inputs'!$B$7)*('1. Inputs'!$B$9+'1. Inputs'!$B$10*MAX(0,$A73-'1. Inputs'!$C$26-'1. Inputs'!$B$30+1)/(MAX(0,$A73-'1. Inputs'!$C$26-'1. Inputs'!$B$30+1)+'1. Inputs'!$B$11))*'1. Inputs'!$B$13*(1+'1. Inputs'!$B$14*MIN(MAX(0,$A73-'1. Inputs'!$C$26-'1. Inputs'!$B$30+1),'1. Inputs'!$B$15))*('1. Inputs'!$B$31*'5. Diagnosing a miss'!$B$22))</f>
        <v>2189010.35753117</v>
      </c>
      <c r="W73" s="22" t="n">
        <f aca="false">IF(MAX(0,$A73-'1. Inputs'!$C$27-'1. Inputs'!$B$30+1)&lt;=0,0,'1. Inputs'!$B$27*'1. Inputs'!$B$5*MAX(0,$A73-'1. Inputs'!$C$27-'1. Inputs'!$B$30+1)^'1. Inputs'!$B$7/('1. Inputs'!$B$6^'1. Inputs'!$B$7+MAX(0,$A73-'1. Inputs'!$C$27-'1. Inputs'!$B$30+1)^'1. Inputs'!$B$7)*('1. Inputs'!$B$9+'1. Inputs'!$B$10*MAX(0,$A73-'1. Inputs'!$C$27-'1. Inputs'!$B$30+1)/(MAX(0,$A73-'1. Inputs'!$C$27-'1. Inputs'!$B$30+1)+'1. Inputs'!$B$11))*'1. Inputs'!$B$13*(1+'1. Inputs'!$B$14*MIN(MAX(0,$A73-'1. Inputs'!$C$27-'1. Inputs'!$B$30+1),'1. Inputs'!$B$15))*('1. Inputs'!$B$31*'5. Diagnosing a miss'!$B$22))</f>
        <v>1560580.15135135</v>
      </c>
      <c r="X73" s="22" t="n">
        <f aca="false">SUM(T73:W73)</f>
        <v>12606329.6998469</v>
      </c>
      <c r="Y73" s="22" t="n">
        <f aca="false">IF($A73=MAX('1. Inputs'!$B$17,1),'1. Inputs'!$B$3,0)+IF($A73-'1. Inputs'!$B$17&gt;=1,INDEX(X$3:X$86,$A73-'1. Inputs'!$B$17),0)</f>
        <v>12299152.636296</v>
      </c>
      <c r="Z73" s="22" t="n">
        <f aca="false">Z72*(1-'1. Inputs'!$B$18)+Y73</f>
        <v>439735701.961687</v>
      </c>
      <c r="AA73" s="22" t="n">
        <f aca="false">Z73*'1. Inputs'!$B$18</f>
        <v>4397357.01961687</v>
      </c>
      <c r="AB73" s="22" t="n">
        <f aca="false">AB72+X73-AA73</f>
        <v>585084639.323535</v>
      </c>
      <c r="AC73" s="22" t="n">
        <f aca="false">IF(MAX(0,$A73-'1. Inputs'!$C$24-('1. Inputs'!$B$30+'5. Diagnosing a miss'!$B$23)+1)&lt;=0,0,'1. Inputs'!$B$24*'1. Inputs'!$B$5*MAX(0,$A73-'1. Inputs'!$C$24-('1. Inputs'!$B$30+'5. Diagnosing a miss'!$B$23)+1)^'1. Inputs'!$B$7/('1. Inputs'!$B$6^'1. Inputs'!$B$7+MAX(0,$A73-'1. Inputs'!$C$24-('1. Inputs'!$B$30+'5. Diagnosing a miss'!$B$23)+1)^'1. Inputs'!$B$7)*('1. Inputs'!$B$9+'1. Inputs'!$B$10*MAX(0,$A73-'1. Inputs'!$C$24-('1. Inputs'!$B$30+'5. Diagnosing a miss'!$B$23)+1)/(MAX(0,$A73-'1. Inputs'!$C$24-('1. Inputs'!$B$30+'5. Diagnosing a miss'!$B$23)+1)+'1. Inputs'!$B$11))*'1. Inputs'!$B$13*(1+'1. Inputs'!$B$14*MIN(MAX(0,$A73-'1. Inputs'!$C$24-('1. Inputs'!$B$30+'5. Diagnosing a miss'!$B$23)+1),'1. Inputs'!$B$15))*'1. Inputs'!$B$31)</f>
        <v>4217309.69273885</v>
      </c>
      <c r="AD73" s="22" t="n">
        <f aca="false">IF(MAX(0,$A73-'1. Inputs'!$C$25-('1. Inputs'!$B$30+'5. Diagnosing a miss'!$B$23)+1)&lt;=0,0,'1. Inputs'!$B$25*'1. Inputs'!$B$5*MAX(0,$A73-'1. Inputs'!$C$25-('1. Inputs'!$B$30+'5. Diagnosing a miss'!$B$23)+1)^'1. Inputs'!$B$7/('1. Inputs'!$B$6^'1. Inputs'!$B$7+MAX(0,$A73-'1. Inputs'!$C$25-('1. Inputs'!$B$30+'5. Diagnosing a miss'!$B$23)+1)^'1. Inputs'!$B$7)*('1. Inputs'!$B$9+'1. Inputs'!$B$10*MAX(0,$A73-'1. Inputs'!$C$25-('1. Inputs'!$B$30+'5. Diagnosing a miss'!$B$23)+1)/(MAX(0,$A73-'1. Inputs'!$C$25-('1. Inputs'!$B$30+'5. Diagnosing a miss'!$B$23)+1)+'1. Inputs'!$B$11))*'1. Inputs'!$B$13*(1+'1. Inputs'!$B$14*MIN(MAX(0,$A73-'1. Inputs'!$C$25-('1. Inputs'!$B$30+'5. Diagnosing a miss'!$B$23)+1),'1. Inputs'!$B$15))*'1. Inputs'!$B$31)</f>
        <v>5579428.67027027</v>
      </c>
      <c r="AE73" s="22" t="n">
        <f aca="false">IF(MAX(0,$A73-'1. Inputs'!$C$26-('1. Inputs'!$B$30+'5. Diagnosing a miss'!$B$23)+1)&lt;=0,0,'1. Inputs'!$B$26*'1. Inputs'!$B$5*MAX(0,$A73-'1. Inputs'!$C$26-('1. Inputs'!$B$30+'5. Diagnosing a miss'!$B$23)+1)^'1. Inputs'!$B$7/('1. Inputs'!$B$6^'1. Inputs'!$B$7+MAX(0,$A73-'1. Inputs'!$C$26-('1. Inputs'!$B$30+'5. Diagnosing a miss'!$B$23)+1)^'1. Inputs'!$B$7)*('1. Inputs'!$B$9+'1. Inputs'!$B$10*MAX(0,$A73-'1. Inputs'!$C$26-('1. Inputs'!$B$30+'5. Diagnosing a miss'!$B$23)+1)/(MAX(0,$A73-'1. Inputs'!$C$26-('1. Inputs'!$B$30+'5. Diagnosing a miss'!$B$23)+1)+'1. Inputs'!$B$11))*'1. Inputs'!$B$13*(1+'1. Inputs'!$B$14*MIN(MAX(0,$A73-'1. Inputs'!$C$26-('1. Inputs'!$B$30+'5. Diagnosing a miss'!$B$23)+1),'1. Inputs'!$B$15))*'1. Inputs'!$B$31)</f>
        <v>2417616.85403331</v>
      </c>
      <c r="AF73" s="22" t="n">
        <f aca="false">IF(MAX(0,$A73-'1. Inputs'!$C$27-('1. Inputs'!$B$30+'5. Diagnosing a miss'!$B$23)+1)&lt;=0,0,'1. Inputs'!$B$27*'1. Inputs'!$B$5*MAX(0,$A73-'1. Inputs'!$C$27-('1. Inputs'!$B$30+'5. Diagnosing a miss'!$B$23)+1)^'1. Inputs'!$B$7/('1. Inputs'!$B$6^'1. Inputs'!$B$7+MAX(0,$A73-'1. Inputs'!$C$27-('1. Inputs'!$B$30+'5. Diagnosing a miss'!$B$23)+1)^'1. Inputs'!$B$7)*('1. Inputs'!$B$9+'1. Inputs'!$B$10*MAX(0,$A73-'1. Inputs'!$C$27-('1. Inputs'!$B$30+'5. Diagnosing a miss'!$B$23)+1)/(MAX(0,$A73-'1. Inputs'!$C$27-('1. Inputs'!$B$30+'5. Diagnosing a miss'!$B$23)+1)+'1. Inputs'!$B$11))*'1. Inputs'!$B$13*(1+'1. Inputs'!$B$14*MIN(MAX(0,$A73-'1. Inputs'!$C$27-('1. Inputs'!$B$30+'5. Diagnosing a miss'!$B$23)+1),'1. Inputs'!$B$15))*'1. Inputs'!$B$31)</f>
        <v>1723072.92122925</v>
      </c>
      <c r="AG73" s="22" t="n">
        <f aca="false">SUM(AC73:AF73)</f>
        <v>13937428.1382717</v>
      </c>
      <c r="AH73" s="22" t="n">
        <f aca="false">IF($A73=MAX('1. Inputs'!$B$17,1),'1. Inputs'!$B$3,0)+IF($A73-'1. Inputs'!$B$17&gt;=1,INDEX(AG$3:AG$86,$A73-'1. Inputs'!$B$17),0)</f>
        <v>13546112.2803898</v>
      </c>
      <c r="AI73" s="22" t="n">
        <f aca="false">AI72*(1-'1. Inputs'!$B$18)+AH73</f>
        <v>449806301.92018</v>
      </c>
      <c r="AJ73" s="22" t="n">
        <f aca="false">AI73*'1. Inputs'!$B$18</f>
        <v>4498063.0192018</v>
      </c>
      <c r="AK73" s="22" t="n">
        <f aca="false">AK72+AG73-AJ73</f>
        <v>610621278.46624</v>
      </c>
    </row>
    <row r="74" customFormat="false" ht="15" hidden="false" customHeight="false" outlineLevel="0" collapsed="false">
      <c r="A74" s="7" t="n">
        <v>72</v>
      </c>
      <c r="B74" s="22" t="n">
        <f aca="false">IF(MAX(0,$A74-'1. Inputs'!$C$24-'1. Inputs'!$B$30+1)&lt;=0,0,'1. Inputs'!$B$24*'1. Inputs'!$B$5*MAX(0,$A74-'1. Inputs'!$C$24-'1. Inputs'!$B$30+1)^'1. Inputs'!$B$7/('1. Inputs'!$B$6^'1. Inputs'!$B$7+MAX(0,$A74-'1. Inputs'!$C$24-'1. Inputs'!$B$30+1)^'1. Inputs'!$B$7)*('1. Inputs'!$B$9+'1. Inputs'!$B$10*MAX(0,$A74-'1. Inputs'!$C$24-'1. Inputs'!$B$30+1)/(MAX(0,$A74-'1. Inputs'!$C$24-'1. Inputs'!$B$30+1)+'1. Inputs'!$B$11))*'1. Inputs'!$B$13*(1+'1. Inputs'!$B$14*MIN(MAX(0,$A74-'1. Inputs'!$C$24-'1. Inputs'!$B$30+1),'1. Inputs'!$B$15))*'1. Inputs'!$B$31)</f>
        <v>4239439.44827586</v>
      </c>
      <c r="C74" s="22" t="n">
        <f aca="false">IF(MAX(0,$A74-'1. Inputs'!$C$25-'1. Inputs'!$B$30+1)&lt;=0,0,'1. Inputs'!$B$25*'1. Inputs'!$B$5*MAX(0,$A74-'1. Inputs'!$C$25-'1. Inputs'!$B$30+1)^'1. Inputs'!$B$7/('1. Inputs'!$B$6^'1. Inputs'!$B$7+MAX(0,$A74-'1. Inputs'!$C$25-'1. Inputs'!$B$30+1)^'1. Inputs'!$B$7)*('1. Inputs'!$B$9+'1. Inputs'!$B$10*MAX(0,$A74-'1. Inputs'!$C$25-'1. Inputs'!$B$30+1)/(MAX(0,$A74-'1. Inputs'!$C$25-'1. Inputs'!$B$30+1)+'1. Inputs'!$B$11))*'1. Inputs'!$B$13*(1+'1. Inputs'!$B$14*MIN(MAX(0,$A74-'1. Inputs'!$C$25-'1. Inputs'!$B$30+1),'1. Inputs'!$B$15))*'1. Inputs'!$B$31)</f>
        <v>5615005.74007396</v>
      </c>
      <c r="D74" s="22" t="n">
        <f aca="false">IF(MAX(0,$A74-'1. Inputs'!$C$26-'1. Inputs'!$B$30+1)&lt;=0,0,'1. Inputs'!$B$26*'1. Inputs'!$B$5*MAX(0,$A74-'1. Inputs'!$C$26-'1. Inputs'!$B$30+1)^'1. Inputs'!$B$7/('1. Inputs'!$B$6^'1. Inputs'!$B$7+MAX(0,$A74-'1. Inputs'!$C$26-'1. Inputs'!$B$30+1)^'1. Inputs'!$B$7)*('1. Inputs'!$B$9+'1. Inputs'!$B$10*MAX(0,$A74-'1. Inputs'!$C$26-'1. Inputs'!$B$30+1)/(MAX(0,$A74-'1. Inputs'!$C$26-'1. Inputs'!$B$30+1)+'1. Inputs'!$B$11))*'1. Inputs'!$B$13*(1+'1. Inputs'!$B$14*MIN(MAX(0,$A74-'1. Inputs'!$C$26-'1. Inputs'!$B$30+1),'1. Inputs'!$B$15))*'1. Inputs'!$B$31)</f>
        <v>2436706.99922789</v>
      </c>
      <c r="E74" s="22" t="n">
        <f aca="false">IF(MAX(0,$A74-'1. Inputs'!$C$27-'1. Inputs'!$B$30+1)&lt;=0,0,'1. Inputs'!$B$27*'1. Inputs'!$B$5*MAX(0,$A74-'1. Inputs'!$C$27-'1. Inputs'!$B$30+1)^'1. Inputs'!$B$7/('1. Inputs'!$B$6^'1. Inputs'!$B$7+MAX(0,$A74-'1. Inputs'!$C$27-'1. Inputs'!$B$30+1)^'1. Inputs'!$B$7)*('1. Inputs'!$B$9+'1. Inputs'!$B$10*MAX(0,$A74-'1. Inputs'!$C$27-'1. Inputs'!$B$30+1)/(MAX(0,$A74-'1. Inputs'!$C$27-'1. Inputs'!$B$30+1)+'1. Inputs'!$B$11))*'1. Inputs'!$B$13*(1+'1. Inputs'!$B$14*MIN(MAX(0,$A74-'1. Inputs'!$C$27-'1. Inputs'!$B$30+1),'1. Inputs'!$B$15))*'1. Inputs'!$B$31)</f>
        <v>1737309.80756442</v>
      </c>
      <c r="F74" s="22" t="n">
        <f aca="false">SUM(B74:E74)</f>
        <v>14028461.9951421</v>
      </c>
      <c r="G74" s="22" t="n">
        <f aca="false">IF($A74=MAX('1. Inputs'!$B$17,1),'1. Inputs'!$B$3,0)+IF($A74-'1. Inputs'!$B$17&gt;=1,INDEX(F$3:F$86,$A74-'1. Inputs'!$B$17),0)</f>
        <v>13701771.4052924</v>
      </c>
      <c r="H74" s="22" t="n">
        <f aca="false">H73*(1-'1. Inputs'!$B$18)+G74</f>
        <v>488291766.189969</v>
      </c>
      <c r="I74" s="22" t="n">
        <f aca="false">H74*'1. Inputs'!$B$18</f>
        <v>4882917.66189969</v>
      </c>
      <c r="J74" s="22" t="n">
        <f aca="false">J73+F74-I74</f>
        <v>650120310.652879</v>
      </c>
      <c r="K74" s="22" t="n">
        <f aca="false">IF(MAX(0,$A74-'1. Inputs'!$C$24-'1. Inputs'!$B$30+1)&lt;=0,0,'1. Inputs'!$B$24*('1. Inputs'!$B$5-'5. Diagnosing a miss'!$B$21)*MAX(0,$A74-'1. Inputs'!$C$24-'1. Inputs'!$B$30+1)^'1. Inputs'!$B$7/('1. Inputs'!$B$6^'1. Inputs'!$B$7+MAX(0,$A74-'1. Inputs'!$C$24-'1. Inputs'!$B$30+1)^'1. Inputs'!$B$7)*('1. Inputs'!$B$9+'1. Inputs'!$B$10*MAX(0,$A74-'1. Inputs'!$C$24-'1. Inputs'!$B$30+1)/(MAX(0,$A74-'1. Inputs'!$C$24-'1. Inputs'!$B$30+1)+'1. Inputs'!$B$11))*'1. Inputs'!$B$13*(1+'1. Inputs'!$B$14*MIN(MAX(0,$A74-'1. Inputs'!$C$24-'1. Inputs'!$B$30+1),'1. Inputs'!$B$15))*'1. Inputs'!$B$31)</f>
        <v>3768390.62068966</v>
      </c>
      <c r="L74" s="22" t="n">
        <f aca="false">IF(MAX(0,$A74-'1. Inputs'!$C$25-'1. Inputs'!$B$30+1)&lt;=0,0,'1. Inputs'!$B$25*('1. Inputs'!$B$5-'5. Diagnosing a miss'!$B$21)*MAX(0,$A74-'1. Inputs'!$C$25-'1. Inputs'!$B$30+1)^'1. Inputs'!$B$7/('1. Inputs'!$B$6^'1. Inputs'!$B$7+MAX(0,$A74-'1. Inputs'!$C$25-'1. Inputs'!$B$30+1)^'1. Inputs'!$B$7)*('1. Inputs'!$B$9+'1. Inputs'!$B$10*MAX(0,$A74-'1. Inputs'!$C$25-'1. Inputs'!$B$30+1)/(MAX(0,$A74-'1. Inputs'!$C$25-'1. Inputs'!$B$30+1)+'1. Inputs'!$B$11))*'1. Inputs'!$B$13*(1+'1. Inputs'!$B$14*MIN(MAX(0,$A74-'1. Inputs'!$C$25-'1. Inputs'!$B$30+1),'1. Inputs'!$B$15))*'1. Inputs'!$B$31)</f>
        <v>4991116.21339907</v>
      </c>
      <c r="M74" s="22" t="n">
        <f aca="false">IF(MAX(0,$A74-'1. Inputs'!$C$26-'1. Inputs'!$B$30+1)&lt;=0,0,'1. Inputs'!$B$26*('1. Inputs'!$B$5-'5. Diagnosing a miss'!$B$21)*MAX(0,$A74-'1. Inputs'!$C$26-'1. Inputs'!$B$30+1)^'1. Inputs'!$B$7/('1. Inputs'!$B$6^'1. Inputs'!$B$7+MAX(0,$A74-'1. Inputs'!$C$26-'1. Inputs'!$B$30+1)^'1. Inputs'!$B$7)*('1. Inputs'!$B$9+'1. Inputs'!$B$10*MAX(0,$A74-'1. Inputs'!$C$26-'1. Inputs'!$B$30+1)/(MAX(0,$A74-'1. Inputs'!$C$26-'1. Inputs'!$B$30+1)+'1. Inputs'!$B$11))*'1. Inputs'!$B$13*(1+'1. Inputs'!$B$14*MIN(MAX(0,$A74-'1. Inputs'!$C$26-'1. Inputs'!$B$30+1),'1. Inputs'!$B$15))*'1. Inputs'!$B$31)</f>
        <v>2165961.77709146</v>
      </c>
      <c r="N74" s="22" t="n">
        <f aca="false">IF(MAX(0,$A74-'1. Inputs'!$C$27-'1. Inputs'!$B$30+1)&lt;=0,0,'1. Inputs'!$B$27*('1. Inputs'!$B$5-'5. Diagnosing a miss'!$B$21)*MAX(0,$A74-'1. Inputs'!$C$27-'1. Inputs'!$B$30+1)^'1. Inputs'!$B$7/('1. Inputs'!$B$6^'1. Inputs'!$B$7+MAX(0,$A74-'1. Inputs'!$C$27-'1. Inputs'!$B$30+1)^'1. Inputs'!$B$7)*('1. Inputs'!$B$9+'1. Inputs'!$B$10*MAX(0,$A74-'1. Inputs'!$C$27-'1. Inputs'!$B$30+1)/(MAX(0,$A74-'1. Inputs'!$C$27-'1. Inputs'!$B$30+1)+'1. Inputs'!$B$11))*'1. Inputs'!$B$13*(1+'1. Inputs'!$B$14*MIN(MAX(0,$A74-'1. Inputs'!$C$27-'1. Inputs'!$B$30+1),'1. Inputs'!$B$15))*'1. Inputs'!$B$31)</f>
        <v>1544275.3845017</v>
      </c>
      <c r="O74" s="22" t="n">
        <f aca="false">SUM(K74:N74)</f>
        <v>12469743.9956819</v>
      </c>
      <c r="P74" s="22" t="n">
        <f aca="false">IF($A74=MAX('1. Inputs'!$B$17,1),'1. Inputs'!$B$3,0)+IF($A74-'1. Inputs'!$B$17&gt;=1,INDEX(O$3:O$86,$A74-'1. Inputs'!$B$17),0)</f>
        <v>12179352.3602599</v>
      </c>
      <c r="Q74" s="22" t="n">
        <f aca="false">Q73*(1-'1. Inputs'!$B$18)+P74</f>
        <v>443156402.875374</v>
      </c>
      <c r="R74" s="22" t="n">
        <f aca="false">Q74*'1. Inputs'!$B$18</f>
        <v>4431564.02875374</v>
      </c>
      <c r="S74" s="22" t="n">
        <f aca="false">S73+O74-R74</f>
        <v>586912805.179785</v>
      </c>
      <c r="T74" s="22" t="n">
        <f aca="false">IF(MAX(0,$A74-'1. Inputs'!$C$24-'1. Inputs'!$B$30+1)&lt;=0,0,'1. Inputs'!$B$24*'1. Inputs'!$B$5*MAX(0,$A74-'1. Inputs'!$C$24-'1. Inputs'!$B$30+1)^'1. Inputs'!$B$7/('1. Inputs'!$B$6^'1. Inputs'!$B$7+MAX(0,$A74-'1. Inputs'!$C$24-'1. Inputs'!$B$30+1)^'1. Inputs'!$B$7)*('1. Inputs'!$B$9+'1. Inputs'!$B$10*MAX(0,$A74-'1. Inputs'!$C$24-'1. Inputs'!$B$30+1)/(MAX(0,$A74-'1. Inputs'!$C$24-'1. Inputs'!$B$30+1)+'1. Inputs'!$B$11))*'1. Inputs'!$B$13*(1+'1. Inputs'!$B$14*MIN(MAX(0,$A74-'1. Inputs'!$C$24-'1. Inputs'!$B$30+1),'1. Inputs'!$B$15))*('1. Inputs'!$B$31*'5. Diagnosing a miss'!$B$22))</f>
        <v>3815495.50344828</v>
      </c>
      <c r="U74" s="22" t="n">
        <f aca="false">IF(MAX(0,$A74-'1. Inputs'!$C$25-'1. Inputs'!$B$30+1)&lt;=0,0,'1. Inputs'!$B$25*'1. Inputs'!$B$5*MAX(0,$A74-'1. Inputs'!$C$25-'1. Inputs'!$B$30+1)^'1. Inputs'!$B$7/('1. Inputs'!$B$6^'1. Inputs'!$B$7+MAX(0,$A74-'1. Inputs'!$C$25-'1. Inputs'!$B$30+1)^'1. Inputs'!$B$7)*('1. Inputs'!$B$9+'1. Inputs'!$B$10*MAX(0,$A74-'1. Inputs'!$C$25-'1. Inputs'!$B$30+1)/(MAX(0,$A74-'1. Inputs'!$C$25-'1. Inputs'!$B$30+1)+'1. Inputs'!$B$11))*'1. Inputs'!$B$13*(1+'1. Inputs'!$B$14*MIN(MAX(0,$A74-'1. Inputs'!$C$25-'1. Inputs'!$B$30+1),'1. Inputs'!$B$15))*('1. Inputs'!$B$31*'5. Diagnosing a miss'!$B$22))</f>
        <v>5053505.16606656</v>
      </c>
      <c r="V74" s="22" t="n">
        <f aca="false">IF(MAX(0,$A74-'1. Inputs'!$C$26-'1. Inputs'!$B$30+1)&lt;=0,0,'1. Inputs'!$B$26*'1. Inputs'!$B$5*MAX(0,$A74-'1. Inputs'!$C$26-'1. Inputs'!$B$30+1)^'1. Inputs'!$B$7/('1. Inputs'!$B$6^'1. Inputs'!$B$7+MAX(0,$A74-'1. Inputs'!$C$26-'1. Inputs'!$B$30+1)^'1. Inputs'!$B$7)*('1. Inputs'!$B$9+'1. Inputs'!$B$10*MAX(0,$A74-'1. Inputs'!$C$26-'1. Inputs'!$B$30+1)/(MAX(0,$A74-'1. Inputs'!$C$26-'1. Inputs'!$B$30+1)+'1. Inputs'!$B$11))*'1. Inputs'!$B$13*(1+'1. Inputs'!$B$14*MIN(MAX(0,$A74-'1. Inputs'!$C$26-'1. Inputs'!$B$30+1),'1. Inputs'!$B$15))*('1. Inputs'!$B$31*'5. Diagnosing a miss'!$B$22))</f>
        <v>2193036.2993051</v>
      </c>
      <c r="W74" s="22" t="n">
        <f aca="false">IF(MAX(0,$A74-'1. Inputs'!$C$27-'1. Inputs'!$B$30+1)&lt;=0,0,'1. Inputs'!$B$27*'1. Inputs'!$B$5*MAX(0,$A74-'1. Inputs'!$C$27-'1. Inputs'!$B$30+1)^'1. Inputs'!$B$7/('1. Inputs'!$B$6^'1. Inputs'!$B$7+MAX(0,$A74-'1. Inputs'!$C$27-'1. Inputs'!$B$30+1)^'1. Inputs'!$B$7)*('1. Inputs'!$B$9+'1. Inputs'!$B$10*MAX(0,$A74-'1. Inputs'!$C$27-'1. Inputs'!$B$30+1)/(MAX(0,$A74-'1. Inputs'!$C$27-'1. Inputs'!$B$30+1)+'1. Inputs'!$B$11))*'1. Inputs'!$B$13*(1+'1. Inputs'!$B$14*MIN(MAX(0,$A74-'1. Inputs'!$C$27-'1. Inputs'!$B$30+1),'1. Inputs'!$B$15))*('1. Inputs'!$B$31*'5. Diagnosing a miss'!$B$22))</f>
        <v>1563578.82680798</v>
      </c>
      <c r="X74" s="22" t="n">
        <f aca="false">SUM(T74:W74)</f>
        <v>12625615.7956279</v>
      </c>
      <c r="Y74" s="22" t="n">
        <f aca="false">IF($A74=MAX('1. Inputs'!$B$17,1),'1. Inputs'!$B$3,0)+IF($A74-'1. Inputs'!$B$17&gt;=1,INDEX(X$3:X$86,$A74-'1. Inputs'!$B$17),0)</f>
        <v>12331594.2647632</v>
      </c>
      <c r="Z74" s="22" t="n">
        <f aca="false">Z73*(1-'1. Inputs'!$B$18)+Y74</f>
        <v>447669939.206833</v>
      </c>
      <c r="AA74" s="22" t="n">
        <f aca="false">Z74*'1. Inputs'!$B$18</f>
        <v>4476699.39206833</v>
      </c>
      <c r="AB74" s="22" t="n">
        <f aca="false">AB73+X74-AA74</f>
        <v>593233555.727094</v>
      </c>
      <c r="AC74" s="22" t="n">
        <f aca="false">IF(MAX(0,$A74-'1. Inputs'!$C$24-('1. Inputs'!$B$30+'5. Diagnosing a miss'!$B$23)+1)&lt;=0,0,'1. Inputs'!$B$24*'1. Inputs'!$B$5*MAX(0,$A74-'1. Inputs'!$C$24-('1. Inputs'!$B$30+'5. Diagnosing a miss'!$B$23)+1)^'1. Inputs'!$B$7/('1. Inputs'!$B$6^'1. Inputs'!$B$7+MAX(0,$A74-'1. Inputs'!$C$24-('1. Inputs'!$B$30+'5. Diagnosing a miss'!$B$23)+1)^'1. Inputs'!$B$7)*('1. Inputs'!$B$9+'1. Inputs'!$B$10*MAX(0,$A74-'1. Inputs'!$C$24-('1. Inputs'!$B$30+'5. Diagnosing a miss'!$B$23)+1)/(MAX(0,$A74-'1. Inputs'!$C$24-('1. Inputs'!$B$30+'5. Diagnosing a miss'!$B$23)+1)+'1. Inputs'!$B$11))*'1. Inputs'!$B$13*(1+'1. Inputs'!$B$14*MIN(MAX(0,$A74-'1. Inputs'!$C$24-('1. Inputs'!$B$30+'5. Diagnosing a miss'!$B$23)+1),'1. Inputs'!$B$15))*'1. Inputs'!$B$31)</f>
        <v>4223144.84869565</v>
      </c>
      <c r="AD74" s="22" t="n">
        <f aca="false">IF(MAX(0,$A74-'1. Inputs'!$C$25-('1. Inputs'!$B$30+'5. Diagnosing a miss'!$B$23)+1)&lt;=0,0,'1. Inputs'!$B$25*'1. Inputs'!$B$5*MAX(0,$A74-'1. Inputs'!$C$25-('1. Inputs'!$B$30+'5. Diagnosing a miss'!$B$23)+1)^'1. Inputs'!$B$7/('1. Inputs'!$B$6^'1. Inputs'!$B$7+MAX(0,$A74-'1. Inputs'!$C$25-('1. Inputs'!$B$30+'5. Diagnosing a miss'!$B$23)+1)^'1. Inputs'!$B$7)*('1. Inputs'!$B$9+'1. Inputs'!$B$10*MAX(0,$A74-'1. Inputs'!$C$25-('1. Inputs'!$B$30+'5. Diagnosing a miss'!$B$23)+1)/(MAX(0,$A74-'1. Inputs'!$C$25-('1. Inputs'!$B$30+'5. Diagnosing a miss'!$B$23)+1)+'1. Inputs'!$B$11))*'1. Inputs'!$B$13*(1+'1. Inputs'!$B$14*MIN(MAX(0,$A74-'1. Inputs'!$C$25-('1. Inputs'!$B$30+'5. Diagnosing a miss'!$B$23)+1),'1. Inputs'!$B$15))*'1. Inputs'!$B$31)</f>
        <v>5588852.92772133</v>
      </c>
      <c r="AE74" s="22" t="n">
        <f aca="false">IF(MAX(0,$A74-'1. Inputs'!$C$26-('1. Inputs'!$B$30+'5. Diagnosing a miss'!$B$23)+1)&lt;=0,0,'1. Inputs'!$B$26*'1. Inputs'!$B$5*MAX(0,$A74-'1. Inputs'!$C$26-('1. Inputs'!$B$30+'5. Diagnosing a miss'!$B$23)+1)^'1. Inputs'!$B$7/('1. Inputs'!$B$6^'1. Inputs'!$B$7+MAX(0,$A74-'1. Inputs'!$C$26-('1. Inputs'!$B$30+'5. Diagnosing a miss'!$B$23)+1)^'1. Inputs'!$B$7)*('1. Inputs'!$B$9+'1. Inputs'!$B$10*MAX(0,$A74-'1. Inputs'!$C$26-('1. Inputs'!$B$30+'5. Diagnosing a miss'!$B$23)+1)/(MAX(0,$A74-'1. Inputs'!$C$26-('1. Inputs'!$B$30+'5. Diagnosing a miss'!$B$23)+1)+'1. Inputs'!$B$11))*'1. Inputs'!$B$13*(1+'1. Inputs'!$B$14*MIN(MAX(0,$A74-'1. Inputs'!$C$26-('1. Inputs'!$B$30+'5. Diagnosing a miss'!$B$23)+1),'1. Inputs'!$B$15))*'1. Inputs'!$B$31)</f>
        <v>2422701.1668993</v>
      </c>
      <c r="AF74" s="22" t="n">
        <f aca="false">IF(MAX(0,$A74-'1. Inputs'!$C$27-('1. Inputs'!$B$30+'5. Diagnosing a miss'!$B$23)+1)&lt;=0,0,'1. Inputs'!$B$27*'1. Inputs'!$B$5*MAX(0,$A74-'1. Inputs'!$C$27-('1. Inputs'!$B$30+'5. Diagnosing a miss'!$B$23)+1)^'1. Inputs'!$B$7/('1. Inputs'!$B$6^'1. Inputs'!$B$7+MAX(0,$A74-'1. Inputs'!$C$27-('1. Inputs'!$B$30+'5. Diagnosing a miss'!$B$23)+1)^'1. Inputs'!$B$7)*('1. Inputs'!$B$9+'1. Inputs'!$B$10*MAX(0,$A74-'1. Inputs'!$C$27-('1. Inputs'!$B$30+'5. Diagnosing a miss'!$B$23)+1)/(MAX(0,$A74-'1. Inputs'!$C$27-('1. Inputs'!$B$30+'5. Diagnosing a miss'!$B$23)+1)+'1. Inputs'!$B$11))*'1. Inputs'!$B$13*(1+'1. Inputs'!$B$14*MIN(MAX(0,$A74-'1. Inputs'!$C$27-('1. Inputs'!$B$30+'5. Diagnosing a miss'!$B$23)+1),'1. Inputs'!$B$15))*'1. Inputs'!$B$31)</f>
        <v>1726869.18145236</v>
      </c>
      <c r="AG74" s="22" t="n">
        <f aca="false">SUM(AC74:AF74)</f>
        <v>13961568.1247686</v>
      </c>
      <c r="AH74" s="22" t="n">
        <f aca="false">IF($A74=MAX('1. Inputs'!$B$17,1),'1. Inputs'!$B$3,0)+IF($A74-'1. Inputs'!$B$17&gt;=1,INDEX(AG$3:AG$86,$A74-'1. Inputs'!$B$17),0)</f>
        <v>13588037.0702705</v>
      </c>
      <c r="AI74" s="22" t="n">
        <f aca="false">AI73*(1-'1. Inputs'!$B$18)+AH74</f>
        <v>458896275.971248</v>
      </c>
      <c r="AJ74" s="22" t="n">
        <f aca="false">AI74*'1. Inputs'!$B$18</f>
        <v>4588962.75971249</v>
      </c>
      <c r="AK74" s="22" t="n">
        <f aca="false">AK73+AG74-AJ74</f>
        <v>619993883.831296</v>
      </c>
    </row>
    <row r="75" customFormat="false" ht="15" hidden="false" customHeight="false" outlineLevel="0" collapsed="false">
      <c r="A75" s="7" t="n">
        <v>73</v>
      </c>
      <c r="B75" s="22" t="n">
        <f aca="false">IF(MAX(0,$A75-'1. Inputs'!$C$24-'1. Inputs'!$B$30+1)&lt;=0,0,'1. Inputs'!$B$24*'1. Inputs'!$B$5*MAX(0,$A75-'1. Inputs'!$C$24-'1. Inputs'!$B$30+1)^'1. Inputs'!$B$7/('1. Inputs'!$B$6^'1. Inputs'!$B$7+MAX(0,$A75-'1. Inputs'!$C$24-'1. Inputs'!$B$30+1)^'1. Inputs'!$B$7)*('1. Inputs'!$B$9+'1. Inputs'!$B$10*MAX(0,$A75-'1. Inputs'!$C$24-'1. Inputs'!$B$30+1)/(MAX(0,$A75-'1. Inputs'!$C$24-'1. Inputs'!$B$30+1)+'1. Inputs'!$B$11))*'1. Inputs'!$B$13*(1+'1. Inputs'!$B$14*MIN(MAX(0,$A75-'1. Inputs'!$C$24-'1. Inputs'!$B$30+1),'1. Inputs'!$B$15))*'1. Inputs'!$B$31)</f>
        <v>4244500.64935703</v>
      </c>
      <c r="C75" s="22" t="n">
        <f aca="false">IF(MAX(0,$A75-'1. Inputs'!$C$25-'1. Inputs'!$B$30+1)&lt;=0,0,'1. Inputs'!$B$25*'1. Inputs'!$B$5*MAX(0,$A75-'1. Inputs'!$C$25-'1. Inputs'!$B$30+1)^'1. Inputs'!$B$7/('1. Inputs'!$B$6^'1. Inputs'!$B$7+MAX(0,$A75-'1. Inputs'!$C$25-'1. Inputs'!$B$30+1)^'1. Inputs'!$B$7)*('1. Inputs'!$B$9+'1. Inputs'!$B$10*MAX(0,$A75-'1. Inputs'!$C$25-'1. Inputs'!$B$30+1)/(MAX(0,$A75-'1. Inputs'!$C$25-'1. Inputs'!$B$30+1)+'1. Inputs'!$B$11))*'1. Inputs'!$B$13*(1+'1. Inputs'!$B$14*MIN(MAX(0,$A75-'1. Inputs'!$C$25-'1. Inputs'!$B$30+1),'1. Inputs'!$B$15))*'1. Inputs'!$B$31)</f>
        <v>5623079.59031847</v>
      </c>
      <c r="D75" s="22" t="n">
        <f aca="false">IF(MAX(0,$A75-'1. Inputs'!$C$26-'1. Inputs'!$B$30+1)&lt;=0,0,'1. Inputs'!$B$26*'1. Inputs'!$B$5*MAX(0,$A75-'1. Inputs'!$C$26-'1. Inputs'!$B$30+1)^'1. Inputs'!$B$7/('1. Inputs'!$B$6^'1. Inputs'!$B$7+MAX(0,$A75-'1. Inputs'!$C$26-'1. Inputs'!$B$30+1)^'1. Inputs'!$B$7)*('1. Inputs'!$B$9+'1. Inputs'!$B$10*MAX(0,$A75-'1. Inputs'!$C$26-'1. Inputs'!$B$30+1)/(MAX(0,$A75-'1. Inputs'!$C$26-'1. Inputs'!$B$30+1)+'1. Inputs'!$B$11))*'1. Inputs'!$B$13*(1+'1. Inputs'!$B$14*MIN(MAX(0,$A75-'1. Inputs'!$C$26-'1. Inputs'!$B$30+1),'1. Inputs'!$B$15))*'1. Inputs'!$B$31)</f>
        <v>2441000.04324324</v>
      </c>
      <c r="E75" s="22" t="n">
        <f aca="false">IF(MAX(0,$A75-'1. Inputs'!$C$27-'1. Inputs'!$B$30+1)&lt;=0,0,'1. Inputs'!$B$27*'1. Inputs'!$B$5*MAX(0,$A75-'1. Inputs'!$C$27-'1. Inputs'!$B$30+1)^'1. Inputs'!$B$7/('1. Inputs'!$B$6^'1. Inputs'!$B$7+MAX(0,$A75-'1. Inputs'!$C$27-'1. Inputs'!$B$30+1)^'1. Inputs'!$B$7)*('1. Inputs'!$B$9+'1. Inputs'!$B$10*MAX(0,$A75-'1. Inputs'!$C$27-'1. Inputs'!$B$30+1)/(MAX(0,$A75-'1. Inputs'!$C$27-'1. Inputs'!$B$30+1)+'1. Inputs'!$B$11))*'1. Inputs'!$B$13*(1+'1. Inputs'!$B$14*MIN(MAX(0,$A75-'1. Inputs'!$C$27-'1. Inputs'!$B$30+1),'1. Inputs'!$B$15))*'1. Inputs'!$B$31)</f>
        <v>1740504.99944849</v>
      </c>
      <c r="F75" s="22" t="n">
        <f aca="false">SUM(B75:E75)</f>
        <v>14049085.2823672</v>
      </c>
      <c r="G75" s="22" t="n">
        <f aca="false">IF($A75=MAX('1. Inputs'!$B$17,1),'1. Inputs'!$B$3,0)+IF($A75-'1. Inputs'!$B$17&gt;=1,INDEX(F$3:F$86,$A75-'1. Inputs'!$B$17),0)</f>
        <v>13736120.6089053</v>
      </c>
      <c r="H75" s="22" t="n">
        <f aca="false">H74*(1-'1. Inputs'!$B$18)+G75</f>
        <v>497144969.136974</v>
      </c>
      <c r="I75" s="22" t="n">
        <f aca="false">H75*'1. Inputs'!$B$18</f>
        <v>4971449.69136974</v>
      </c>
      <c r="J75" s="22" t="n">
        <f aca="false">J74+F75-I75</f>
        <v>659197946.243877</v>
      </c>
      <c r="K75" s="22" t="n">
        <f aca="false">IF(MAX(0,$A75-'1. Inputs'!$C$24-'1. Inputs'!$B$30+1)&lt;=0,0,'1. Inputs'!$B$24*('1. Inputs'!$B$5-'5. Diagnosing a miss'!$B$21)*MAX(0,$A75-'1. Inputs'!$C$24-'1. Inputs'!$B$30+1)^'1. Inputs'!$B$7/('1. Inputs'!$B$6^'1. Inputs'!$B$7+MAX(0,$A75-'1. Inputs'!$C$24-'1. Inputs'!$B$30+1)^'1. Inputs'!$B$7)*('1. Inputs'!$B$9+'1. Inputs'!$B$10*MAX(0,$A75-'1. Inputs'!$C$24-'1. Inputs'!$B$30+1)/(MAX(0,$A75-'1. Inputs'!$C$24-'1. Inputs'!$B$30+1)+'1. Inputs'!$B$11))*'1. Inputs'!$B$13*(1+'1. Inputs'!$B$14*MIN(MAX(0,$A75-'1. Inputs'!$C$24-'1. Inputs'!$B$30+1),'1. Inputs'!$B$15))*'1. Inputs'!$B$31)</f>
        <v>3772889.46609514</v>
      </c>
      <c r="L75" s="22" t="n">
        <f aca="false">IF(MAX(0,$A75-'1. Inputs'!$C$25-'1. Inputs'!$B$30+1)&lt;=0,0,'1. Inputs'!$B$25*('1. Inputs'!$B$5-'5. Diagnosing a miss'!$B$21)*MAX(0,$A75-'1. Inputs'!$C$25-'1. Inputs'!$B$30+1)^'1. Inputs'!$B$7/('1. Inputs'!$B$6^'1. Inputs'!$B$7+MAX(0,$A75-'1. Inputs'!$C$25-'1. Inputs'!$B$30+1)^'1. Inputs'!$B$7)*('1. Inputs'!$B$9+'1. Inputs'!$B$10*MAX(0,$A75-'1. Inputs'!$C$25-'1. Inputs'!$B$30+1)/(MAX(0,$A75-'1. Inputs'!$C$25-'1. Inputs'!$B$30+1)+'1. Inputs'!$B$11))*'1. Inputs'!$B$13*(1+'1. Inputs'!$B$14*MIN(MAX(0,$A75-'1. Inputs'!$C$25-'1. Inputs'!$B$30+1),'1. Inputs'!$B$15))*'1. Inputs'!$B$31)</f>
        <v>4998292.96917197</v>
      </c>
      <c r="M75" s="22" t="n">
        <f aca="false">IF(MAX(0,$A75-'1. Inputs'!$C$26-'1. Inputs'!$B$30+1)&lt;=0,0,'1. Inputs'!$B$26*('1. Inputs'!$B$5-'5. Diagnosing a miss'!$B$21)*MAX(0,$A75-'1. Inputs'!$C$26-'1. Inputs'!$B$30+1)^'1. Inputs'!$B$7/('1. Inputs'!$B$6^'1. Inputs'!$B$7+MAX(0,$A75-'1. Inputs'!$C$26-'1. Inputs'!$B$30+1)^'1. Inputs'!$B$7)*('1. Inputs'!$B$9+'1. Inputs'!$B$10*MAX(0,$A75-'1. Inputs'!$C$26-'1. Inputs'!$B$30+1)/(MAX(0,$A75-'1. Inputs'!$C$26-'1. Inputs'!$B$30+1)+'1. Inputs'!$B$11))*'1. Inputs'!$B$13*(1+'1. Inputs'!$B$14*MIN(MAX(0,$A75-'1. Inputs'!$C$26-'1. Inputs'!$B$30+1),'1. Inputs'!$B$15))*'1. Inputs'!$B$31)</f>
        <v>2169777.81621622</v>
      </c>
      <c r="N75" s="22" t="n">
        <f aca="false">IF(MAX(0,$A75-'1. Inputs'!$C$27-'1. Inputs'!$B$30+1)&lt;=0,0,'1. Inputs'!$B$27*('1. Inputs'!$B$5-'5. Diagnosing a miss'!$B$21)*MAX(0,$A75-'1. Inputs'!$C$27-'1. Inputs'!$B$30+1)^'1. Inputs'!$B$7/('1. Inputs'!$B$6^'1. Inputs'!$B$7+MAX(0,$A75-'1. Inputs'!$C$27-'1. Inputs'!$B$30+1)^'1. Inputs'!$B$7)*('1. Inputs'!$B$9+'1. Inputs'!$B$10*MAX(0,$A75-'1. Inputs'!$C$27-'1. Inputs'!$B$30+1)/(MAX(0,$A75-'1. Inputs'!$C$27-'1. Inputs'!$B$30+1)+'1. Inputs'!$B$11))*'1. Inputs'!$B$13*(1+'1. Inputs'!$B$14*MIN(MAX(0,$A75-'1. Inputs'!$C$27-'1. Inputs'!$B$30+1),'1. Inputs'!$B$15))*'1. Inputs'!$B$31)</f>
        <v>1547115.55506533</v>
      </c>
      <c r="O75" s="22" t="n">
        <f aca="false">SUM(K75:N75)</f>
        <v>12488075.8065487</v>
      </c>
      <c r="P75" s="22" t="n">
        <f aca="false">IF($A75=MAX('1. Inputs'!$B$17,1),'1. Inputs'!$B$3,0)+IF($A75-'1. Inputs'!$B$17&gt;=1,INDEX(O$3:O$86,$A75-'1. Inputs'!$B$17),0)</f>
        <v>12209884.9856936</v>
      </c>
      <c r="Q75" s="22" t="n">
        <f aca="false">Q74*(1-'1. Inputs'!$B$18)+P75</f>
        <v>450934723.832314</v>
      </c>
      <c r="R75" s="22" t="n">
        <f aca="false">Q75*'1. Inputs'!$B$18</f>
        <v>4509347.23832314</v>
      </c>
      <c r="S75" s="22" t="n">
        <f aca="false">S74+O75-R75</f>
        <v>594891533.74801</v>
      </c>
      <c r="T75" s="22" t="n">
        <f aca="false">IF(MAX(0,$A75-'1. Inputs'!$C$24-'1. Inputs'!$B$30+1)&lt;=0,0,'1. Inputs'!$B$24*'1. Inputs'!$B$5*MAX(0,$A75-'1. Inputs'!$C$24-'1. Inputs'!$B$30+1)^'1. Inputs'!$B$7/('1. Inputs'!$B$6^'1. Inputs'!$B$7+MAX(0,$A75-'1. Inputs'!$C$24-'1. Inputs'!$B$30+1)^'1. Inputs'!$B$7)*('1. Inputs'!$B$9+'1. Inputs'!$B$10*MAX(0,$A75-'1. Inputs'!$C$24-'1. Inputs'!$B$30+1)/(MAX(0,$A75-'1. Inputs'!$C$24-'1. Inputs'!$B$30+1)+'1. Inputs'!$B$11))*'1. Inputs'!$B$13*(1+'1. Inputs'!$B$14*MIN(MAX(0,$A75-'1. Inputs'!$C$24-'1. Inputs'!$B$30+1),'1. Inputs'!$B$15))*('1. Inputs'!$B$31*'5. Diagnosing a miss'!$B$22))</f>
        <v>3820050.58442133</v>
      </c>
      <c r="U75" s="22" t="n">
        <f aca="false">IF(MAX(0,$A75-'1. Inputs'!$C$25-'1. Inputs'!$B$30+1)&lt;=0,0,'1. Inputs'!$B$25*'1. Inputs'!$B$5*MAX(0,$A75-'1. Inputs'!$C$25-'1. Inputs'!$B$30+1)^'1. Inputs'!$B$7/('1. Inputs'!$B$6^'1. Inputs'!$B$7+MAX(0,$A75-'1. Inputs'!$C$25-'1. Inputs'!$B$30+1)^'1. Inputs'!$B$7)*('1. Inputs'!$B$9+'1. Inputs'!$B$10*MAX(0,$A75-'1. Inputs'!$C$25-'1. Inputs'!$B$30+1)/(MAX(0,$A75-'1. Inputs'!$C$25-'1. Inputs'!$B$30+1)+'1. Inputs'!$B$11))*'1. Inputs'!$B$13*(1+'1. Inputs'!$B$14*MIN(MAX(0,$A75-'1. Inputs'!$C$25-'1. Inputs'!$B$30+1),'1. Inputs'!$B$15))*('1. Inputs'!$B$31*'5. Diagnosing a miss'!$B$22))</f>
        <v>5060771.63128662</v>
      </c>
      <c r="V75" s="22" t="n">
        <f aca="false">IF(MAX(0,$A75-'1. Inputs'!$C$26-'1. Inputs'!$B$30+1)&lt;=0,0,'1. Inputs'!$B$26*'1. Inputs'!$B$5*MAX(0,$A75-'1. Inputs'!$C$26-'1. Inputs'!$B$30+1)^'1. Inputs'!$B$7/('1. Inputs'!$B$6^'1. Inputs'!$B$7+MAX(0,$A75-'1. Inputs'!$C$26-'1. Inputs'!$B$30+1)^'1. Inputs'!$B$7)*('1. Inputs'!$B$9+'1. Inputs'!$B$10*MAX(0,$A75-'1. Inputs'!$C$26-'1. Inputs'!$B$30+1)/(MAX(0,$A75-'1. Inputs'!$C$26-'1. Inputs'!$B$30+1)+'1. Inputs'!$B$11))*'1. Inputs'!$B$13*(1+'1. Inputs'!$B$14*MIN(MAX(0,$A75-'1. Inputs'!$C$26-'1. Inputs'!$B$30+1),'1. Inputs'!$B$15))*('1. Inputs'!$B$31*'5. Diagnosing a miss'!$B$22))</f>
        <v>2196900.03891892</v>
      </c>
      <c r="W75" s="22" t="n">
        <f aca="false">IF(MAX(0,$A75-'1. Inputs'!$C$27-'1. Inputs'!$B$30+1)&lt;=0,0,'1. Inputs'!$B$27*'1. Inputs'!$B$5*MAX(0,$A75-'1. Inputs'!$C$27-'1. Inputs'!$B$30+1)^'1. Inputs'!$B$7/('1. Inputs'!$B$6^'1. Inputs'!$B$7+MAX(0,$A75-'1. Inputs'!$C$27-'1. Inputs'!$B$30+1)^'1. Inputs'!$B$7)*('1. Inputs'!$B$9+'1. Inputs'!$B$10*MAX(0,$A75-'1. Inputs'!$C$27-'1. Inputs'!$B$30+1)/(MAX(0,$A75-'1. Inputs'!$C$27-'1. Inputs'!$B$30+1)+'1. Inputs'!$B$11))*'1. Inputs'!$B$13*(1+'1. Inputs'!$B$14*MIN(MAX(0,$A75-'1. Inputs'!$C$27-'1. Inputs'!$B$30+1),'1. Inputs'!$B$15))*('1. Inputs'!$B$31*'5. Diagnosing a miss'!$B$22))</f>
        <v>1566454.49950364</v>
      </c>
      <c r="X75" s="22" t="n">
        <f aca="false">SUM(T75:W75)</f>
        <v>12644176.7541305</v>
      </c>
      <c r="Y75" s="22" t="n">
        <f aca="false">IF($A75=MAX('1. Inputs'!$B$17,1),'1. Inputs'!$B$3,0)+IF($A75-'1. Inputs'!$B$17&gt;=1,INDEX(X$3:X$86,$A75-'1. Inputs'!$B$17),0)</f>
        <v>12362508.5480147</v>
      </c>
      <c r="Z75" s="22" t="n">
        <f aca="false">Z74*(1-'1. Inputs'!$B$18)+Y75</f>
        <v>455555748.36278</v>
      </c>
      <c r="AA75" s="22" t="n">
        <f aca="false">Z75*'1. Inputs'!$B$18</f>
        <v>4555557.4836278</v>
      </c>
      <c r="AB75" s="22" t="n">
        <f aca="false">AB74+X75-AA75</f>
        <v>601322174.997597</v>
      </c>
      <c r="AC75" s="22" t="n">
        <f aca="false">IF(MAX(0,$A75-'1. Inputs'!$C$24-('1. Inputs'!$B$30+'5. Diagnosing a miss'!$B$23)+1)&lt;=0,0,'1. Inputs'!$B$24*'1. Inputs'!$B$5*MAX(0,$A75-'1. Inputs'!$C$24-('1. Inputs'!$B$30+'5. Diagnosing a miss'!$B$23)+1)^'1. Inputs'!$B$7/('1. Inputs'!$B$6^'1. Inputs'!$B$7+MAX(0,$A75-'1. Inputs'!$C$24-('1. Inputs'!$B$30+'5. Diagnosing a miss'!$B$23)+1)^'1. Inputs'!$B$7)*('1. Inputs'!$B$9+'1. Inputs'!$B$10*MAX(0,$A75-'1. Inputs'!$C$24-('1. Inputs'!$B$30+'5. Diagnosing a miss'!$B$23)+1)/(MAX(0,$A75-'1. Inputs'!$C$24-('1. Inputs'!$B$30+'5. Diagnosing a miss'!$B$23)+1)+'1. Inputs'!$B$11))*'1. Inputs'!$B$13*(1+'1. Inputs'!$B$14*MIN(MAX(0,$A75-'1. Inputs'!$C$24-('1. Inputs'!$B$30+'5. Diagnosing a miss'!$B$23)+1),'1. Inputs'!$B$15))*'1. Inputs'!$B$31)</f>
        <v>4228771.1977017</v>
      </c>
      <c r="AD75" s="22" t="n">
        <f aca="false">IF(MAX(0,$A75-'1. Inputs'!$C$25-('1. Inputs'!$B$30+'5. Diagnosing a miss'!$B$23)+1)&lt;=0,0,'1. Inputs'!$B$25*'1. Inputs'!$B$5*MAX(0,$A75-'1. Inputs'!$C$25-('1. Inputs'!$B$30+'5. Diagnosing a miss'!$B$23)+1)^'1. Inputs'!$B$7/('1. Inputs'!$B$6^'1. Inputs'!$B$7+MAX(0,$A75-'1. Inputs'!$C$25-('1. Inputs'!$B$30+'5. Diagnosing a miss'!$B$23)+1)^'1. Inputs'!$B$7)*('1. Inputs'!$B$9+'1. Inputs'!$B$10*MAX(0,$A75-'1. Inputs'!$C$25-('1. Inputs'!$B$30+'5. Diagnosing a miss'!$B$23)+1)/(MAX(0,$A75-'1. Inputs'!$C$25-('1. Inputs'!$B$30+'5. Diagnosing a miss'!$B$23)+1)+'1. Inputs'!$B$11))*'1. Inputs'!$B$13*(1+'1. Inputs'!$B$14*MIN(MAX(0,$A75-'1. Inputs'!$C$25-('1. Inputs'!$B$30+'5. Diagnosing a miss'!$B$23)+1),'1. Inputs'!$B$15))*'1. Inputs'!$B$31)</f>
        <v>5597910.58976375</v>
      </c>
      <c r="AE75" s="22" t="n">
        <f aca="false">IF(MAX(0,$A75-'1. Inputs'!$C$26-('1. Inputs'!$B$30+'5. Diagnosing a miss'!$B$23)+1)&lt;=0,0,'1. Inputs'!$B$26*'1. Inputs'!$B$5*MAX(0,$A75-'1. Inputs'!$C$26-('1. Inputs'!$B$30+'5. Diagnosing a miss'!$B$23)+1)^'1. Inputs'!$B$7/('1. Inputs'!$B$6^'1. Inputs'!$B$7+MAX(0,$A75-'1. Inputs'!$C$26-('1. Inputs'!$B$30+'5. Diagnosing a miss'!$B$23)+1)^'1. Inputs'!$B$7)*('1. Inputs'!$B$9+'1. Inputs'!$B$10*MAX(0,$A75-'1. Inputs'!$C$26-('1. Inputs'!$B$30+'5. Diagnosing a miss'!$B$23)+1)/(MAX(0,$A75-'1. Inputs'!$C$26-('1. Inputs'!$B$30+'5. Diagnosing a miss'!$B$23)+1)+'1. Inputs'!$B$11))*'1. Inputs'!$B$13*(1+'1. Inputs'!$B$14*MIN(MAX(0,$A75-'1. Inputs'!$C$26-('1. Inputs'!$B$30+'5. Diagnosing a miss'!$B$23)+1),'1. Inputs'!$B$15))*'1. Inputs'!$B$31)</f>
        <v>2427569.12432432</v>
      </c>
      <c r="AF75" s="22" t="n">
        <f aca="false">IF(MAX(0,$A75-'1. Inputs'!$C$27-('1. Inputs'!$B$30+'5. Diagnosing a miss'!$B$23)+1)&lt;=0,0,'1. Inputs'!$B$27*'1. Inputs'!$B$5*MAX(0,$A75-'1. Inputs'!$C$27-('1. Inputs'!$B$30+'5. Diagnosing a miss'!$B$23)+1)^'1. Inputs'!$B$7/('1. Inputs'!$B$6^'1. Inputs'!$B$7+MAX(0,$A75-'1. Inputs'!$C$27-('1. Inputs'!$B$30+'5. Diagnosing a miss'!$B$23)+1)^'1. Inputs'!$B$7)*('1. Inputs'!$B$9+'1. Inputs'!$B$10*MAX(0,$A75-'1. Inputs'!$C$27-('1. Inputs'!$B$30+'5. Diagnosing a miss'!$B$23)+1)/(MAX(0,$A75-'1. Inputs'!$C$27-('1. Inputs'!$B$30+'5. Diagnosing a miss'!$B$23)+1)+'1. Inputs'!$B$11))*'1. Inputs'!$B$13*(1+'1. Inputs'!$B$14*MIN(MAX(0,$A75-'1. Inputs'!$C$27-('1. Inputs'!$B$30+'5. Diagnosing a miss'!$B$23)+1),'1. Inputs'!$B$15))*'1. Inputs'!$B$31)</f>
        <v>1730500.8334995</v>
      </c>
      <c r="AG75" s="22" t="n">
        <f aca="false">SUM(AC75:AF75)</f>
        <v>13984751.7452893</v>
      </c>
      <c r="AH75" s="22" t="n">
        <f aca="false">IF($A75=MAX('1. Inputs'!$B$17,1),'1. Inputs'!$B$3,0)+IF($A75-'1. Inputs'!$B$17&gt;=1,INDEX(AG$3:AG$86,$A75-'1. Inputs'!$B$17),0)</f>
        <v>13627858.6784789</v>
      </c>
      <c r="AI75" s="22" t="n">
        <f aca="false">AI74*(1-'1. Inputs'!$B$18)+AH75</f>
        <v>467935171.890015</v>
      </c>
      <c r="AJ75" s="22" t="n">
        <f aca="false">AI75*'1. Inputs'!$B$18</f>
        <v>4679351.71890015</v>
      </c>
      <c r="AK75" s="22" t="n">
        <f aca="false">AK74+AG75-AJ75</f>
        <v>629299283.857685</v>
      </c>
    </row>
    <row r="76" customFormat="false" ht="15" hidden="false" customHeight="false" outlineLevel="0" collapsed="false">
      <c r="A76" s="7" t="n">
        <v>74</v>
      </c>
      <c r="B76" s="22" t="n">
        <f aca="false">IF(MAX(0,$A76-'1. Inputs'!$C$24-'1. Inputs'!$B$30+1)&lt;=0,0,'1. Inputs'!$B$24*'1. Inputs'!$B$5*MAX(0,$A76-'1. Inputs'!$C$24-'1. Inputs'!$B$30+1)^'1. Inputs'!$B$7/('1. Inputs'!$B$6^'1. Inputs'!$B$7+MAX(0,$A76-'1. Inputs'!$C$24-'1. Inputs'!$B$30+1)^'1. Inputs'!$B$7)*('1. Inputs'!$B$9+'1. Inputs'!$B$10*MAX(0,$A76-'1. Inputs'!$C$24-'1. Inputs'!$B$30+1)/(MAX(0,$A76-'1. Inputs'!$C$24-'1. Inputs'!$B$30+1)+'1. Inputs'!$B$11))*'1. Inputs'!$B$13*(1+'1. Inputs'!$B$14*MIN(MAX(0,$A76-'1. Inputs'!$C$24-'1. Inputs'!$B$30+1),'1. Inputs'!$B$15))*'1. Inputs'!$B$31)</f>
        <v>4249391.747158</v>
      </c>
      <c r="C76" s="22" t="n">
        <f aca="false">IF(MAX(0,$A76-'1. Inputs'!$C$25-'1. Inputs'!$B$30+1)&lt;=0,0,'1. Inputs'!$B$25*'1. Inputs'!$B$5*MAX(0,$A76-'1. Inputs'!$C$25-'1. Inputs'!$B$30+1)^'1. Inputs'!$B$7/('1. Inputs'!$B$6^'1. Inputs'!$B$7+MAX(0,$A76-'1. Inputs'!$C$25-'1. Inputs'!$B$30+1)^'1. Inputs'!$B$7)*('1. Inputs'!$B$9+'1. Inputs'!$B$10*MAX(0,$A76-'1. Inputs'!$C$25-'1. Inputs'!$B$30+1)/(MAX(0,$A76-'1. Inputs'!$C$25-'1. Inputs'!$B$30+1)+'1. Inputs'!$B$11))*'1. Inputs'!$B$13*(1+'1. Inputs'!$B$14*MIN(MAX(0,$A76-'1. Inputs'!$C$25-'1. Inputs'!$B$30+1),'1. Inputs'!$B$15))*'1. Inputs'!$B$31)</f>
        <v>5630859.79826087</v>
      </c>
      <c r="D76" s="22" t="n">
        <f aca="false">IF(MAX(0,$A76-'1. Inputs'!$C$26-'1. Inputs'!$B$30+1)&lt;=0,0,'1. Inputs'!$B$26*'1. Inputs'!$B$5*MAX(0,$A76-'1. Inputs'!$C$26-'1. Inputs'!$B$30+1)^'1. Inputs'!$B$7/('1. Inputs'!$B$6^'1. Inputs'!$B$7+MAX(0,$A76-'1. Inputs'!$C$26-'1. Inputs'!$B$30+1)^'1. Inputs'!$B$7)*('1. Inputs'!$B$9+'1. Inputs'!$B$10*MAX(0,$A76-'1. Inputs'!$C$26-'1. Inputs'!$B$30+1)/(MAX(0,$A76-'1. Inputs'!$C$26-'1. Inputs'!$B$30+1)+'1. Inputs'!$B$11))*'1. Inputs'!$B$13*(1+'1. Inputs'!$B$14*MIN(MAX(0,$A76-'1. Inputs'!$C$26-'1. Inputs'!$B$30+1),'1. Inputs'!$B$15))*'1. Inputs'!$B$31)</f>
        <v>2445123.15587808</v>
      </c>
      <c r="E76" s="22" t="n">
        <f aca="false">IF(MAX(0,$A76-'1. Inputs'!$C$27-'1. Inputs'!$B$30+1)&lt;=0,0,'1. Inputs'!$B$27*'1. Inputs'!$B$5*MAX(0,$A76-'1. Inputs'!$C$27-'1. Inputs'!$B$30+1)^'1. Inputs'!$B$7/('1. Inputs'!$B$6^'1. Inputs'!$B$7+MAX(0,$A76-'1. Inputs'!$C$27-'1. Inputs'!$B$30+1)^'1. Inputs'!$B$7)*('1. Inputs'!$B$9+'1. Inputs'!$B$10*MAX(0,$A76-'1. Inputs'!$C$27-'1. Inputs'!$B$30+1)/(MAX(0,$A76-'1. Inputs'!$C$27-'1. Inputs'!$B$30+1)+'1. Inputs'!$B$11))*'1. Inputs'!$B$13*(1+'1. Inputs'!$B$14*MIN(MAX(0,$A76-'1. Inputs'!$C$27-'1. Inputs'!$B$30+1),'1. Inputs'!$B$15))*'1. Inputs'!$B$31)</f>
        <v>1743571.45945946</v>
      </c>
      <c r="F76" s="22" t="n">
        <f aca="false">SUM(B76:E76)</f>
        <v>14068946.1607564</v>
      </c>
      <c r="G76" s="22" t="n">
        <f aca="false">IF($A76=MAX('1. Inputs'!$B$17,1),'1. Inputs'!$B$3,0)+IF($A76-'1. Inputs'!$B$17&gt;=1,INDEX(F$3:F$86,$A76-'1. Inputs'!$B$17),0)</f>
        <v>13768885.4003896</v>
      </c>
      <c r="H76" s="22" t="n">
        <f aca="false">H75*(1-'1. Inputs'!$B$18)+G76</f>
        <v>505942404.845994</v>
      </c>
      <c r="I76" s="22" t="n">
        <f aca="false">H76*'1. Inputs'!$B$18</f>
        <v>5059424.04845994</v>
      </c>
      <c r="J76" s="22" t="n">
        <f aca="false">J75+F76-I76</f>
        <v>668207468.356173</v>
      </c>
      <c r="K76" s="22" t="n">
        <f aca="false">IF(MAX(0,$A76-'1. Inputs'!$C$24-'1. Inputs'!$B$30+1)&lt;=0,0,'1. Inputs'!$B$24*('1. Inputs'!$B$5-'5. Diagnosing a miss'!$B$21)*MAX(0,$A76-'1. Inputs'!$C$24-'1. Inputs'!$B$30+1)^'1. Inputs'!$B$7/('1. Inputs'!$B$6^'1. Inputs'!$B$7+MAX(0,$A76-'1. Inputs'!$C$24-'1. Inputs'!$B$30+1)^'1. Inputs'!$B$7)*('1. Inputs'!$B$9+'1. Inputs'!$B$10*MAX(0,$A76-'1. Inputs'!$C$24-'1. Inputs'!$B$30+1)/(MAX(0,$A76-'1. Inputs'!$C$24-'1. Inputs'!$B$30+1)+'1. Inputs'!$B$11))*'1. Inputs'!$B$13*(1+'1. Inputs'!$B$14*MIN(MAX(0,$A76-'1. Inputs'!$C$24-'1. Inputs'!$B$30+1),'1. Inputs'!$B$15))*'1. Inputs'!$B$31)</f>
        <v>3777237.10858489</v>
      </c>
      <c r="L76" s="22" t="n">
        <f aca="false">IF(MAX(0,$A76-'1. Inputs'!$C$25-'1. Inputs'!$B$30+1)&lt;=0,0,'1. Inputs'!$B$25*('1. Inputs'!$B$5-'5. Diagnosing a miss'!$B$21)*MAX(0,$A76-'1. Inputs'!$C$25-'1. Inputs'!$B$30+1)^'1. Inputs'!$B$7/('1. Inputs'!$B$6^'1. Inputs'!$B$7+MAX(0,$A76-'1. Inputs'!$C$25-'1. Inputs'!$B$30+1)^'1. Inputs'!$B$7)*('1. Inputs'!$B$9+'1. Inputs'!$B$10*MAX(0,$A76-'1. Inputs'!$C$25-'1. Inputs'!$B$30+1)/(MAX(0,$A76-'1. Inputs'!$C$25-'1. Inputs'!$B$30+1)+'1. Inputs'!$B$11))*'1. Inputs'!$B$13*(1+'1. Inputs'!$B$14*MIN(MAX(0,$A76-'1. Inputs'!$C$25-'1. Inputs'!$B$30+1),'1. Inputs'!$B$15))*'1. Inputs'!$B$31)</f>
        <v>5005208.70956522</v>
      </c>
      <c r="M76" s="22" t="n">
        <f aca="false">IF(MAX(0,$A76-'1. Inputs'!$C$26-'1. Inputs'!$B$30+1)&lt;=0,0,'1. Inputs'!$B$26*('1. Inputs'!$B$5-'5. Diagnosing a miss'!$B$21)*MAX(0,$A76-'1. Inputs'!$C$26-'1. Inputs'!$B$30+1)^'1. Inputs'!$B$7/('1. Inputs'!$B$6^'1. Inputs'!$B$7+MAX(0,$A76-'1. Inputs'!$C$26-'1. Inputs'!$B$30+1)^'1. Inputs'!$B$7)*('1. Inputs'!$B$9+'1. Inputs'!$B$10*MAX(0,$A76-'1. Inputs'!$C$26-'1. Inputs'!$B$30+1)/(MAX(0,$A76-'1. Inputs'!$C$26-'1. Inputs'!$B$30+1)+'1. Inputs'!$B$11))*'1. Inputs'!$B$13*(1+'1. Inputs'!$B$14*MIN(MAX(0,$A76-'1. Inputs'!$C$26-'1. Inputs'!$B$30+1),'1. Inputs'!$B$15))*'1. Inputs'!$B$31)</f>
        <v>2173442.80522496</v>
      </c>
      <c r="N76" s="22" t="n">
        <f aca="false">IF(MAX(0,$A76-'1. Inputs'!$C$27-'1. Inputs'!$B$30+1)&lt;=0,0,'1. Inputs'!$B$27*('1. Inputs'!$B$5-'5. Diagnosing a miss'!$B$21)*MAX(0,$A76-'1. Inputs'!$C$27-'1. Inputs'!$B$30+1)^'1. Inputs'!$B$7/('1. Inputs'!$B$6^'1. Inputs'!$B$7+MAX(0,$A76-'1. Inputs'!$C$27-'1. Inputs'!$B$30+1)^'1. Inputs'!$B$7)*('1. Inputs'!$B$9+'1. Inputs'!$B$10*MAX(0,$A76-'1. Inputs'!$C$27-'1. Inputs'!$B$30+1)/(MAX(0,$A76-'1. Inputs'!$C$27-'1. Inputs'!$B$30+1)+'1. Inputs'!$B$11))*'1. Inputs'!$B$13*(1+'1. Inputs'!$B$14*MIN(MAX(0,$A76-'1. Inputs'!$C$27-'1. Inputs'!$B$30+1),'1. Inputs'!$B$15))*'1. Inputs'!$B$31)</f>
        <v>1549841.2972973</v>
      </c>
      <c r="O76" s="22" t="n">
        <f aca="false">SUM(K76:N76)</f>
        <v>12505729.9206724</v>
      </c>
      <c r="P76" s="22" t="n">
        <f aca="false">IF($A76=MAX('1. Inputs'!$B$17,1),'1. Inputs'!$B$3,0)+IF($A76-'1. Inputs'!$B$17&gt;=1,INDEX(O$3:O$86,$A76-'1. Inputs'!$B$17),0)</f>
        <v>12239009.2447908</v>
      </c>
      <c r="Q76" s="22" t="n">
        <f aca="false">Q75*(1-'1. Inputs'!$B$18)+P76</f>
        <v>458664385.838781</v>
      </c>
      <c r="R76" s="22" t="n">
        <f aca="false">Q76*'1. Inputs'!$B$18</f>
        <v>4586643.85838781</v>
      </c>
      <c r="S76" s="22" t="n">
        <f aca="false">S75+O76-R76</f>
        <v>602810619.810295</v>
      </c>
      <c r="T76" s="22" t="n">
        <f aca="false">IF(MAX(0,$A76-'1. Inputs'!$C$24-'1. Inputs'!$B$30+1)&lt;=0,0,'1. Inputs'!$B$24*'1. Inputs'!$B$5*MAX(0,$A76-'1. Inputs'!$C$24-'1. Inputs'!$B$30+1)^'1. Inputs'!$B$7/('1. Inputs'!$B$6^'1. Inputs'!$B$7+MAX(0,$A76-'1. Inputs'!$C$24-'1. Inputs'!$B$30+1)^'1. Inputs'!$B$7)*('1. Inputs'!$B$9+'1. Inputs'!$B$10*MAX(0,$A76-'1. Inputs'!$C$24-'1. Inputs'!$B$30+1)/(MAX(0,$A76-'1. Inputs'!$C$24-'1. Inputs'!$B$30+1)+'1. Inputs'!$B$11))*'1. Inputs'!$B$13*(1+'1. Inputs'!$B$14*MIN(MAX(0,$A76-'1. Inputs'!$C$24-'1. Inputs'!$B$30+1),'1. Inputs'!$B$15))*('1. Inputs'!$B$31*'5. Diagnosing a miss'!$B$22))</f>
        <v>3824452.5724422</v>
      </c>
      <c r="U76" s="22" t="n">
        <f aca="false">IF(MAX(0,$A76-'1. Inputs'!$C$25-'1. Inputs'!$B$30+1)&lt;=0,0,'1. Inputs'!$B$25*'1. Inputs'!$B$5*MAX(0,$A76-'1. Inputs'!$C$25-'1. Inputs'!$B$30+1)^'1. Inputs'!$B$7/('1. Inputs'!$B$6^'1. Inputs'!$B$7+MAX(0,$A76-'1. Inputs'!$C$25-'1. Inputs'!$B$30+1)^'1. Inputs'!$B$7)*('1. Inputs'!$B$9+'1. Inputs'!$B$10*MAX(0,$A76-'1. Inputs'!$C$25-'1. Inputs'!$B$30+1)/(MAX(0,$A76-'1. Inputs'!$C$25-'1. Inputs'!$B$30+1)+'1. Inputs'!$B$11))*'1. Inputs'!$B$13*(1+'1. Inputs'!$B$14*MIN(MAX(0,$A76-'1. Inputs'!$C$25-'1. Inputs'!$B$30+1),'1. Inputs'!$B$15))*('1. Inputs'!$B$31*'5. Diagnosing a miss'!$B$22))</f>
        <v>5067773.81843478</v>
      </c>
      <c r="V76" s="22" t="n">
        <f aca="false">IF(MAX(0,$A76-'1. Inputs'!$C$26-'1. Inputs'!$B$30+1)&lt;=0,0,'1. Inputs'!$B$26*'1. Inputs'!$B$5*MAX(0,$A76-'1. Inputs'!$C$26-'1. Inputs'!$B$30+1)^'1. Inputs'!$B$7/('1. Inputs'!$B$6^'1. Inputs'!$B$7+MAX(0,$A76-'1. Inputs'!$C$26-'1. Inputs'!$B$30+1)^'1. Inputs'!$B$7)*('1. Inputs'!$B$9+'1. Inputs'!$B$10*MAX(0,$A76-'1. Inputs'!$C$26-'1. Inputs'!$B$30+1)/(MAX(0,$A76-'1. Inputs'!$C$26-'1. Inputs'!$B$30+1)+'1. Inputs'!$B$11))*'1. Inputs'!$B$13*(1+'1. Inputs'!$B$14*MIN(MAX(0,$A76-'1. Inputs'!$C$26-'1. Inputs'!$B$30+1),'1. Inputs'!$B$15))*('1. Inputs'!$B$31*'5. Diagnosing a miss'!$B$22))</f>
        <v>2200610.84029028</v>
      </c>
      <c r="W76" s="22" t="n">
        <f aca="false">IF(MAX(0,$A76-'1. Inputs'!$C$27-'1. Inputs'!$B$30+1)&lt;=0,0,'1. Inputs'!$B$27*'1. Inputs'!$B$5*MAX(0,$A76-'1. Inputs'!$C$27-'1. Inputs'!$B$30+1)^'1. Inputs'!$B$7/('1. Inputs'!$B$6^'1. Inputs'!$B$7+MAX(0,$A76-'1. Inputs'!$C$27-'1. Inputs'!$B$30+1)^'1. Inputs'!$B$7)*('1. Inputs'!$B$9+'1. Inputs'!$B$10*MAX(0,$A76-'1. Inputs'!$C$27-'1. Inputs'!$B$30+1)/(MAX(0,$A76-'1. Inputs'!$C$27-'1. Inputs'!$B$30+1)+'1. Inputs'!$B$11))*'1. Inputs'!$B$13*(1+'1. Inputs'!$B$14*MIN(MAX(0,$A76-'1. Inputs'!$C$27-'1. Inputs'!$B$30+1),'1. Inputs'!$B$15))*('1. Inputs'!$B$31*'5. Diagnosing a miss'!$B$22))</f>
        <v>1569214.31351351</v>
      </c>
      <c r="X76" s="22" t="n">
        <f aca="false">SUM(T76:W76)</f>
        <v>12662051.5446808</v>
      </c>
      <c r="Y76" s="22" t="n">
        <f aca="false">IF($A76=MAX('1. Inputs'!$B$17,1),'1. Inputs'!$B$3,0)+IF($A76-'1. Inputs'!$B$17&gt;=1,INDEX(X$3:X$86,$A76-'1. Inputs'!$B$17),0)</f>
        <v>12391996.8603506</v>
      </c>
      <c r="Z76" s="22" t="n">
        <f aca="false">Z75*(1-'1. Inputs'!$B$18)+Y76</f>
        <v>463392187.739503</v>
      </c>
      <c r="AA76" s="22" t="n">
        <f aca="false">Z76*'1. Inputs'!$B$18</f>
        <v>4633921.87739503</v>
      </c>
      <c r="AB76" s="22" t="n">
        <f aca="false">AB75+X76-AA76</f>
        <v>609350304.664883</v>
      </c>
      <c r="AC76" s="22" t="n">
        <f aca="false">IF(MAX(0,$A76-'1. Inputs'!$C$24-('1. Inputs'!$B$30+'5. Diagnosing a miss'!$B$23)+1)&lt;=0,0,'1. Inputs'!$B$24*'1. Inputs'!$B$5*MAX(0,$A76-'1. Inputs'!$C$24-('1. Inputs'!$B$30+'5. Diagnosing a miss'!$B$23)+1)^'1. Inputs'!$B$7/('1. Inputs'!$B$6^'1. Inputs'!$B$7+MAX(0,$A76-'1. Inputs'!$C$24-('1. Inputs'!$B$30+'5. Diagnosing a miss'!$B$23)+1)^'1. Inputs'!$B$7)*('1. Inputs'!$B$9+'1. Inputs'!$B$10*MAX(0,$A76-'1. Inputs'!$C$24-('1. Inputs'!$B$30+'5. Diagnosing a miss'!$B$23)+1)/(MAX(0,$A76-'1. Inputs'!$C$24-('1. Inputs'!$B$30+'5. Diagnosing a miss'!$B$23)+1)+'1. Inputs'!$B$11))*'1. Inputs'!$B$13*(1+'1. Inputs'!$B$14*MIN(MAX(0,$A76-'1. Inputs'!$C$24-('1. Inputs'!$B$30+'5. Diagnosing a miss'!$B$23)+1),'1. Inputs'!$B$15))*'1. Inputs'!$B$31)</f>
        <v>4234199.40731243</v>
      </c>
      <c r="AD76" s="22" t="n">
        <f aca="false">IF(MAX(0,$A76-'1. Inputs'!$C$25-('1. Inputs'!$B$30+'5. Diagnosing a miss'!$B$23)+1)&lt;=0,0,'1. Inputs'!$B$25*'1. Inputs'!$B$5*MAX(0,$A76-'1. Inputs'!$C$25-('1. Inputs'!$B$30+'5. Diagnosing a miss'!$B$23)+1)^'1. Inputs'!$B$7/('1. Inputs'!$B$6^'1. Inputs'!$B$7+MAX(0,$A76-'1. Inputs'!$C$25-('1. Inputs'!$B$30+'5. Diagnosing a miss'!$B$23)+1)^'1. Inputs'!$B$7)*('1. Inputs'!$B$9+'1. Inputs'!$B$10*MAX(0,$A76-'1. Inputs'!$C$25-('1. Inputs'!$B$30+'5. Diagnosing a miss'!$B$23)+1)/(MAX(0,$A76-'1. Inputs'!$C$25-('1. Inputs'!$B$30+'5. Diagnosing a miss'!$B$23)+1)+'1. Inputs'!$B$11))*'1. Inputs'!$B$13*(1+'1. Inputs'!$B$14*MIN(MAX(0,$A76-'1. Inputs'!$C$25-('1. Inputs'!$B$30+'5. Diagnosing a miss'!$B$23)+1),'1. Inputs'!$B$15))*'1. Inputs'!$B$31)</f>
        <v>5606621.91598133</v>
      </c>
      <c r="AE76" s="22" t="n">
        <f aca="false">IF(MAX(0,$A76-'1. Inputs'!$C$26-('1. Inputs'!$B$30+'5. Diagnosing a miss'!$B$23)+1)&lt;=0,0,'1. Inputs'!$B$26*'1. Inputs'!$B$5*MAX(0,$A76-'1. Inputs'!$C$26-('1. Inputs'!$B$30+'5. Diagnosing a miss'!$B$23)+1)^'1. Inputs'!$B$7/('1. Inputs'!$B$6^'1. Inputs'!$B$7+MAX(0,$A76-'1. Inputs'!$C$26-('1. Inputs'!$B$30+'5. Diagnosing a miss'!$B$23)+1)^'1. Inputs'!$B$7)*('1. Inputs'!$B$9+'1. Inputs'!$B$10*MAX(0,$A76-'1. Inputs'!$C$26-('1. Inputs'!$B$30+'5. Diagnosing a miss'!$B$23)+1)/(MAX(0,$A76-'1. Inputs'!$C$26-('1. Inputs'!$B$30+'5. Diagnosing a miss'!$B$23)+1)+'1. Inputs'!$B$11))*'1. Inputs'!$B$13*(1+'1. Inputs'!$B$14*MIN(MAX(0,$A76-'1. Inputs'!$C$26-('1. Inputs'!$B$30+'5. Diagnosing a miss'!$B$23)+1),'1. Inputs'!$B$15))*'1. Inputs'!$B$31)</f>
        <v>2432233.73059018</v>
      </c>
      <c r="AF76" s="22" t="n">
        <f aca="false">IF(MAX(0,$A76-'1. Inputs'!$C$27-('1. Inputs'!$B$30+'5. Diagnosing a miss'!$B$23)+1)&lt;=0,0,'1. Inputs'!$B$27*'1. Inputs'!$B$5*MAX(0,$A76-'1. Inputs'!$C$27-('1. Inputs'!$B$30+'5. Diagnosing a miss'!$B$23)+1)^'1. Inputs'!$B$7/('1. Inputs'!$B$6^'1. Inputs'!$B$7+MAX(0,$A76-'1. Inputs'!$C$27-('1. Inputs'!$B$30+'5. Diagnosing a miss'!$B$23)+1)^'1. Inputs'!$B$7)*('1. Inputs'!$B$9+'1. Inputs'!$B$10*MAX(0,$A76-'1. Inputs'!$C$27-('1. Inputs'!$B$30+'5. Diagnosing a miss'!$B$23)+1)/(MAX(0,$A76-'1. Inputs'!$C$27-('1. Inputs'!$B$30+'5. Diagnosing a miss'!$B$23)+1)+'1. Inputs'!$B$11))*'1. Inputs'!$B$13*(1+'1. Inputs'!$B$14*MIN(MAX(0,$A76-'1. Inputs'!$C$27-('1. Inputs'!$B$30+'5. Diagnosing a miss'!$B$23)+1),'1. Inputs'!$B$15))*'1. Inputs'!$B$31)</f>
        <v>1733977.94594595</v>
      </c>
      <c r="AG76" s="22" t="n">
        <f aca="false">SUM(AC76:AF76)</f>
        <v>14007032.9998299</v>
      </c>
      <c r="AH76" s="22" t="n">
        <f aca="false">IF($A76=MAX('1. Inputs'!$B$17,1),'1. Inputs'!$B$3,0)+IF($A76-'1. Inputs'!$B$17&gt;=1,INDEX(AG$3:AG$86,$A76-'1. Inputs'!$B$17),0)</f>
        <v>13665725.15144</v>
      </c>
      <c r="AI76" s="22" t="n">
        <f aca="false">AI75*(1-'1. Inputs'!$B$18)+AH76</f>
        <v>476921545.322555</v>
      </c>
      <c r="AJ76" s="22" t="n">
        <f aca="false">AI76*'1. Inputs'!$B$18</f>
        <v>4769215.45322555</v>
      </c>
      <c r="AK76" s="22" t="n">
        <f aca="false">AK75+AG76-AJ76</f>
        <v>638537101.40429</v>
      </c>
    </row>
    <row r="77" customFormat="false" ht="15" hidden="false" customHeight="false" outlineLevel="0" collapsed="false">
      <c r="A77" s="7" t="n">
        <v>75</v>
      </c>
      <c r="B77" s="22" t="n">
        <f aca="false">IF(MAX(0,$A77-'1. Inputs'!$C$24-'1. Inputs'!$B$30+1)&lt;=0,0,'1. Inputs'!$B$24*'1. Inputs'!$B$5*MAX(0,$A77-'1. Inputs'!$C$24-'1. Inputs'!$B$30+1)^'1. Inputs'!$B$7/('1. Inputs'!$B$6^'1. Inputs'!$B$7+MAX(0,$A77-'1. Inputs'!$C$24-'1. Inputs'!$B$30+1)^'1. Inputs'!$B$7)*('1. Inputs'!$B$9+'1. Inputs'!$B$10*MAX(0,$A77-'1. Inputs'!$C$24-'1. Inputs'!$B$30+1)/(MAX(0,$A77-'1. Inputs'!$C$24-'1. Inputs'!$B$30+1)+'1. Inputs'!$B$11))*'1. Inputs'!$B$13*(1+'1. Inputs'!$B$14*MIN(MAX(0,$A77-'1. Inputs'!$C$24-'1. Inputs'!$B$30+1),'1. Inputs'!$B$15))*'1. Inputs'!$B$31)</f>
        <v>4254120.93144981</v>
      </c>
      <c r="C77" s="22" t="n">
        <f aca="false">IF(MAX(0,$A77-'1. Inputs'!$C$25-'1. Inputs'!$B$30+1)&lt;=0,0,'1. Inputs'!$B$25*'1. Inputs'!$B$5*MAX(0,$A77-'1. Inputs'!$C$25-'1. Inputs'!$B$30+1)^'1. Inputs'!$B$7/('1. Inputs'!$B$6^'1. Inputs'!$B$7+MAX(0,$A77-'1. Inputs'!$C$25-'1. Inputs'!$B$30+1)^'1. Inputs'!$B$7)*('1. Inputs'!$B$9+'1. Inputs'!$B$10*MAX(0,$A77-'1. Inputs'!$C$25-'1. Inputs'!$B$30+1)/(MAX(0,$A77-'1. Inputs'!$C$25-'1. Inputs'!$B$30+1)+'1. Inputs'!$B$11))*'1. Inputs'!$B$13*(1+'1. Inputs'!$B$14*MIN(MAX(0,$A77-'1. Inputs'!$C$25-'1. Inputs'!$B$30+1),'1. Inputs'!$B$15))*'1. Inputs'!$B$31)</f>
        <v>5638361.5969356</v>
      </c>
      <c r="D77" s="22" t="n">
        <f aca="false">IF(MAX(0,$A77-'1. Inputs'!$C$26-'1. Inputs'!$B$30+1)&lt;=0,0,'1. Inputs'!$B$26*'1. Inputs'!$B$5*MAX(0,$A77-'1. Inputs'!$C$26-'1. Inputs'!$B$30+1)^'1. Inputs'!$B$7/('1. Inputs'!$B$6^'1. Inputs'!$B$7+MAX(0,$A77-'1. Inputs'!$C$26-'1. Inputs'!$B$30+1)^'1. Inputs'!$B$7)*('1. Inputs'!$B$9+'1. Inputs'!$B$10*MAX(0,$A77-'1. Inputs'!$C$26-'1. Inputs'!$B$30+1)/(MAX(0,$A77-'1. Inputs'!$C$26-'1. Inputs'!$B$30+1)+'1. Inputs'!$B$11))*'1. Inputs'!$B$13*(1+'1. Inputs'!$B$14*MIN(MAX(0,$A77-'1. Inputs'!$C$26-'1. Inputs'!$B$30+1),'1. Inputs'!$B$15))*'1. Inputs'!$B$31)</f>
        <v>2449085.88302164</v>
      </c>
      <c r="E77" s="22" t="n">
        <f aca="false">IF(MAX(0,$A77-'1. Inputs'!$C$27-'1. Inputs'!$B$30+1)&lt;=0,0,'1. Inputs'!$B$27*'1. Inputs'!$B$5*MAX(0,$A77-'1. Inputs'!$C$27-'1. Inputs'!$B$30+1)^'1. Inputs'!$B$7/('1. Inputs'!$B$6^'1. Inputs'!$B$7+MAX(0,$A77-'1. Inputs'!$C$27-'1. Inputs'!$B$30+1)^'1. Inputs'!$B$7)*('1. Inputs'!$B$9+'1. Inputs'!$B$10*MAX(0,$A77-'1. Inputs'!$C$27-'1. Inputs'!$B$30+1)/(MAX(0,$A77-'1. Inputs'!$C$27-'1. Inputs'!$B$30+1)+'1. Inputs'!$B$11))*'1. Inputs'!$B$13*(1+'1. Inputs'!$B$14*MIN(MAX(0,$A77-'1. Inputs'!$C$27-'1. Inputs'!$B$30+1),'1. Inputs'!$B$15))*'1. Inputs'!$B$31)</f>
        <v>1746516.53991292</v>
      </c>
      <c r="F77" s="22" t="n">
        <f aca="false">SUM(B77:E77)</f>
        <v>14088084.95132</v>
      </c>
      <c r="G77" s="22" t="n">
        <f aca="false">IF($A77=MAX('1. Inputs'!$B$17,1),'1. Inputs'!$B$3,0)+IF($A77-'1. Inputs'!$B$17&gt;=1,INDEX(F$3:F$86,$A77-'1. Inputs'!$B$17),0)</f>
        <v>13800168.9593889</v>
      </c>
      <c r="H77" s="22" t="n">
        <f aca="false">H76*(1-'1. Inputs'!$B$18)+G77</f>
        <v>514683149.756923</v>
      </c>
      <c r="I77" s="22" t="n">
        <f aca="false">H77*'1. Inputs'!$B$18</f>
        <v>5146831.49756923</v>
      </c>
      <c r="J77" s="22" t="n">
        <f aca="false">J76+F77-I77</f>
        <v>677148721.809924</v>
      </c>
      <c r="K77" s="22" t="n">
        <f aca="false">IF(MAX(0,$A77-'1. Inputs'!$C$24-'1. Inputs'!$B$30+1)&lt;=0,0,'1. Inputs'!$B$24*('1. Inputs'!$B$5-'5. Diagnosing a miss'!$B$21)*MAX(0,$A77-'1. Inputs'!$C$24-'1. Inputs'!$B$30+1)^'1. Inputs'!$B$7/('1. Inputs'!$B$6^'1. Inputs'!$B$7+MAX(0,$A77-'1. Inputs'!$C$24-'1. Inputs'!$B$30+1)^'1. Inputs'!$B$7)*('1. Inputs'!$B$9+'1. Inputs'!$B$10*MAX(0,$A77-'1. Inputs'!$C$24-'1. Inputs'!$B$30+1)/(MAX(0,$A77-'1. Inputs'!$C$24-'1. Inputs'!$B$30+1)+'1. Inputs'!$B$11))*'1. Inputs'!$B$13*(1+'1. Inputs'!$B$14*MIN(MAX(0,$A77-'1. Inputs'!$C$24-'1. Inputs'!$B$30+1),'1. Inputs'!$B$15))*'1. Inputs'!$B$31)</f>
        <v>3781440.82795539</v>
      </c>
      <c r="L77" s="22" t="n">
        <f aca="false">IF(MAX(0,$A77-'1. Inputs'!$C$25-'1. Inputs'!$B$30+1)&lt;=0,0,'1. Inputs'!$B$25*('1. Inputs'!$B$5-'5. Diagnosing a miss'!$B$21)*MAX(0,$A77-'1. Inputs'!$C$25-'1. Inputs'!$B$30+1)^'1. Inputs'!$B$7/('1. Inputs'!$B$6^'1. Inputs'!$B$7+MAX(0,$A77-'1. Inputs'!$C$25-'1. Inputs'!$B$30+1)^'1. Inputs'!$B$7)*('1. Inputs'!$B$9+'1. Inputs'!$B$10*MAX(0,$A77-'1. Inputs'!$C$25-'1. Inputs'!$B$30+1)/(MAX(0,$A77-'1. Inputs'!$C$25-'1. Inputs'!$B$30+1)+'1. Inputs'!$B$11))*'1. Inputs'!$B$13*(1+'1. Inputs'!$B$14*MIN(MAX(0,$A77-'1. Inputs'!$C$25-'1. Inputs'!$B$30+1),'1. Inputs'!$B$15))*'1. Inputs'!$B$31)</f>
        <v>5011876.97505387</v>
      </c>
      <c r="M77" s="22" t="n">
        <f aca="false">IF(MAX(0,$A77-'1. Inputs'!$C$26-'1. Inputs'!$B$30+1)&lt;=0,0,'1. Inputs'!$B$26*('1. Inputs'!$B$5-'5. Diagnosing a miss'!$B$21)*MAX(0,$A77-'1. Inputs'!$C$26-'1. Inputs'!$B$30+1)^'1. Inputs'!$B$7/('1. Inputs'!$B$6^'1. Inputs'!$B$7+MAX(0,$A77-'1. Inputs'!$C$26-'1. Inputs'!$B$30+1)^'1. Inputs'!$B$7)*('1. Inputs'!$B$9+'1. Inputs'!$B$10*MAX(0,$A77-'1. Inputs'!$C$26-'1. Inputs'!$B$30+1)/(MAX(0,$A77-'1. Inputs'!$C$26-'1. Inputs'!$B$30+1)+'1. Inputs'!$B$11))*'1. Inputs'!$B$13*(1+'1. Inputs'!$B$14*MIN(MAX(0,$A77-'1. Inputs'!$C$26-'1. Inputs'!$B$30+1),'1. Inputs'!$B$15))*'1. Inputs'!$B$31)</f>
        <v>2176965.22935257</v>
      </c>
      <c r="N77" s="22" t="n">
        <f aca="false">IF(MAX(0,$A77-'1. Inputs'!$C$27-'1. Inputs'!$B$30+1)&lt;=0,0,'1. Inputs'!$B$27*('1. Inputs'!$B$5-'5. Diagnosing a miss'!$B$21)*MAX(0,$A77-'1. Inputs'!$C$27-'1. Inputs'!$B$30+1)^'1. Inputs'!$B$7/('1. Inputs'!$B$6^'1. Inputs'!$B$7+MAX(0,$A77-'1. Inputs'!$C$27-'1. Inputs'!$B$30+1)^'1. Inputs'!$B$7)*('1. Inputs'!$B$9+'1. Inputs'!$B$10*MAX(0,$A77-'1. Inputs'!$C$27-'1. Inputs'!$B$30+1)/(MAX(0,$A77-'1. Inputs'!$C$27-'1. Inputs'!$B$30+1)+'1. Inputs'!$B$11))*'1. Inputs'!$B$13*(1+'1. Inputs'!$B$14*MIN(MAX(0,$A77-'1. Inputs'!$C$27-'1. Inputs'!$B$30+1),'1. Inputs'!$B$15))*'1. Inputs'!$B$31)</f>
        <v>1552459.14658926</v>
      </c>
      <c r="O77" s="22" t="n">
        <f aca="false">SUM(K77:N77)</f>
        <v>12522742.1789511</v>
      </c>
      <c r="P77" s="22" t="n">
        <f aca="false">IF($A77=MAX('1. Inputs'!$B$17,1),'1. Inputs'!$B$3,0)+IF($A77-'1. Inputs'!$B$17&gt;=1,INDEX(O$3:O$86,$A77-'1. Inputs'!$B$17),0)</f>
        <v>12266816.8527902</v>
      </c>
      <c r="Q77" s="22" t="n">
        <f aca="false">Q76*(1-'1. Inputs'!$B$18)+P77</f>
        <v>466344558.833183</v>
      </c>
      <c r="R77" s="22" t="n">
        <f aca="false">Q77*'1. Inputs'!$B$18</f>
        <v>4663445.58833183</v>
      </c>
      <c r="S77" s="22" t="n">
        <f aca="false">S76+O77-R77</f>
        <v>610669916.400914</v>
      </c>
      <c r="T77" s="22" t="n">
        <f aca="false">IF(MAX(0,$A77-'1. Inputs'!$C$24-'1. Inputs'!$B$30+1)&lt;=0,0,'1. Inputs'!$B$24*'1. Inputs'!$B$5*MAX(0,$A77-'1. Inputs'!$C$24-'1. Inputs'!$B$30+1)^'1. Inputs'!$B$7/('1. Inputs'!$B$6^'1. Inputs'!$B$7+MAX(0,$A77-'1. Inputs'!$C$24-'1. Inputs'!$B$30+1)^'1. Inputs'!$B$7)*('1. Inputs'!$B$9+'1. Inputs'!$B$10*MAX(0,$A77-'1. Inputs'!$C$24-'1. Inputs'!$B$30+1)/(MAX(0,$A77-'1. Inputs'!$C$24-'1. Inputs'!$B$30+1)+'1. Inputs'!$B$11))*'1. Inputs'!$B$13*(1+'1. Inputs'!$B$14*MIN(MAX(0,$A77-'1. Inputs'!$C$24-'1. Inputs'!$B$30+1),'1. Inputs'!$B$15))*('1. Inputs'!$B$31*'5. Diagnosing a miss'!$B$22))</f>
        <v>3828708.83830483</v>
      </c>
      <c r="U77" s="22" t="n">
        <f aca="false">IF(MAX(0,$A77-'1. Inputs'!$C$25-'1. Inputs'!$B$30+1)&lt;=0,0,'1. Inputs'!$B$25*'1. Inputs'!$B$5*MAX(0,$A77-'1. Inputs'!$C$25-'1. Inputs'!$B$30+1)^'1. Inputs'!$B$7/('1. Inputs'!$B$6^'1. Inputs'!$B$7+MAX(0,$A77-'1. Inputs'!$C$25-'1. Inputs'!$B$30+1)^'1. Inputs'!$B$7)*('1. Inputs'!$B$9+'1. Inputs'!$B$10*MAX(0,$A77-'1. Inputs'!$C$25-'1. Inputs'!$B$30+1)/(MAX(0,$A77-'1. Inputs'!$C$25-'1. Inputs'!$B$30+1)+'1. Inputs'!$B$11))*'1. Inputs'!$B$13*(1+'1. Inputs'!$B$14*MIN(MAX(0,$A77-'1. Inputs'!$C$25-'1. Inputs'!$B$30+1),'1. Inputs'!$B$15))*('1. Inputs'!$B$31*'5. Diagnosing a miss'!$B$22))</f>
        <v>5074525.43724204</v>
      </c>
      <c r="V77" s="22" t="n">
        <f aca="false">IF(MAX(0,$A77-'1. Inputs'!$C$26-'1. Inputs'!$B$30+1)&lt;=0,0,'1. Inputs'!$B$26*'1. Inputs'!$B$5*MAX(0,$A77-'1. Inputs'!$C$26-'1. Inputs'!$B$30+1)^'1. Inputs'!$B$7/('1. Inputs'!$B$6^'1. Inputs'!$B$7+MAX(0,$A77-'1. Inputs'!$C$26-'1. Inputs'!$B$30+1)^'1. Inputs'!$B$7)*('1. Inputs'!$B$9+'1. Inputs'!$B$10*MAX(0,$A77-'1. Inputs'!$C$26-'1. Inputs'!$B$30+1)/(MAX(0,$A77-'1. Inputs'!$C$26-'1. Inputs'!$B$30+1)+'1. Inputs'!$B$11))*'1. Inputs'!$B$13*(1+'1. Inputs'!$B$14*MIN(MAX(0,$A77-'1. Inputs'!$C$26-'1. Inputs'!$B$30+1),'1. Inputs'!$B$15))*('1. Inputs'!$B$31*'5. Diagnosing a miss'!$B$22))</f>
        <v>2204177.29471948</v>
      </c>
      <c r="W77" s="22" t="n">
        <f aca="false">IF(MAX(0,$A77-'1. Inputs'!$C$27-'1. Inputs'!$B$30+1)&lt;=0,0,'1. Inputs'!$B$27*'1. Inputs'!$B$5*MAX(0,$A77-'1. Inputs'!$C$27-'1. Inputs'!$B$30+1)^'1. Inputs'!$B$7/('1. Inputs'!$B$6^'1. Inputs'!$B$7+MAX(0,$A77-'1. Inputs'!$C$27-'1. Inputs'!$B$30+1)^'1. Inputs'!$B$7)*('1. Inputs'!$B$9+'1. Inputs'!$B$10*MAX(0,$A77-'1. Inputs'!$C$27-'1. Inputs'!$B$30+1)/(MAX(0,$A77-'1. Inputs'!$C$27-'1. Inputs'!$B$30+1)+'1. Inputs'!$B$11))*'1. Inputs'!$B$13*(1+'1. Inputs'!$B$14*MIN(MAX(0,$A77-'1. Inputs'!$C$27-'1. Inputs'!$B$30+1),'1. Inputs'!$B$15))*('1. Inputs'!$B$31*'5. Diagnosing a miss'!$B$22))</f>
        <v>1571864.88592163</v>
      </c>
      <c r="X77" s="22" t="n">
        <f aca="false">SUM(T77:W77)</f>
        <v>12679276.456188</v>
      </c>
      <c r="Y77" s="22" t="n">
        <f aca="false">IF($A77=MAX('1. Inputs'!$B$17,1),'1. Inputs'!$B$3,0)+IF($A77-'1. Inputs'!$B$17&gt;=1,INDEX(X$3:X$86,$A77-'1. Inputs'!$B$17),0)</f>
        <v>12420152.0634501</v>
      </c>
      <c r="Z77" s="22" t="n">
        <f aca="false">Z76*(1-'1. Inputs'!$B$18)+Y77</f>
        <v>471178417.925558</v>
      </c>
      <c r="AA77" s="22" t="n">
        <f aca="false">Z77*'1. Inputs'!$B$18</f>
        <v>4711784.17925558</v>
      </c>
      <c r="AB77" s="22" t="n">
        <f aca="false">AB76+X77-AA77</f>
        <v>617317796.941815</v>
      </c>
      <c r="AC77" s="22" t="n">
        <f aca="false">IF(MAX(0,$A77-'1. Inputs'!$C$24-('1. Inputs'!$B$30+'5. Diagnosing a miss'!$B$23)+1)&lt;=0,0,'1. Inputs'!$B$24*'1. Inputs'!$B$5*MAX(0,$A77-'1. Inputs'!$C$24-('1. Inputs'!$B$30+'5. Diagnosing a miss'!$B$23)+1)^'1. Inputs'!$B$7/('1. Inputs'!$B$6^'1. Inputs'!$B$7+MAX(0,$A77-'1. Inputs'!$C$24-('1. Inputs'!$B$30+'5. Diagnosing a miss'!$B$23)+1)^'1. Inputs'!$B$7)*('1. Inputs'!$B$9+'1. Inputs'!$B$10*MAX(0,$A77-'1. Inputs'!$C$24-('1. Inputs'!$B$30+'5. Diagnosing a miss'!$B$23)+1)/(MAX(0,$A77-'1. Inputs'!$C$24-('1. Inputs'!$B$30+'5. Diagnosing a miss'!$B$23)+1)+'1. Inputs'!$B$11))*'1. Inputs'!$B$13*(1+'1. Inputs'!$B$14*MIN(MAX(0,$A77-'1. Inputs'!$C$24-('1. Inputs'!$B$30+'5. Diagnosing a miss'!$B$23)+1),'1. Inputs'!$B$15))*'1. Inputs'!$B$31)</f>
        <v>4239439.44827586</v>
      </c>
      <c r="AD77" s="22" t="n">
        <f aca="false">IF(MAX(0,$A77-'1. Inputs'!$C$25-('1. Inputs'!$B$30+'5. Diagnosing a miss'!$B$23)+1)&lt;=0,0,'1. Inputs'!$B$25*'1. Inputs'!$B$5*MAX(0,$A77-'1. Inputs'!$C$25-('1. Inputs'!$B$30+'5. Diagnosing a miss'!$B$23)+1)^'1. Inputs'!$B$7/('1. Inputs'!$B$6^'1. Inputs'!$B$7+MAX(0,$A77-'1. Inputs'!$C$25-('1. Inputs'!$B$30+'5. Diagnosing a miss'!$B$23)+1)^'1. Inputs'!$B$7)*('1. Inputs'!$B$9+'1. Inputs'!$B$10*MAX(0,$A77-'1. Inputs'!$C$25-('1. Inputs'!$B$30+'5. Diagnosing a miss'!$B$23)+1)/(MAX(0,$A77-'1. Inputs'!$C$25-('1. Inputs'!$B$30+'5. Diagnosing a miss'!$B$23)+1)+'1. Inputs'!$B$11))*'1. Inputs'!$B$13*(1+'1. Inputs'!$B$14*MIN(MAX(0,$A77-'1. Inputs'!$C$25-('1. Inputs'!$B$30+'5. Diagnosing a miss'!$B$23)+1),'1. Inputs'!$B$15))*'1. Inputs'!$B$31)</f>
        <v>5615005.74007396</v>
      </c>
      <c r="AE77" s="22" t="n">
        <f aca="false">IF(MAX(0,$A77-'1. Inputs'!$C$26-('1. Inputs'!$B$30+'5. Diagnosing a miss'!$B$23)+1)&lt;=0,0,'1. Inputs'!$B$26*'1. Inputs'!$B$5*MAX(0,$A77-'1. Inputs'!$C$26-('1. Inputs'!$B$30+'5. Diagnosing a miss'!$B$23)+1)^'1. Inputs'!$B$7/('1. Inputs'!$B$6^'1. Inputs'!$B$7+MAX(0,$A77-'1. Inputs'!$C$26-('1. Inputs'!$B$30+'5. Diagnosing a miss'!$B$23)+1)^'1. Inputs'!$B$7)*('1. Inputs'!$B$9+'1. Inputs'!$B$10*MAX(0,$A77-'1. Inputs'!$C$26-('1. Inputs'!$B$30+'5. Diagnosing a miss'!$B$23)+1)/(MAX(0,$A77-'1. Inputs'!$C$26-('1. Inputs'!$B$30+'5. Diagnosing a miss'!$B$23)+1)+'1. Inputs'!$B$11))*'1. Inputs'!$B$13*(1+'1. Inputs'!$B$14*MIN(MAX(0,$A77-'1. Inputs'!$C$26-('1. Inputs'!$B$30+'5. Diagnosing a miss'!$B$23)+1),'1. Inputs'!$B$15))*'1. Inputs'!$B$31)</f>
        <v>2436706.99922789</v>
      </c>
      <c r="AF77" s="22" t="n">
        <f aca="false">IF(MAX(0,$A77-'1. Inputs'!$C$27-('1. Inputs'!$B$30+'5. Diagnosing a miss'!$B$23)+1)&lt;=0,0,'1. Inputs'!$B$27*'1. Inputs'!$B$5*MAX(0,$A77-'1. Inputs'!$C$27-('1. Inputs'!$B$30+'5. Diagnosing a miss'!$B$23)+1)^'1. Inputs'!$B$7/('1. Inputs'!$B$6^'1. Inputs'!$B$7+MAX(0,$A77-'1. Inputs'!$C$27-('1. Inputs'!$B$30+'5. Diagnosing a miss'!$B$23)+1)^'1. Inputs'!$B$7)*('1. Inputs'!$B$9+'1. Inputs'!$B$10*MAX(0,$A77-'1. Inputs'!$C$27-('1. Inputs'!$B$30+'5. Diagnosing a miss'!$B$23)+1)/(MAX(0,$A77-'1. Inputs'!$C$27-('1. Inputs'!$B$30+'5. Diagnosing a miss'!$B$23)+1)+'1. Inputs'!$B$11))*'1. Inputs'!$B$13*(1+'1. Inputs'!$B$14*MIN(MAX(0,$A77-'1. Inputs'!$C$27-('1. Inputs'!$B$30+'5. Diagnosing a miss'!$B$23)+1),'1. Inputs'!$B$15))*'1. Inputs'!$B$31)</f>
        <v>1737309.80756442</v>
      </c>
      <c r="AG77" s="22" t="n">
        <f aca="false">SUM(AC77:AF77)</f>
        <v>14028461.9951421</v>
      </c>
      <c r="AH77" s="22" t="n">
        <f aca="false">IF($A77=MAX('1. Inputs'!$B$17,1),'1. Inputs'!$B$3,0)+IF($A77-'1. Inputs'!$B$17&gt;=1,INDEX(AG$3:AG$86,$A77-'1. Inputs'!$B$17),0)</f>
        <v>13701771.4052924</v>
      </c>
      <c r="AI77" s="22" t="n">
        <f aca="false">AI76*(1-'1. Inputs'!$B$18)+AH77</f>
        <v>485854101.274622</v>
      </c>
      <c r="AJ77" s="22" t="n">
        <f aca="false">AI77*'1. Inputs'!$B$18</f>
        <v>4858541.01274622</v>
      </c>
      <c r="AK77" s="22" t="n">
        <f aca="false">AK76+AG77-AJ77</f>
        <v>647707022.386686</v>
      </c>
    </row>
    <row r="78" customFormat="false" ht="15" hidden="false" customHeight="false" outlineLevel="0" collapsed="false">
      <c r="A78" s="7" t="n">
        <v>76</v>
      </c>
      <c r="B78" s="22" t="n">
        <f aca="false">IF(MAX(0,$A78-'1. Inputs'!$C$24-'1. Inputs'!$B$30+1)&lt;=0,0,'1. Inputs'!$B$24*'1. Inputs'!$B$5*MAX(0,$A78-'1. Inputs'!$C$24-'1. Inputs'!$B$30+1)^'1. Inputs'!$B$7/('1. Inputs'!$B$6^'1. Inputs'!$B$7+MAX(0,$A78-'1. Inputs'!$C$24-'1. Inputs'!$B$30+1)^'1. Inputs'!$B$7)*('1. Inputs'!$B$9+'1. Inputs'!$B$10*MAX(0,$A78-'1. Inputs'!$C$24-'1. Inputs'!$B$30+1)/(MAX(0,$A78-'1. Inputs'!$C$24-'1. Inputs'!$B$30+1)+'1. Inputs'!$B$11))*'1. Inputs'!$B$13*(1+'1. Inputs'!$B$14*MIN(MAX(0,$A78-'1. Inputs'!$C$24-'1. Inputs'!$B$30+1),'1. Inputs'!$B$15))*'1. Inputs'!$B$31)</f>
        <v>4258695.88647386</v>
      </c>
      <c r="C78" s="22" t="n">
        <f aca="false">IF(MAX(0,$A78-'1. Inputs'!$C$25-'1. Inputs'!$B$30+1)&lt;=0,0,'1. Inputs'!$B$25*'1. Inputs'!$B$5*MAX(0,$A78-'1. Inputs'!$C$25-'1. Inputs'!$B$30+1)^'1. Inputs'!$B$7/('1. Inputs'!$B$6^'1. Inputs'!$B$7+MAX(0,$A78-'1. Inputs'!$C$25-'1. Inputs'!$B$30+1)^'1. Inputs'!$B$7)*('1. Inputs'!$B$9+'1. Inputs'!$B$10*MAX(0,$A78-'1. Inputs'!$C$25-'1. Inputs'!$B$30+1)/(MAX(0,$A78-'1. Inputs'!$C$25-'1. Inputs'!$B$30+1)+'1. Inputs'!$B$11))*'1. Inputs'!$B$13*(1+'1. Inputs'!$B$14*MIN(MAX(0,$A78-'1. Inputs'!$C$25-'1. Inputs'!$B$30+1),'1. Inputs'!$B$15))*'1. Inputs'!$B$31)</f>
        <v>5645599.20974991</v>
      </c>
      <c r="D78" s="22" t="n">
        <f aca="false">IF(MAX(0,$A78-'1. Inputs'!$C$26-'1. Inputs'!$B$30+1)&lt;=0,0,'1. Inputs'!$B$26*'1. Inputs'!$B$5*MAX(0,$A78-'1. Inputs'!$C$26-'1. Inputs'!$B$30+1)^'1. Inputs'!$B$7/('1. Inputs'!$B$6^'1. Inputs'!$B$7+MAX(0,$A78-'1. Inputs'!$C$26-'1. Inputs'!$B$30+1)^'1. Inputs'!$B$7)*('1. Inputs'!$B$9+'1. Inputs'!$B$10*MAX(0,$A78-'1. Inputs'!$C$26-'1. Inputs'!$B$30+1)/(MAX(0,$A78-'1. Inputs'!$C$26-'1. Inputs'!$B$30+1)+'1. Inputs'!$B$11))*'1. Inputs'!$B$13*(1+'1. Inputs'!$B$14*MIN(MAX(0,$A78-'1. Inputs'!$C$26-'1. Inputs'!$B$30+1),'1. Inputs'!$B$15))*'1. Inputs'!$B$31)</f>
        <v>2452897.08824183</v>
      </c>
      <c r="E78" s="22" t="n">
        <f aca="false">IF(MAX(0,$A78-'1. Inputs'!$C$27-'1. Inputs'!$B$30+1)&lt;=0,0,'1. Inputs'!$B$27*'1. Inputs'!$B$5*MAX(0,$A78-'1. Inputs'!$C$27-'1. Inputs'!$B$30+1)^'1. Inputs'!$B$7/('1. Inputs'!$B$6^'1. Inputs'!$B$7+MAX(0,$A78-'1. Inputs'!$C$27-'1. Inputs'!$B$30+1)^'1. Inputs'!$B$7)*('1. Inputs'!$B$9+'1. Inputs'!$B$10*MAX(0,$A78-'1. Inputs'!$C$27-'1. Inputs'!$B$30+1)/(MAX(0,$A78-'1. Inputs'!$C$27-'1. Inputs'!$B$30+1)+'1. Inputs'!$B$11))*'1. Inputs'!$B$13*(1+'1. Inputs'!$B$14*MIN(MAX(0,$A78-'1. Inputs'!$C$27-'1. Inputs'!$B$30+1),'1. Inputs'!$B$15))*'1. Inputs'!$B$31)</f>
        <v>1749347.05930117</v>
      </c>
      <c r="F78" s="22" t="n">
        <f aca="false">SUM(B78:E78)</f>
        <v>14106539.2437668</v>
      </c>
      <c r="G78" s="22" t="n">
        <f aca="false">IF($A78=MAX('1. Inputs'!$B$17,1),'1. Inputs'!$B$3,0)+IF($A78-'1. Inputs'!$B$17&gt;=1,INDEX(F$3:F$86,$A78-'1. Inputs'!$B$17),0)</f>
        <v>13830065.9541899</v>
      </c>
      <c r="H78" s="22" t="n">
        <f aca="false">H77*(1-'1. Inputs'!$B$18)+G78</f>
        <v>523366384.213544</v>
      </c>
      <c r="I78" s="22" t="n">
        <f aca="false">H78*'1. Inputs'!$B$18</f>
        <v>5233663.84213544</v>
      </c>
      <c r="J78" s="22" t="n">
        <f aca="false">J77+F78-I78</f>
        <v>686021597.211555</v>
      </c>
      <c r="K78" s="22" t="n">
        <f aca="false">IF(MAX(0,$A78-'1. Inputs'!$C$24-'1. Inputs'!$B$30+1)&lt;=0,0,'1. Inputs'!$B$24*('1. Inputs'!$B$5-'5. Diagnosing a miss'!$B$21)*MAX(0,$A78-'1. Inputs'!$C$24-'1. Inputs'!$B$30+1)^'1. Inputs'!$B$7/('1. Inputs'!$B$6^'1. Inputs'!$B$7+MAX(0,$A78-'1. Inputs'!$C$24-'1. Inputs'!$B$30+1)^'1. Inputs'!$B$7)*('1. Inputs'!$B$9+'1. Inputs'!$B$10*MAX(0,$A78-'1. Inputs'!$C$24-'1. Inputs'!$B$30+1)/(MAX(0,$A78-'1. Inputs'!$C$24-'1. Inputs'!$B$30+1)+'1. Inputs'!$B$11))*'1. Inputs'!$B$13*(1+'1. Inputs'!$B$14*MIN(MAX(0,$A78-'1. Inputs'!$C$24-'1. Inputs'!$B$30+1),'1. Inputs'!$B$15))*'1. Inputs'!$B$31)</f>
        <v>3785507.45464344</v>
      </c>
      <c r="L78" s="22" t="n">
        <f aca="false">IF(MAX(0,$A78-'1. Inputs'!$C$25-'1. Inputs'!$B$30+1)&lt;=0,0,'1. Inputs'!$B$25*('1. Inputs'!$B$5-'5. Diagnosing a miss'!$B$21)*MAX(0,$A78-'1. Inputs'!$C$25-'1. Inputs'!$B$30+1)^'1. Inputs'!$B$7/('1. Inputs'!$B$6^'1. Inputs'!$B$7+MAX(0,$A78-'1. Inputs'!$C$25-'1. Inputs'!$B$30+1)^'1. Inputs'!$B$7)*('1. Inputs'!$B$9+'1. Inputs'!$B$10*MAX(0,$A78-'1. Inputs'!$C$25-'1. Inputs'!$B$30+1)/(MAX(0,$A78-'1. Inputs'!$C$25-'1. Inputs'!$B$30+1)+'1. Inputs'!$B$11))*'1. Inputs'!$B$13*(1+'1. Inputs'!$B$14*MIN(MAX(0,$A78-'1. Inputs'!$C$25-'1. Inputs'!$B$30+1),'1. Inputs'!$B$15))*'1. Inputs'!$B$31)</f>
        <v>5018310.40866658</v>
      </c>
      <c r="M78" s="22" t="n">
        <f aca="false">IF(MAX(0,$A78-'1. Inputs'!$C$26-'1. Inputs'!$B$30+1)&lt;=0,0,'1. Inputs'!$B$26*('1. Inputs'!$B$5-'5. Diagnosing a miss'!$B$21)*MAX(0,$A78-'1. Inputs'!$C$26-'1. Inputs'!$B$30+1)^'1. Inputs'!$B$7/('1. Inputs'!$B$6^'1. Inputs'!$B$7+MAX(0,$A78-'1. Inputs'!$C$26-'1. Inputs'!$B$30+1)^'1. Inputs'!$B$7)*('1. Inputs'!$B$9+'1. Inputs'!$B$10*MAX(0,$A78-'1. Inputs'!$C$26-'1. Inputs'!$B$30+1)/(MAX(0,$A78-'1. Inputs'!$C$26-'1. Inputs'!$B$30+1)+'1. Inputs'!$B$11))*'1. Inputs'!$B$13*(1+'1. Inputs'!$B$14*MIN(MAX(0,$A78-'1. Inputs'!$C$26-'1. Inputs'!$B$30+1),'1. Inputs'!$B$15))*'1. Inputs'!$B$31)</f>
        <v>2180352.96732607</v>
      </c>
      <c r="N78" s="22" t="n">
        <f aca="false">IF(MAX(0,$A78-'1. Inputs'!$C$27-'1. Inputs'!$B$30+1)&lt;=0,0,'1. Inputs'!$B$27*('1. Inputs'!$B$5-'5. Diagnosing a miss'!$B$21)*MAX(0,$A78-'1. Inputs'!$C$27-'1. Inputs'!$B$30+1)^'1. Inputs'!$B$7/('1. Inputs'!$B$6^'1. Inputs'!$B$7+MAX(0,$A78-'1. Inputs'!$C$27-'1. Inputs'!$B$30+1)^'1. Inputs'!$B$7)*('1. Inputs'!$B$9+'1. Inputs'!$B$10*MAX(0,$A78-'1. Inputs'!$C$27-'1. Inputs'!$B$30+1)/(MAX(0,$A78-'1. Inputs'!$C$27-'1. Inputs'!$B$30+1)+'1. Inputs'!$B$11))*'1. Inputs'!$B$13*(1+'1. Inputs'!$B$14*MIN(MAX(0,$A78-'1. Inputs'!$C$27-'1. Inputs'!$B$30+1),'1. Inputs'!$B$15))*'1. Inputs'!$B$31)</f>
        <v>1554975.16382326</v>
      </c>
      <c r="O78" s="22" t="n">
        <f aca="false">SUM(K78:N78)</f>
        <v>12539145.9944594</v>
      </c>
      <c r="P78" s="22" t="n">
        <f aca="false">IF($A78=MAX('1. Inputs'!$B$17,1),'1. Inputs'!$B$3,0)+IF($A78-'1. Inputs'!$B$17&gt;=1,INDEX(O$3:O$86,$A78-'1. Inputs'!$B$17),0)</f>
        <v>12293391.9592799</v>
      </c>
      <c r="Q78" s="22" t="n">
        <f aca="false">Q77*(1-'1. Inputs'!$B$18)+P78</f>
        <v>473974505.204132</v>
      </c>
      <c r="R78" s="22" t="n">
        <f aca="false">Q78*'1. Inputs'!$B$18</f>
        <v>4739745.05204132</v>
      </c>
      <c r="S78" s="22" t="n">
        <f aca="false">S77+O78-R78</f>
        <v>618469317.343332</v>
      </c>
      <c r="T78" s="22" t="n">
        <f aca="false">IF(MAX(0,$A78-'1. Inputs'!$C$24-'1. Inputs'!$B$30+1)&lt;=0,0,'1. Inputs'!$B$24*'1. Inputs'!$B$5*MAX(0,$A78-'1. Inputs'!$C$24-'1. Inputs'!$B$30+1)^'1. Inputs'!$B$7/('1. Inputs'!$B$6^'1. Inputs'!$B$7+MAX(0,$A78-'1. Inputs'!$C$24-'1. Inputs'!$B$30+1)^'1. Inputs'!$B$7)*('1. Inputs'!$B$9+'1. Inputs'!$B$10*MAX(0,$A78-'1. Inputs'!$C$24-'1. Inputs'!$B$30+1)/(MAX(0,$A78-'1. Inputs'!$C$24-'1. Inputs'!$B$30+1)+'1. Inputs'!$B$11))*'1. Inputs'!$B$13*(1+'1. Inputs'!$B$14*MIN(MAX(0,$A78-'1. Inputs'!$C$24-'1. Inputs'!$B$30+1),'1. Inputs'!$B$15))*('1. Inputs'!$B$31*'5. Diagnosing a miss'!$B$22))</f>
        <v>3832826.29782648</v>
      </c>
      <c r="U78" s="22" t="n">
        <f aca="false">IF(MAX(0,$A78-'1. Inputs'!$C$25-'1. Inputs'!$B$30+1)&lt;=0,0,'1. Inputs'!$B$25*'1. Inputs'!$B$5*MAX(0,$A78-'1. Inputs'!$C$25-'1. Inputs'!$B$30+1)^'1. Inputs'!$B$7/('1. Inputs'!$B$6^'1. Inputs'!$B$7+MAX(0,$A78-'1. Inputs'!$C$25-'1. Inputs'!$B$30+1)^'1. Inputs'!$B$7)*('1. Inputs'!$B$9+'1. Inputs'!$B$10*MAX(0,$A78-'1. Inputs'!$C$25-'1. Inputs'!$B$30+1)/(MAX(0,$A78-'1. Inputs'!$C$25-'1. Inputs'!$B$30+1)+'1. Inputs'!$B$11))*'1. Inputs'!$B$13*(1+'1. Inputs'!$B$14*MIN(MAX(0,$A78-'1. Inputs'!$C$25-'1. Inputs'!$B$30+1),'1. Inputs'!$B$15))*('1. Inputs'!$B$31*'5. Diagnosing a miss'!$B$22))</f>
        <v>5081039.28877492</v>
      </c>
      <c r="V78" s="22" t="n">
        <f aca="false">IF(MAX(0,$A78-'1. Inputs'!$C$26-'1. Inputs'!$B$30+1)&lt;=0,0,'1. Inputs'!$B$26*'1. Inputs'!$B$5*MAX(0,$A78-'1. Inputs'!$C$26-'1. Inputs'!$B$30+1)^'1. Inputs'!$B$7/('1. Inputs'!$B$6^'1. Inputs'!$B$7+MAX(0,$A78-'1. Inputs'!$C$26-'1. Inputs'!$B$30+1)^'1. Inputs'!$B$7)*('1. Inputs'!$B$9+'1. Inputs'!$B$10*MAX(0,$A78-'1. Inputs'!$C$26-'1. Inputs'!$B$30+1)/(MAX(0,$A78-'1. Inputs'!$C$26-'1. Inputs'!$B$30+1)+'1. Inputs'!$B$11))*'1. Inputs'!$B$13*(1+'1. Inputs'!$B$14*MIN(MAX(0,$A78-'1. Inputs'!$C$26-'1. Inputs'!$B$30+1),'1. Inputs'!$B$15))*('1. Inputs'!$B$31*'5. Diagnosing a miss'!$B$22))</f>
        <v>2207607.37941765</v>
      </c>
      <c r="W78" s="22" t="n">
        <f aca="false">IF(MAX(0,$A78-'1. Inputs'!$C$27-'1. Inputs'!$B$30+1)&lt;=0,0,'1. Inputs'!$B$27*'1. Inputs'!$B$5*MAX(0,$A78-'1. Inputs'!$C$27-'1. Inputs'!$B$30+1)^'1. Inputs'!$B$7/('1. Inputs'!$B$6^'1. Inputs'!$B$7+MAX(0,$A78-'1. Inputs'!$C$27-'1. Inputs'!$B$30+1)^'1. Inputs'!$B$7)*('1. Inputs'!$B$9+'1. Inputs'!$B$10*MAX(0,$A78-'1. Inputs'!$C$27-'1. Inputs'!$B$30+1)/(MAX(0,$A78-'1. Inputs'!$C$27-'1. Inputs'!$B$30+1)+'1. Inputs'!$B$11))*'1. Inputs'!$B$13*(1+'1. Inputs'!$B$14*MIN(MAX(0,$A78-'1. Inputs'!$C$27-'1. Inputs'!$B$30+1),'1. Inputs'!$B$15))*('1. Inputs'!$B$31*'5. Diagnosing a miss'!$B$22))</f>
        <v>1574412.35337105</v>
      </c>
      <c r="X78" s="22" t="n">
        <f aca="false">SUM(T78:W78)</f>
        <v>12695885.3193901</v>
      </c>
      <c r="Y78" s="22" t="n">
        <f aca="false">IF($A78=MAX('1. Inputs'!$B$17,1),'1. Inputs'!$B$3,0)+IF($A78-'1. Inputs'!$B$17&gt;=1,INDEX(X$3:X$86,$A78-'1. Inputs'!$B$17),0)</f>
        <v>12447059.3587709</v>
      </c>
      <c r="Z78" s="22" t="n">
        <f aca="false">Z77*(1-'1. Inputs'!$B$18)+Y78</f>
        <v>478913693.105073</v>
      </c>
      <c r="AA78" s="22" t="n">
        <f aca="false">Z78*'1. Inputs'!$B$18</f>
        <v>4789136.93105073</v>
      </c>
      <c r="AB78" s="22" t="n">
        <f aca="false">AB77+X78-AA78</f>
        <v>625224545.330154</v>
      </c>
      <c r="AC78" s="22" t="n">
        <f aca="false">IF(MAX(0,$A78-'1. Inputs'!$C$24-('1. Inputs'!$B$30+'5. Diagnosing a miss'!$B$23)+1)&lt;=0,0,'1. Inputs'!$B$24*'1. Inputs'!$B$5*MAX(0,$A78-'1. Inputs'!$C$24-('1. Inputs'!$B$30+'5. Diagnosing a miss'!$B$23)+1)^'1. Inputs'!$B$7/('1. Inputs'!$B$6^'1. Inputs'!$B$7+MAX(0,$A78-'1. Inputs'!$C$24-('1. Inputs'!$B$30+'5. Diagnosing a miss'!$B$23)+1)^'1. Inputs'!$B$7)*('1. Inputs'!$B$9+'1. Inputs'!$B$10*MAX(0,$A78-'1. Inputs'!$C$24-('1. Inputs'!$B$30+'5. Diagnosing a miss'!$B$23)+1)/(MAX(0,$A78-'1. Inputs'!$C$24-('1. Inputs'!$B$30+'5. Diagnosing a miss'!$B$23)+1)+'1. Inputs'!$B$11))*'1. Inputs'!$B$13*(1+'1. Inputs'!$B$14*MIN(MAX(0,$A78-'1. Inputs'!$C$24-('1. Inputs'!$B$30+'5. Diagnosing a miss'!$B$23)+1),'1. Inputs'!$B$15))*'1. Inputs'!$B$31)</f>
        <v>4244500.64935703</v>
      </c>
      <c r="AD78" s="22" t="n">
        <f aca="false">IF(MAX(0,$A78-'1. Inputs'!$C$25-('1. Inputs'!$B$30+'5. Diagnosing a miss'!$B$23)+1)&lt;=0,0,'1. Inputs'!$B$25*'1. Inputs'!$B$5*MAX(0,$A78-'1. Inputs'!$C$25-('1. Inputs'!$B$30+'5. Diagnosing a miss'!$B$23)+1)^'1. Inputs'!$B$7/('1. Inputs'!$B$6^'1. Inputs'!$B$7+MAX(0,$A78-'1. Inputs'!$C$25-('1. Inputs'!$B$30+'5. Diagnosing a miss'!$B$23)+1)^'1. Inputs'!$B$7)*('1. Inputs'!$B$9+'1. Inputs'!$B$10*MAX(0,$A78-'1. Inputs'!$C$25-('1. Inputs'!$B$30+'5. Diagnosing a miss'!$B$23)+1)/(MAX(0,$A78-'1. Inputs'!$C$25-('1. Inputs'!$B$30+'5. Diagnosing a miss'!$B$23)+1)+'1. Inputs'!$B$11))*'1. Inputs'!$B$13*(1+'1. Inputs'!$B$14*MIN(MAX(0,$A78-'1. Inputs'!$C$25-('1. Inputs'!$B$30+'5. Diagnosing a miss'!$B$23)+1),'1. Inputs'!$B$15))*'1. Inputs'!$B$31)</f>
        <v>5623079.59031847</v>
      </c>
      <c r="AE78" s="22" t="n">
        <f aca="false">IF(MAX(0,$A78-'1. Inputs'!$C$26-('1. Inputs'!$B$30+'5. Diagnosing a miss'!$B$23)+1)&lt;=0,0,'1. Inputs'!$B$26*'1. Inputs'!$B$5*MAX(0,$A78-'1. Inputs'!$C$26-('1. Inputs'!$B$30+'5. Diagnosing a miss'!$B$23)+1)^'1. Inputs'!$B$7/('1. Inputs'!$B$6^'1. Inputs'!$B$7+MAX(0,$A78-'1. Inputs'!$C$26-('1. Inputs'!$B$30+'5. Diagnosing a miss'!$B$23)+1)^'1. Inputs'!$B$7)*('1. Inputs'!$B$9+'1. Inputs'!$B$10*MAX(0,$A78-'1. Inputs'!$C$26-('1. Inputs'!$B$30+'5. Diagnosing a miss'!$B$23)+1)/(MAX(0,$A78-'1. Inputs'!$C$26-('1. Inputs'!$B$30+'5. Diagnosing a miss'!$B$23)+1)+'1. Inputs'!$B$11))*'1. Inputs'!$B$13*(1+'1. Inputs'!$B$14*MIN(MAX(0,$A78-'1. Inputs'!$C$26-('1. Inputs'!$B$30+'5. Diagnosing a miss'!$B$23)+1),'1. Inputs'!$B$15))*'1. Inputs'!$B$31)</f>
        <v>2441000.04324324</v>
      </c>
      <c r="AF78" s="22" t="n">
        <f aca="false">IF(MAX(0,$A78-'1. Inputs'!$C$27-('1. Inputs'!$B$30+'5. Diagnosing a miss'!$B$23)+1)&lt;=0,0,'1. Inputs'!$B$27*'1. Inputs'!$B$5*MAX(0,$A78-'1. Inputs'!$C$27-('1. Inputs'!$B$30+'5. Diagnosing a miss'!$B$23)+1)^'1. Inputs'!$B$7/('1. Inputs'!$B$6^'1. Inputs'!$B$7+MAX(0,$A78-'1. Inputs'!$C$27-('1. Inputs'!$B$30+'5. Diagnosing a miss'!$B$23)+1)^'1. Inputs'!$B$7)*('1. Inputs'!$B$9+'1. Inputs'!$B$10*MAX(0,$A78-'1. Inputs'!$C$27-('1. Inputs'!$B$30+'5. Diagnosing a miss'!$B$23)+1)/(MAX(0,$A78-'1. Inputs'!$C$27-('1. Inputs'!$B$30+'5. Diagnosing a miss'!$B$23)+1)+'1. Inputs'!$B$11))*'1. Inputs'!$B$13*(1+'1. Inputs'!$B$14*MIN(MAX(0,$A78-'1. Inputs'!$C$27-('1. Inputs'!$B$30+'5. Diagnosing a miss'!$B$23)+1),'1. Inputs'!$B$15))*'1. Inputs'!$B$31)</f>
        <v>1740504.99944849</v>
      </c>
      <c r="AG78" s="22" t="n">
        <f aca="false">SUM(AC78:AF78)</f>
        <v>14049085.2823672</v>
      </c>
      <c r="AH78" s="22" t="n">
        <f aca="false">IF($A78=MAX('1. Inputs'!$B$17,1),'1. Inputs'!$B$3,0)+IF($A78-'1. Inputs'!$B$17&gt;=1,INDEX(AG$3:AG$86,$A78-'1. Inputs'!$B$17),0)</f>
        <v>13736120.6089053</v>
      </c>
      <c r="AI78" s="22" t="n">
        <f aca="false">AI77*(1-'1. Inputs'!$B$18)+AH78</f>
        <v>494731680.870781</v>
      </c>
      <c r="AJ78" s="22" t="n">
        <f aca="false">AI78*'1. Inputs'!$B$18</f>
        <v>4947316.80870781</v>
      </c>
      <c r="AK78" s="22" t="n">
        <f aca="false">AK77+AG78-AJ78</f>
        <v>656808790.860345</v>
      </c>
    </row>
    <row r="79" customFormat="false" ht="15" hidden="false" customHeight="false" outlineLevel="0" collapsed="false">
      <c r="A79" s="7" t="n">
        <v>77</v>
      </c>
      <c r="B79" s="22" t="n">
        <f aca="false">IF(MAX(0,$A79-'1. Inputs'!$C$24-'1. Inputs'!$B$30+1)&lt;=0,0,'1. Inputs'!$B$24*'1. Inputs'!$B$5*MAX(0,$A79-'1. Inputs'!$C$24-'1. Inputs'!$B$30+1)^'1. Inputs'!$B$7/('1. Inputs'!$B$6^'1. Inputs'!$B$7+MAX(0,$A79-'1. Inputs'!$C$24-'1. Inputs'!$B$30+1)^'1. Inputs'!$B$7)*('1. Inputs'!$B$9+'1. Inputs'!$B$10*MAX(0,$A79-'1. Inputs'!$C$24-'1. Inputs'!$B$30+1)/(MAX(0,$A79-'1. Inputs'!$C$24-'1. Inputs'!$B$30+1)+'1. Inputs'!$B$11))*'1. Inputs'!$B$13*(1+'1. Inputs'!$B$14*MIN(MAX(0,$A79-'1. Inputs'!$C$24-'1. Inputs'!$B$30+1),'1. Inputs'!$B$15))*'1. Inputs'!$B$31)</f>
        <v>4263123.82861808</v>
      </c>
      <c r="C79" s="22" t="n">
        <f aca="false">IF(MAX(0,$A79-'1. Inputs'!$C$25-'1. Inputs'!$B$30+1)&lt;=0,0,'1. Inputs'!$B$25*'1. Inputs'!$B$5*MAX(0,$A79-'1. Inputs'!$C$25-'1. Inputs'!$B$30+1)^'1. Inputs'!$B$7/('1. Inputs'!$B$6^'1. Inputs'!$B$7+MAX(0,$A79-'1. Inputs'!$C$25-'1. Inputs'!$B$30+1)^'1. Inputs'!$B$7)*('1. Inputs'!$B$9+'1. Inputs'!$B$10*MAX(0,$A79-'1. Inputs'!$C$25-'1. Inputs'!$B$30+1)/(MAX(0,$A79-'1. Inputs'!$C$25-'1. Inputs'!$B$30+1)+'1. Inputs'!$B$11))*'1. Inputs'!$B$13*(1+'1. Inputs'!$B$14*MIN(MAX(0,$A79-'1. Inputs'!$C$25-'1. Inputs'!$B$30+1),'1. Inputs'!$B$15))*'1. Inputs'!$B$31)</f>
        <v>5652585.93103448</v>
      </c>
      <c r="D79" s="22" t="n">
        <f aca="false">IF(MAX(0,$A79-'1. Inputs'!$C$26-'1. Inputs'!$B$30+1)&lt;=0,0,'1. Inputs'!$B$26*'1. Inputs'!$B$5*MAX(0,$A79-'1. Inputs'!$C$26-'1. Inputs'!$B$30+1)^'1. Inputs'!$B$7/('1. Inputs'!$B$6^'1. Inputs'!$B$7+MAX(0,$A79-'1. Inputs'!$C$26-'1. Inputs'!$B$30+1)^'1. Inputs'!$B$7)*('1. Inputs'!$B$9+'1. Inputs'!$B$10*MAX(0,$A79-'1. Inputs'!$C$26-'1. Inputs'!$B$30+1)/(MAX(0,$A79-'1. Inputs'!$C$26-'1. Inputs'!$B$30+1)+'1. Inputs'!$B$11))*'1. Inputs'!$B$13*(1+'1. Inputs'!$B$14*MIN(MAX(0,$A79-'1. Inputs'!$C$26-'1. Inputs'!$B$30+1),'1. Inputs'!$B$15))*'1. Inputs'!$B$31)</f>
        <v>2456565.01128236</v>
      </c>
      <c r="E79" s="22" t="n">
        <f aca="false">IF(MAX(0,$A79-'1. Inputs'!$C$27-'1. Inputs'!$B$30+1)&lt;=0,0,'1. Inputs'!$B$27*'1. Inputs'!$B$5*MAX(0,$A79-'1. Inputs'!$C$27-'1. Inputs'!$B$30+1)^'1. Inputs'!$B$7/('1. Inputs'!$B$6^'1. Inputs'!$B$7+MAX(0,$A79-'1. Inputs'!$C$27-'1. Inputs'!$B$30+1)^'1. Inputs'!$B$7)*('1. Inputs'!$B$9+'1. Inputs'!$B$10*MAX(0,$A79-'1. Inputs'!$C$27-'1. Inputs'!$B$30+1)/(MAX(0,$A79-'1. Inputs'!$C$27-'1. Inputs'!$B$30+1)+'1. Inputs'!$B$11))*'1. Inputs'!$B$13*(1+'1. Inputs'!$B$14*MIN(MAX(0,$A79-'1. Inputs'!$C$27-'1. Inputs'!$B$30+1),'1. Inputs'!$B$15))*'1. Inputs'!$B$31)</f>
        <v>1752069.34874417</v>
      </c>
      <c r="F79" s="22" t="n">
        <f aca="false">SUM(B79:E79)</f>
        <v>14124344.1196791</v>
      </c>
      <c r="G79" s="22" t="n">
        <f aca="false">IF($A79=MAX('1. Inputs'!$B$17,1),'1. Inputs'!$B$3,0)+IF($A79-'1. Inputs'!$B$17&gt;=1,INDEX(F$3:F$86,$A79-'1. Inputs'!$B$17),0)</f>
        <v>13858663.3799563</v>
      </c>
      <c r="H79" s="22" t="n">
        <f aca="false">H78*(1-'1. Inputs'!$B$18)+G79</f>
        <v>531991383.751365</v>
      </c>
      <c r="I79" s="22" t="n">
        <f aca="false">H79*'1. Inputs'!$B$18</f>
        <v>5319913.83751365</v>
      </c>
      <c r="J79" s="22" t="n">
        <f aca="false">J78+F79-I79</f>
        <v>694826027.493721</v>
      </c>
      <c r="K79" s="22" t="n">
        <f aca="false">IF(MAX(0,$A79-'1. Inputs'!$C$24-'1. Inputs'!$B$30+1)&lt;=0,0,'1. Inputs'!$B$24*('1. Inputs'!$B$5-'5. Diagnosing a miss'!$B$21)*MAX(0,$A79-'1. Inputs'!$C$24-'1. Inputs'!$B$30+1)^'1. Inputs'!$B$7/('1. Inputs'!$B$6^'1. Inputs'!$B$7+MAX(0,$A79-'1. Inputs'!$C$24-'1. Inputs'!$B$30+1)^'1. Inputs'!$B$7)*('1. Inputs'!$B$9+'1. Inputs'!$B$10*MAX(0,$A79-'1. Inputs'!$C$24-'1. Inputs'!$B$30+1)/(MAX(0,$A79-'1. Inputs'!$C$24-'1. Inputs'!$B$30+1)+'1. Inputs'!$B$11))*'1. Inputs'!$B$13*(1+'1. Inputs'!$B$14*MIN(MAX(0,$A79-'1. Inputs'!$C$24-'1. Inputs'!$B$30+1),'1. Inputs'!$B$15))*'1. Inputs'!$B$31)</f>
        <v>3789443.40321607</v>
      </c>
      <c r="L79" s="22" t="n">
        <f aca="false">IF(MAX(0,$A79-'1. Inputs'!$C$25-'1. Inputs'!$B$30+1)&lt;=0,0,'1. Inputs'!$B$25*('1. Inputs'!$B$5-'5. Diagnosing a miss'!$B$21)*MAX(0,$A79-'1. Inputs'!$C$25-'1. Inputs'!$B$30+1)^'1. Inputs'!$B$7/('1. Inputs'!$B$6^'1. Inputs'!$B$7+MAX(0,$A79-'1. Inputs'!$C$25-'1. Inputs'!$B$30+1)^'1. Inputs'!$B$7)*('1. Inputs'!$B$9+'1. Inputs'!$B$10*MAX(0,$A79-'1. Inputs'!$C$25-'1. Inputs'!$B$30+1)/(MAX(0,$A79-'1. Inputs'!$C$25-'1. Inputs'!$B$30+1)+'1. Inputs'!$B$11))*'1. Inputs'!$B$13*(1+'1. Inputs'!$B$14*MIN(MAX(0,$A79-'1. Inputs'!$C$25-'1. Inputs'!$B$30+1),'1. Inputs'!$B$15))*'1. Inputs'!$B$31)</f>
        <v>5024520.82758621</v>
      </c>
      <c r="M79" s="22" t="n">
        <f aca="false">IF(MAX(0,$A79-'1. Inputs'!$C$26-'1. Inputs'!$B$30+1)&lt;=0,0,'1. Inputs'!$B$26*('1. Inputs'!$B$5-'5. Diagnosing a miss'!$B$21)*MAX(0,$A79-'1. Inputs'!$C$26-'1. Inputs'!$B$30+1)^'1. Inputs'!$B$7/('1. Inputs'!$B$6^'1. Inputs'!$B$7+MAX(0,$A79-'1. Inputs'!$C$26-'1. Inputs'!$B$30+1)^'1. Inputs'!$B$7)*('1. Inputs'!$B$9+'1. Inputs'!$B$10*MAX(0,$A79-'1. Inputs'!$C$26-'1. Inputs'!$B$30+1)/(MAX(0,$A79-'1. Inputs'!$C$26-'1. Inputs'!$B$30+1)+'1. Inputs'!$B$11))*'1. Inputs'!$B$13*(1+'1. Inputs'!$B$14*MIN(MAX(0,$A79-'1. Inputs'!$C$26-'1. Inputs'!$B$30+1),'1. Inputs'!$B$15))*'1. Inputs'!$B$31)</f>
        <v>2183613.3433621</v>
      </c>
      <c r="N79" s="22" t="n">
        <f aca="false">IF(MAX(0,$A79-'1. Inputs'!$C$27-'1. Inputs'!$B$30+1)&lt;=0,0,'1. Inputs'!$B$27*('1. Inputs'!$B$5-'5. Diagnosing a miss'!$B$21)*MAX(0,$A79-'1. Inputs'!$C$27-'1. Inputs'!$B$30+1)^'1. Inputs'!$B$7/('1. Inputs'!$B$6^'1. Inputs'!$B$7+MAX(0,$A79-'1. Inputs'!$C$27-'1. Inputs'!$B$30+1)^'1. Inputs'!$B$7)*('1. Inputs'!$B$9+'1. Inputs'!$B$10*MAX(0,$A79-'1. Inputs'!$C$27-'1. Inputs'!$B$30+1)/(MAX(0,$A79-'1. Inputs'!$C$27-'1. Inputs'!$B$30+1)+'1. Inputs'!$B$11))*'1. Inputs'!$B$13*(1+'1. Inputs'!$B$14*MIN(MAX(0,$A79-'1. Inputs'!$C$27-'1. Inputs'!$B$30+1),'1. Inputs'!$B$15))*'1. Inputs'!$B$31)</f>
        <v>1557394.97666148</v>
      </c>
      <c r="O79" s="22" t="n">
        <f aca="false">SUM(K79:N79)</f>
        <v>12554972.5508259</v>
      </c>
      <c r="P79" s="22" t="n">
        <f aca="false">IF($A79=MAX('1. Inputs'!$B$17,1),'1. Inputs'!$B$3,0)+IF($A79-'1. Inputs'!$B$17&gt;=1,INDEX(O$3:O$86,$A79-'1. Inputs'!$B$17),0)</f>
        <v>12318811.8932945</v>
      </c>
      <c r="Q79" s="22" t="n">
        <f aca="false">Q78*(1-'1. Inputs'!$B$18)+P79</f>
        <v>481553572.045385</v>
      </c>
      <c r="R79" s="22" t="n">
        <f aca="false">Q79*'1. Inputs'!$B$18</f>
        <v>4815535.72045385</v>
      </c>
      <c r="S79" s="22" t="n">
        <f aca="false">S78+O79-R79</f>
        <v>626208754.173704</v>
      </c>
      <c r="T79" s="22" t="n">
        <f aca="false">IF(MAX(0,$A79-'1. Inputs'!$C$24-'1. Inputs'!$B$30+1)&lt;=0,0,'1. Inputs'!$B$24*'1. Inputs'!$B$5*MAX(0,$A79-'1. Inputs'!$C$24-'1. Inputs'!$B$30+1)^'1. Inputs'!$B$7/('1. Inputs'!$B$6^'1. Inputs'!$B$7+MAX(0,$A79-'1. Inputs'!$C$24-'1. Inputs'!$B$30+1)^'1. Inputs'!$B$7)*('1. Inputs'!$B$9+'1. Inputs'!$B$10*MAX(0,$A79-'1. Inputs'!$C$24-'1. Inputs'!$B$30+1)/(MAX(0,$A79-'1. Inputs'!$C$24-'1. Inputs'!$B$30+1)+'1. Inputs'!$B$11))*'1. Inputs'!$B$13*(1+'1. Inputs'!$B$14*MIN(MAX(0,$A79-'1. Inputs'!$C$24-'1. Inputs'!$B$30+1),'1. Inputs'!$B$15))*('1. Inputs'!$B$31*'5. Diagnosing a miss'!$B$22))</f>
        <v>3836811.44575627</v>
      </c>
      <c r="U79" s="22" t="n">
        <f aca="false">IF(MAX(0,$A79-'1. Inputs'!$C$25-'1. Inputs'!$B$30+1)&lt;=0,0,'1. Inputs'!$B$25*'1. Inputs'!$B$5*MAX(0,$A79-'1. Inputs'!$C$25-'1. Inputs'!$B$30+1)^'1. Inputs'!$B$7/('1. Inputs'!$B$6^'1. Inputs'!$B$7+MAX(0,$A79-'1. Inputs'!$C$25-'1. Inputs'!$B$30+1)^'1. Inputs'!$B$7)*('1. Inputs'!$B$9+'1. Inputs'!$B$10*MAX(0,$A79-'1. Inputs'!$C$25-'1. Inputs'!$B$30+1)/(MAX(0,$A79-'1. Inputs'!$C$25-'1. Inputs'!$B$30+1)+'1. Inputs'!$B$11))*'1. Inputs'!$B$13*(1+'1. Inputs'!$B$14*MIN(MAX(0,$A79-'1. Inputs'!$C$25-'1. Inputs'!$B$30+1),'1. Inputs'!$B$15))*('1. Inputs'!$B$31*'5. Diagnosing a miss'!$B$22))</f>
        <v>5087327.33793104</v>
      </c>
      <c r="V79" s="22" t="n">
        <f aca="false">IF(MAX(0,$A79-'1. Inputs'!$C$26-'1. Inputs'!$B$30+1)&lt;=0,0,'1. Inputs'!$B$26*'1. Inputs'!$B$5*MAX(0,$A79-'1. Inputs'!$C$26-'1. Inputs'!$B$30+1)^'1. Inputs'!$B$7/('1. Inputs'!$B$6^'1. Inputs'!$B$7+MAX(0,$A79-'1. Inputs'!$C$26-'1. Inputs'!$B$30+1)^'1. Inputs'!$B$7)*('1. Inputs'!$B$9+'1. Inputs'!$B$10*MAX(0,$A79-'1. Inputs'!$C$26-'1. Inputs'!$B$30+1)/(MAX(0,$A79-'1. Inputs'!$C$26-'1. Inputs'!$B$30+1)+'1. Inputs'!$B$11))*'1. Inputs'!$B$13*(1+'1. Inputs'!$B$14*MIN(MAX(0,$A79-'1. Inputs'!$C$26-'1. Inputs'!$B$30+1),'1. Inputs'!$B$15))*('1. Inputs'!$B$31*'5. Diagnosing a miss'!$B$22))</f>
        <v>2210908.51015412</v>
      </c>
      <c r="W79" s="22" t="n">
        <f aca="false">IF(MAX(0,$A79-'1. Inputs'!$C$27-'1. Inputs'!$B$30+1)&lt;=0,0,'1. Inputs'!$B$27*'1. Inputs'!$B$5*MAX(0,$A79-'1. Inputs'!$C$27-'1. Inputs'!$B$30+1)^'1. Inputs'!$B$7/('1. Inputs'!$B$6^'1. Inputs'!$B$7+MAX(0,$A79-'1. Inputs'!$C$27-'1. Inputs'!$B$30+1)^'1. Inputs'!$B$7)*('1. Inputs'!$B$9+'1. Inputs'!$B$10*MAX(0,$A79-'1. Inputs'!$C$27-'1. Inputs'!$B$30+1)/(MAX(0,$A79-'1. Inputs'!$C$27-'1. Inputs'!$B$30+1)+'1. Inputs'!$B$11))*'1. Inputs'!$B$13*(1+'1. Inputs'!$B$14*MIN(MAX(0,$A79-'1. Inputs'!$C$27-'1. Inputs'!$B$30+1),'1. Inputs'!$B$15))*('1. Inputs'!$B$31*'5. Diagnosing a miss'!$B$22))</f>
        <v>1576862.41386975</v>
      </c>
      <c r="X79" s="22" t="n">
        <f aca="false">SUM(T79:W79)</f>
        <v>12711909.7077112</v>
      </c>
      <c r="Y79" s="22" t="n">
        <f aca="false">IF($A79=MAX('1. Inputs'!$B$17,1),'1. Inputs'!$B$3,0)+IF($A79-'1. Inputs'!$B$17&gt;=1,INDEX(X$3:X$86,$A79-'1. Inputs'!$B$17),0)</f>
        <v>12472797.0419607</v>
      </c>
      <c r="Z79" s="22" t="n">
        <f aca="false">Z78*(1-'1. Inputs'!$B$18)+Y79</f>
        <v>486597353.215983</v>
      </c>
      <c r="AA79" s="22" t="n">
        <f aca="false">Z79*'1. Inputs'!$B$18</f>
        <v>4865973.53215983</v>
      </c>
      <c r="AB79" s="22" t="n">
        <f aca="false">AB78+X79-AA79</f>
        <v>633070481.505706</v>
      </c>
      <c r="AC79" s="22" t="n">
        <f aca="false">IF(MAX(0,$A79-'1. Inputs'!$C$24-('1. Inputs'!$B$30+'5. Diagnosing a miss'!$B$23)+1)&lt;=0,0,'1. Inputs'!$B$24*'1. Inputs'!$B$5*MAX(0,$A79-'1. Inputs'!$C$24-('1. Inputs'!$B$30+'5. Diagnosing a miss'!$B$23)+1)^'1. Inputs'!$B$7/('1. Inputs'!$B$6^'1. Inputs'!$B$7+MAX(0,$A79-'1. Inputs'!$C$24-('1. Inputs'!$B$30+'5. Diagnosing a miss'!$B$23)+1)^'1. Inputs'!$B$7)*('1. Inputs'!$B$9+'1. Inputs'!$B$10*MAX(0,$A79-'1. Inputs'!$C$24-('1. Inputs'!$B$30+'5. Diagnosing a miss'!$B$23)+1)/(MAX(0,$A79-'1. Inputs'!$C$24-('1. Inputs'!$B$30+'5. Diagnosing a miss'!$B$23)+1)+'1. Inputs'!$B$11))*'1. Inputs'!$B$13*(1+'1. Inputs'!$B$14*MIN(MAX(0,$A79-'1. Inputs'!$C$24-('1. Inputs'!$B$30+'5. Diagnosing a miss'!$B$23)+1),'1. Inputs'!$B$15))*'1. Inputs'!$B$31)</f>
        <v>4249391.747158</v>
      </c>
      <c r="AD79" s="22" t="n">
        <f aca="false">IF(MAX(0,$A79-'1. Inputs'!$C$25-('1. Inputs'!$B$30+'5. Diagnosing a miss'!$B$23)+1)&lt;=0,0,'1. Inputs'!$B$25*'1. Inputs'!$B$5*MAX(0,$A79-'1. Inputs'!$C$25-('1. Inputs'!$B$30+'5. Diagnosing a miss'!$B$23)+1)^'1. Inputs'!$B$7/('1. Inputs'!$B$6^'1. Inputs'!$B$7+MAX(0,$A79-'1. Inputs'!$C$25-('1. Inputs'!$B$30+'5. Diagnosing a miss'!$B$23)+1)^'1. Inputs'!$B$7)*('1. Inputs'!$B$9+'1. Inputs'!$B$10*MAX(0,$A79-'1. Inputs'!$C$25-('1. Inputs'!$B$30+'5. Diagnosing a miss'!$B$23)+1)/(MAX(0,$A79-'1. Inputs'!$C$25-('1. Inputs'!$B$30+'5. Diagnosing a miss'!$B$23)+1)+'1. Inputs'!$B$11))*'1. Inputs'!$B$13*(1+'1. Inputs'!$B$14*MIN(MAX(0,$A79-'1. Inputs'!$C$25-('1. Inputs'!$B$30+'5. Diagnosing a miss'!$B$23)+1),'1. Inputs'!$B$15))*'1. Inputs'!$B$31)</f>
        <v>5630859.79826087</v>
      </c>
      <c r="AE79" s="22" t="n">
        <f aca="false">IF(MAX(0,$A79-'1. Inputs'!$C$26-('1. Inputs'!$B$30+'5. Diagnosing a miss'!$B$23)+1)&lt;=0,0,'1. Inputs'!$B$26*'1. Inputs'!$B$5*MAX(0,$A79-'1. Inputs'!$C$26-('1. Inputs'!$B$30+'5. Diagnosing a miss'!$B$23)+1)^'1. Inputs'!$B$7/('1. Inputs'!$B$6^'1. Inputs'!$B$7+MAX(0,$A79-'1. Inputs'!$C$26-('1. Inputs'!$B$30+'5. Diagnosing a miss'!$B$23)+1)^'1. Inputs'!$B$7)*('1. Inputs'!$B$9+'1. Inputs'!$B$10*MAX(0,$A79-'1. Inputs'!$C$26-('1. Inputs'!$B$30+'5. Diagnosing a miss'!$B$23)+1)/(MAX(0,$A79-'1. Inputs'!$C$26-('1. Inputs'!$B$30+'5. Diagnosing a miss'!$B$23)+1)+'1. Inputs'!$B$11))*'1. Inputs'!$B$13*(1+'1. Inputs'!$B$14*MIN(MAX(0,$A79-'1. Inputs'!$C$26-('1. Inputs'!$B$30+'5. Diagnosing a miss'!$B$23)+1),'1. Inputs'!$B$15))*'1. Inputs'!$B$31)</f>
        <v>2445123.15587808</v>
      </c>
      <c r="AF79" s="22" t="n">
        <f aca="false">IF(MAX(0,$A79-'1. Inputs'!$C$27-('1. Inputs'!$B$30+'5. Diagnosing a miss'!$B$23)+1)&lt;=0,0,'1. Inputs'!$B$27*'1. Inputs'!$B$5*MAX(0,$A79-'1. Inputs'!$C$27-('1. Inputs'!$B$30+'5. Diagnosing a miss'!$B$23)+1)^'1. Inputs'!$B$7/('1. Inputs'!$B$6^'1. Inputs'!$B$7+MAX(0,$A79-'1. Inputs'!$C$27-('1. Inputs'!$B$30+'5. Diagnosing a miss'!$B$23)+1)^'1. Inputs'!$B$7)*('1. Inputs'!$B$9+'1. Inputs'!$B$10*MAX(0,$A79-'1. Inputs'!$C$27-('1. Inputs'!$B$30+'5. Diagnosing a miss'!$B$23)+1)/(MAX(0,$A79-'1. Inputs'!$C$27-('1. Inputs'!$B$30+'5. Diagnosing a miss'!$B$23)+1)+'1. Inputs'!$B$11))*'1. Inputs'!$B$13*(1+'1. Inputs'!$B$14*MIN(MAX(0,$A79-'1. Inputs'!$C$27-('1. Inputs'!$B$30+'5. Diagnosing a miss'!$B$23)+1),'1. Inputs'!$B$15))*'1. Inputs'!$B$31)</f>
        <v>1743571.45945946</v>
      </c>
      <c r="AG79" s="22" t="n">
        <f aca="false">SUM(AC79:AF79)</f>
        <v>14068946.1607564</v>
      </c>
      <c r="AH79" s="22" t="n">
        <f aca="false">IF($A79=MAX('1. Inputs'!$B$17,1),'1. Inputs'!$B$3,0)+IF($A79-'1. Inputs'!$B$17&gt;=1,INDEX(AG$3:AG$86,$A79-'1. Inputs'!$B$17),0)</f>
        <v>13768885.4003896</v>
      </c>
      <c r="AI79" s="22" t="n">
        <f aca="false">AI78*(1-'1. Inputs'!$B$18)+AH79</f>
        <v>503553249.462462</v>
      </c>
      <c r="AJ79" s="22" t="n">
        <f aca="false">AI79*'1. Inputs'!$B$18</f>
        <v>5035532.49462462</v>
      </c>
      <c r="AK79" s="22" t="n">
        <f aca="false">AK78+AG79-AJ79</f>
        <v>665842204.526477</v>
      </c>
    </row>
    <row r="80" customFormat="false" ht="15" hidden="false" customHeight="false" outlineLevel="0" collapsed="false">
      <c r="A80" s="7" t="n">
        <v>78</v>
      </c>
      <c r="B80" s="22" t="n">
        <f aca="false">IF(MAX(0,$A80-'1. Inputs'!$C$24-'1. Inputs'!$B$30+1)&lt;=0,0,'1. Inputs'!$B$24*'1. Inputs'!$B$5*MAX(0,$A80-'1. Inputs'!$C$24-'1. Inputs'!$B$30+1)^'1. Inputs'!$B$7/('1. Inputs'!$B$6^'1. Inputs'!$B$7+MAX(0,$A80-'1. Inputs'!$C$24-'1. Inputs'!$B$30+1)^'1. Inputs'!$B$7)*('1. Inputs'!$B$9+'1. Inputs'!$B$10*MAX(0,$A80-'1. Inputs'!$C$24-'1. Inputs'!$B$30+1)/(MAX(0,$A80-'1. Inputs'!$C$24-'1. Inputs'!$B$30+1)+'1. Inputs'!$B$11))*'1. Inputs'!$B$13*(1+'1. Inputs'!$B$14*MIN(MAX(0,$A80-'1. Inputs'!$C$24-'1. Inputs'!$B$30+1),'1. Inputs'!$B$15))*'1. Inputs'!$B$31)</f>
        <v>4267411.5408284</v>
      </c>
      <c r="C80" s="22" t="n">
        <f aca="false">IF(MAX(0,$A80-'1. Inputs'!$C$25-'1. Inputs'!$B$30+1)&lt;=0,0,'1. Inputs'!$B$25*'1. Inputs'!$B$5*MAX(0,$A80-'1. Inputs'!$C$25-'1. Inputs'!$B$30+1)^'1. Inputs'!$B$7/('1. Inputs'!$B$6^'1. Inputs'!$B$7+MAX(0,$A80-'1. Inputs'!$C$25-'1. Inputs'!$B$30+1)^'1. Inputs'!$B$7)*('1. Inputs'!$B$9+'1. Inputs'!$B$10*MAX(0,$A80-'1. Inputs'!$C$25-'1. Inputs'!$B$30+1)/(MAX(0,$A80-'1. Inputs'!$C$25-'1. Inputs'!$B$30+1)+'1. Inputs'!$B$11))*'1. Inputs'!$B$13*(1+'1. Inputs'!$B$14*MIN(MAX(0,$A80-'1. Inputs'!$C$25-'1. Inputs'!$B$30+1),'1. Inputs'!$B$15))*'1. Inputs'!$B$31)</f>
        <v>5659334.19914271</v>
      </c>
      <c r="D80" s="22" t="n">
        <f aca="false">IF(MAX(0,$A80-'1. Inputs'!$C$26-'1. Inputs'!$B$30+1)&lt;=0,0,'1. Inputs'!$B$26*'1. Inputs'!$B$5*MAX(0,$A80-'1. Inputs'!$C$26-'1. Inputs'!$B$30+1)^'1. Inputs'!$B$7/('1. Inputs'!$B$6^'1. Inputs'!$B$7+MAX(0,$A80-'1. Inputs'!$C$26-'1. Inputs'!$B$30+1)^'1. Inputs'!$B$7)*('1. Inputs'!$B$9+'1. Inputs'!$B$10*MAX(0,$A80-'1. Inputs'!$C$26-'1. Inputs'!$B$30+1)/(MAX(0,$A80-'1. Inputs'!$C$26-'1. Inputs'!$B$30+1)+'1. Inputs'!$B$11))*'1. Inputs'!$B$13*(1+'1. Inputs'!$B$14*MIN(MAX(0,$A80-'1. Inputs'!$C$26-'1. Inputs'!$B$30+1),'1. Inputs'!$B$15))*'1. Inputs'!$B$31)</f>
        <v>2460097.32076433</v>
      </c>
      <c r="E80" s="22" t="n">
        <f aca="false">IF(MAX(0,$A80-'1. Inputs'!$C$27-'1. Inputs'!$B$30+1)&lt;=0,0,'1. Inputs'!$B$27*'1. Inputs'!$B$5*MAX(0,$A80-'1. Inputs'!$C$27-'1. Inputs'!$B$30+1)^'1. Inputs'!$B$7/('1. Inputs'!$B$6^'1. Inputs'!$B$7+MAX(0,$A80-'1. Inputs'!$C$27-'1. Inputs'!$B$30+1)^'1. Inputs'!$B$7)*('1. Inputs'!$B$9+'1. Inputs'!$B$10*MAX(0,$A80-'1. Inputs'!$C$27-'1. Inputs'!$B$30+1)/(MAX(0,$A80-'1. Inputs'!$C$27-'1. Inputs'!$B$30+1)+'1. Inputs'!$B$11))*'1. Inputs'!$B$13*(1+'1. Inputs'!$B$14*MIN(MAX(0,$A80-'1. Inputs'!$C$27-'1. Inputs'!$B$30+1),'1. Inputs'!$B$15))*'1. Inputs'!$B$31)</f>
        <v>1754689.29377311</v>
      </c>
      <c r="F80" s="22" t="n">
        <f aca="false">SUM(B80:E80)</f>
        <v>14141532.3545086</v>
      </c>
      <c r="G80" s="22" t="n">
        <f aca="false">IF($A80=MAX('1. Inputs'!$B$17,1),'1. Inputs'!$B$3,0)+IF($A80-'1. Inputs'!$B$17&gt;=1,INDEX(F$3:F$86,$A80-'1. Inputs'!$B$17),0)</f>
        <v>13886041.3020714</v>
      </c>
      <c r="H80" s="22" t="n">
        <f aca="false">H79*(1-'1. Inputs'!$B$18)+G80</f>
        <v>540557511.215923</v>
      </c>
      <c r="I80" s="22" t="n">
        <f aca="false">H80*'1. Inputs'!$B$18</f>
        <v>5405575.11215923</v>
      </c>
      <c r="J80" s="22" t="n">
        <f aca="false">J79+F80-I80</f>
        <v>703561984.73607</v>
      </c>
      <c r="K80" s="22" t="n">
        <f aca="false">IF(MAX(0,$A80-'1. Inputs'!$C$24-'1. Inputs'!$B$30+1)&lt;=0,0,'1. Inputs'!$B$24*('1. Inputs'!$B$5-'5. Diagnosing a miss'!$B$21)*MAX(0,$A80-'1. Inputs'!$C$24-'1. Inputs'!$B$30+1)^'1. Inputs'!$B$7/('1. Inputs'!$B$6^'1. Inputs'!$B$7+MAX(0,$A80-'1. Inputs'!$C$24-'1. Inputs'!$B$30+1)^'1. Inputs'!$B$7)*('1. Inputs'!$B$9+'1. Inputs'!$B$10*MAX(0,$A80-'1. Inputs'!$C$24-'1. Inputs'!$B$30+1)/(MAX(0,$A80-'1. Inputs'!$C$24-'1. Inputs'!$B$30+1)+'1. Inputs'!$B$11))*'1. Inputs'!$B$13*(1+'1. Inputs'!$B$14*MIN(MAX(0,$A80-'1. Inputs'!$C$24-'1. Inputs'!$B$30+1),'1. Inputs'!$B$15))*'1. Inputs'!$B$31)</f>
        <v>3793254.70295858</v>
      </c>
      <c r="L80" s="22" t="n">
        <f aca="false">IF(MAX(0,$A80-'1. Inputs'!$C$25-'1. Inputs'!$B$30+1)&lt;=0,0,'1. Inputs'!$B$25*('1. Inputs'!$B$5-'5. Diagnosing a miss'!$B$21)*MAX(0,$A80-'1. Inputs'!$C$25-'1. Inputs'!$B$30+1)^'1. Inputs'!$B$7/('1. Inputs'!$B$6^'1. Inputs'!$B$7+MAX(0,$A80-'1. Inputs'!$C$25-'1. Inputs'!$B$30+1)^'1. Inputs'!$B$7)*('1. Inputs'!$B$9+'1. Inputs'!$B$10*MAX(0,$A80-'1. Inputs'!$C$25-'1. Inputs'!$B$30+1)/(MAX(0,$A80-'1. Inputs'!$C$25-'1. Inputs'!$B$30+1)+'1. Inputs'!$B$11))*'1. Inputs'!$B$13*(1+'1. Inputs'!$B$14*MIN(MAX(0,$A80-'1. Inputs'!$C$25-'1. Inputs'!$B$30+1),'1. Inputs'!$B$15))*'1. Inputs'!$B$31)</f>
        <v>5030519.28812685</v>
      </c>
      <c r="M80" s="22" t="n">
        <f aca="false">IF(MAX(0,$A80-'1. Inputs'!$C$26-'1. Inputs'!$B$30+1)&lt;=0,0,'1. Inputs'!$B$26*('1. Inputs'!$B$5-'5. Diagnosing a miss'!$B$21)*MAX(0,$A80-'1. Inputs'!$C$26-'1. Inputs'!$B$30+1)^'1. Inputs'!$B$7/('1. Inputs'!$B$6^'1. Inputs'!$B$7+MAX(0,$A80-'1. Inputs'!$C$26-'1. Inputs'!$B$30+1)^'1. Inputs'!$B$7)*('1. Inputs'!$B$9+'1. Inputs'!$B$10*MAX(0,$A80-'1. Inputs'!$C$26-'1. Inputs'!$B$30+1)/(MAX(0,$A80-'1. Inputs'!$C$26-'1. Inputs'!$B$30+1)+'1. Inputs'!$B$11))*'1. Inputs'!$B$13*(1+'1. Inputs'!$B$14*MIN(MAX(0,$A80-'1. Inputs'!$C$26-'1. Inputs'!$B$30+1),'1. Inputs'!$B$15))*'1. Inputs'!$B$31)</f>
        <v>2186753.17401274</v>
      </c>
      <c r="N80" s="22" t="n">
        <f aca="false">IF(MAX(0,$A80-'1. Inputs'!$C$27-'1. Inputs'!$B$30+1)&lt;=0,0,'1. Inputs'!$B$27*('1. Inputs'!$B$5-'5. Diagnosing a miss'!$B$21)*MAX(0,$A80-'1. Inputs'!$C$27-'1. Inputs'!$B$30+1)^'1. Inputs'!$B$7/('1. Inputs'!$B$6^'1. Inputs'!$B$7+MAX(0,$A80-'1. Inputs'!$C$27-'1. Inputs'!$B$30+1)^'1. Inputs'!$B$7)*('1. Inputs'!$B$9+'1. Inputs'!$B$10*MAX(0,$A80-'1. Inputs'!$C$27-'1. Inputs'!$B$30+1)/(MAX(0,$A80-'1. Inputs'!$C$27-'1. Inputs'!$B$30+1)+'1. Inputs'!$B$11))*'1. Inputs'!$B$13*(1+'1. Inputs'!$B$14*MIN(MAX(0,$A80-'1. Inputs'!$C$27-'1. Inputs'!$B$30+1),'1. Inputs'!$B$15))*'1. Inputs'!$B$31)</f>
        <v>1559723.81668721</v>
      </c>
      <c r="O80" s="22" t="n">
        <f aca="false">SUM(K80:N80)</f>
        <v>12570250.9817854</v>
      </c>
      <c r="P80" s="22" t="n">
        <f aca="false">IF($A80=MAX('1. Inputs'!$B$17,1),'1. Inputs'!$B$3,0)+IF($A80-'1. Inputs'!$B$17&gt;=1,INDEX(O$3:O$86,$A80-'1. Inputs'!$B$17),0)</f>
        <v>12343147.8240635</v>
      </c>
      <c r="Q80" s="22" t="n">
        <f aca="false">Q79*(1-'1. Inputs'!$B$18)+P80</f>
        <v>489081184.148994</v>
      </c>
      <c r="R80" s="22" t="n">
        <f aca="false">Q80*'1. Inputs'!$B$18</f>
        <v>4890811.84148994</v>
      </c>
      <c r="S80" s="22" t="n">
        <f aca="false">S79+O80-R80</f>
        <v>633888193.314</v>
      </c>
      <c r="T80" s="22" t="n">
        <f aca="false">IF(MAX(0,$A80-'1. Inputs'!$C$24-'1. Inputs'!$B$30+1)&lt;=0,0,'1. Inputs'!$B$24*'1. Inputs'!$B$5*MAX(0,$A80-'1. Inputs'!$C$24-'1. Inputs'!$B$30+1)^'1. Inputs'!$B$7/('1. Inputs'!$B$6^'1. Inputs'!$B$7+MAX(0,$A80-'1. Inputs'!$C$24-'1. Inputs'!$B$30+1)^'1. Inputs'!$B$7)*('1. Inputs'!$B$9+'1. Inputs'!$B$10*MAX(0,$A80-'1. Inputs'!$C$24-'1. Inputs'!$B$30+1)/(MAX(0,$A80-'1. Inputs'!$C$24-'1. Inputs'!$B$30+1)+'1. Inputs'!$B$11))*'1. Inputs'!$B$13*(1+'1. Inputs'!$B$14*MIN(MAX(0,$A80-'1. Inputs'!$C$24-'1. Inputs'!$B$30+1),'1. Inputs'!$B$15))*('1. Inputs'!$B$31*'5. Diagnosing a miss'!$B$22))</f>
        <v>3840670.38674556</v>
      </c>
      <c r="U80" s="22" t="n">
        <f aca="false">IF(MAX(0,$A80-'1. Inputs'!$C$25-'1. Inputs'!$B$30+1)&lt;=0,0,'1. Inputs'!$B$25*'1. Inputs'!$B$5*MAX(0,$A80-'1. Inputs'!$C$25-'1. Inputs'!$B$30+1)^'1. Inputs'!$B$7/('1. Inputs'!$B$6^'1. Inputs'!$B$7+MAX(0,$A80-'1. Inputs'!$C$25-'1. Inputs'!$B$30+1)^'1. Inputs'!$B$7)*('1. Inputs'!$B$9+'1. Inputs'!$B$10*MAX(0,$A80-'1. Inputs'!$C$25-'1. Inputs'!$B$30+1)/(MAX(0,$A80-'1. Inputs'!$C$25-'1. Inputs'!$B$30+1)+'1. Inputs'!$B$11))*'1. Inputs'!$B$13*(1+'1. Inputs'!$B$14*MIN(MAX(0,$A80-'1. Inputs'!$C$25-'1. Inputs'!$B$30+1),'1. Inputs'!$B$15))*('1. Inputs'!$B$31*'5. Diagnosing a miss'!$B$22))</f>
        <v>5093400.77922844</v>
      </c>
      <c r="V80" s="22" t="n">
        <f aca="false">IF(MAX(0,$A80-'1. Inputs'!$C$26-'1. Inputs'!$B$30+1)&lt;=0,0,'1. Inputs'!$B$26*'1. Inputs'!$B$5*MAX(0,$A80-'1. Inputs'!$C$26-'1. Inputs'!$B$30+1)^'1. Inputs'!$B$7/('1. Inputs'!$B$6^'1. Inputs'!$B$7+MAX(0,$A80-'1. Inputs'!$C$26-'1. Inputs'!$B$30+1)^'1. Inputs'!$B$7)*('1. Inputs'!$B$9+'1. Inputs'!$B$10*MAX(0,$A80-'1. Inputs'!$C$26-'1. Inputs'!$B$30+1)/(MAX(0,$A80-'1. Inputs'!$C$26-'1. Inputs'!$B$30+1)+'1. Inputs'!$B$11))*'1. Inputs'!$B$13*(1+'1. Inputs'!$B$14*MIN(MAX(0,$A80-'1. Inputs'!$C$26-'1. Inputs'!$B$30+1),'1. Inputs'!$B$15))*('1. Inputs'!$B$31*'5. Diagnosing a miss'!$B$22))</f>
        <v>2214087.5886879</v>
      </c>
      <c r="W80" s="22" t="n">
        <f aca="false">IF(MAX(0,$A80-'1. Inputs'!$C$27-'1. Inputs'!$B$30+1)&lt;=0,0,'1. Inputs'!$B$27*'1. Inputs'!$B$5*MAX(0,$A80-'1. Inputs'!$C$27-'1. Inputs'!$B$30+1)^'1. Inputs'!$B$7/('1. Inputs'!$B$6^'1. Inputs'!$B$7+MAX(0,$A80-'1. Inputs'!$C$27-'1. Inputs'!$B$30+1)^'1. Inputs'!$B$7)*('1. Inputs'!$B$9+'1. Inputs'!$B$10*MAX(0,$A80-'1. Inputs'!$C$27-'1. Inputs'!$B$30+1)/(MAX(0,$A80-'1. Inputs'!$C$27-'1. Inputs'!$B$30+1)+'1. Inputs'!$B$11))*'1. Inputs'!$B$13*(1+'1. Inputs'!$B$14*MIN(MAX(0,$A80-'1. Inputs'!$C$27-'1. Inputs'!$B$30+1),'1. Inputs'!$B$15))*('1. Inputs'!$B$31*'5. Diagnosing a miss'!$B$22))</f>
        <v>1579220.3643958</v>
      </c>
      <c r="X80" s="22" t="n">
        <f aca="false">SUM(T80:W80)</f>
        <v>12727379.1190577</v>
      </c>
      <c r="Y80" s="22" t="n">
        <f aca="false">IF($A80=MAX('1. Inputs'!$B$17,1),'1. Inputs'!$B$3,0)+IF($A80-'1. Inputs'!$B$17&gt;=1,INDEX(X$3:X$86,$A80-'1. Inputs'!$B$17),0)</f>
        <v>12497437.1718643</v>
      </c>
      <c r="Z80" s="22" t="n">
        <f aca="false">Z79*(1-'1. Inputs'!$B$18)+Y80</f>
        <v>494228816.855687</v>
      </c>
      <c r="AA80" s="22" t="n">
        <f aca="false">Z80*'1. Inputs'!$B$18</f>
        <v>4942288.16855687</v>
      </c>
      <c r="AB80" s="22" t="n">
        <f aca="false">AB79+X80-AA80</f>
        <v>640855572.456206</v>
      </c>
      <c r="AC80" s="22" t="n">
        <f aca="false">IF(MAX(0,$A80-'1. Inputs'!$C$24-('1. Inputs'!$B$30+'5. Diagnosing a miss'!$B$23)+1)&lt;=0,0,'1. Inputs'!$B$24*'1. Inputs'!$B$5*MAX(0,$A80-'1. Inputs'!$C$24-('1. Inputs'!$B$30+'5. Diagnosing a miss'!$B$23)+1)^'1. Inputs'!$B$7/('1. Inputs'!$B$6^'1. Inputs'!$B$7+MAX(0,$A80-'1. Inputs'!$C$24-('1. Inputs'!$B$30+'5. Diagnosing a miss'!$B$23)+1)^'1. Inputs'!$B$7)*('1. Inputs'!$B$9+'1. Inputs'!$B$10*MAX(0,$A80-'1. Inputs'!$C$24-('1. Inputs'!$B$30+'5. Diagnosing a miss'!$B$23)+1)/(MAX(0,$A80-'1. Inputs'!$C$24-('1. Inputs'!$B$30+'5. Diagnosing a miss'!$B$23)+1)+'1. Inputs'!$B$11))*'1. Inputs'!$B$13*(1+'1. Inputs'!$B$14*MIN(MAX(0,$A80-'1. Inputs'!$C$24-('1. Inputs'!$B$30+'5. Diagnosing a miss'!$B$23)+1),'1. Inputs'!$B$15))*'1. Inputs'!$B$31)</f>
        <v>4254120.93144981</v>
      </c>
      <c r="AD80" s="22" t="n">
        <f aca="false">IF(MAX(0,$A80-'1. Inputs'!$C$25-('1. Inputs'!$B$30+'5. Diagnosing a miss'!$B$23)+1)&lt;=0,0,'1. Inputs'!$B$25*'1. Inputs'!$B$5*MAX(0,$A80-'1. Inputs'!$C$25-('1. Inputs'!$B$30+'5. Diagnosing a miss'!$B$23)+1)^'1. Inputs'!$B$7/('1. Inputs'!$B$6^'1. Inputs'!$B$7+MAX(0,$A80-'1. Inputs'!$C$25-('1. Inputs'!$B$30+'5. Diagnosing a miss'!$B$23)+1)^'1. Inputs'!$B$7)*('1. Inputs'!$B$9+'1. Inputs'!$B$10*MAX(0,$A80-'1. Inputs'!$C$25-('1. Inputs'!$B$30+'5. Diagnosing a miss'!$B$23)+1)/(MAX(0,$A80-'1. Inputs'!$C$25-('1. Inputs'!$B$30+'5. Diagnosing a miss'!$B$23)+1)+'1. Inputs'!$B$11))*'1. Inputs'!$B$13*(1+'1. Inputs'!$B$14*MIN(MAX(0,$A80-'1. Inputs'!$C$25-('1. Inputs'!$B$30+'5. Diagnosing a miss'!$B$23)+1),'1. Inputs'!$B$15))*'1. Inputs'!$B$31)</f>
        <v>5638361.5969356</v>
      </c>
      <c r="AE80" s="22" t="n">
        <f aca="false">IF(MAX(0,$A80-'1. Inputs'!$C$26-('1. Inputs'!$B$30+'5. Diagnosing a miss'!$B$23)+1)&lt;=0,0,'1. Inputs'!$B$26*'1. Inputs'!$B$5*MAX(0,$A80-'1. Inputs'!$C$26-('1. Inputs'!$B$30+'5. Diagnosing a miss'!$B$23)+1)^'1. Inputs'!$B$7/('1. Inputs'!$B$6^'1. Inputs'!$B$7+MAX(0,$A80-'1. Inputs'!$C$26-('1. Inputs'!$B$30+'5. Diagnosing a miss'!$B$23)+1)^'1. Inputs'!$B$7)*('1. Inputs'!$B$9+'1. Inputs'!$B$10*MAX(0,$A80-'1. Inputs'!$C$26-('1. Inputs'!$B$30+'5. Diagnosing a miss'!$B$23)+1)/(MAX(0,$A80-'1. Inputs'!$C$26-('1. Inputs'!$B$30+'5. Diagnosing a miss'!$B$23)+1)+'1. Inputs'!$B$11))*'1. Inputs'!$B$13*(1+'1. Inputs'!$B$14*MIN(MAX(0,$A80-'1. Inputs'!$C$26-('1. Inputs'!$B$30+'5. Diagnosing a miss'!$B$23)+1),'1. Inputs'!$B$15))*'1. Inputs'!$B$31)</f>
        <v>2449085.88302164</v>
      </c>
      <c r="AF80" s="22" t="n">
        <f aca="false">IF(MAX(0,$A80-'1. Inputs'!$C$27-('1. Inputs'!$B$30+'5. Diagnosing a miss'!$B$23)+1)&lt;=0,0,'1. Inputs'!$B$27*'1. Inputs'!$B$5*MAX(0,$A80-'1. Inputs'!$C$27-('1. Inputs'!$B$30+'5. Diagnosing a miss'!$B$23)+1)^'1. Inputs'!$B$7/('1. Inputs'!$B$6^'1. Inputs'!$B$7+MAX(0,$A80-'1. Inputs'!$C$27-('1. Inputs'!$B$30+'5. Diagnosing a miss'!$B$23)+1)^'1. Inputs'!$B$7)*('1. Inputs'!$B$9+'1. Inputs'!$B$10*MAX(0,$A80-'1. Inputs'!$C$27-('1. Inputs'!$B$30+'5. Diagnosing a miss'!$B$23)+1)/(MAX(0,$A80-'1. Inputs'!$C$27-('1. Inputs'!$B$30+'5. Diagnosing a miss'!$B$23)+1)+'1. Inputs'!$B$11))*'1. Inputs'!$B$13*(1+'1. Inputs'!$B$14*MIN(MAX(0,$A80-'1. Inputs'!$C$27-('1. Inputs'!$B$30+'5. Diagnosing a miss'!$B$23)+1),'1. Inputs'!$B$15))*'1. Inputs'!$B$31)</f>
        <v>1746516.53991292</v>
      </c>
      <c r="AG80" s="22" t="n">
        <f aca="false">SUM(AC80:AF80)</f>
        <v>14088084.95132</v>
      </c>
      <c r="AH80" s="22" t="n">
        <f aca="false">IF($A80=MAX('1. Inputs'!$B$17,1),'1. Inputs'!$B$3,0)+IF($A80-'1. Inputs'!$B$17&gt;=1,INDEX(AG$3:AG$86,$A80-'1. Inputs'!$B$17),0)</f>
        <v>13800168.9593889</v>
      </c>
      <c r="AI80" s="22" t="n">
        <f aca="false">AI79*(1-'1. Inputs'!$B$18)+AH80</f>
        <v>512317885.927227</v>
      </c>
      <c r="AJ80" s="22" t="n">
        <f aca="false">AI80*'1. Inputs'!$B$18</f>
        <v>5123178.85927227</v>
      </c>
      <c r="AK80" s="22" t="n">
        <f aca="false">AK79+AG80-AJ80</f>
        <v>674807110.618524</v>
      </c>
    </row>
    <row r="81" customFormat="false" ht="15" hidden="false" customHeight="false" outlineLevel="0" collapsed="false">
      <c r="A81" s="7" t="n">
        <v>79</v>
      </c>
      <c r="B81" s="22" t="n">
        <f aca="false">IF(MAX(0,$A81-'1. Inputs'!$C$24-'1. Inputs'!$B$30+1)&lt;=0,0,'1. Inputs'!$B$24*'1. Inputs'!$B$5*MAX(0,$A81-'1. Inputs'!$C$24-'1. Inputs'!$B$30+1)^'1. Inputs'!$B$7/('1. Inputs'!$B$6^'1. Inputs'!$B$7+MAX(0,$A81-'1. Inputs'!$C$24-'1. Inputs'!$B$30+1)^'1. Inputs'!$B$7)*('1. Inputs'!$B$9+'1. Inputs'!$B$10*MAX(0,$A81-'1. Inputs'!$C$24-'1. Inputs'!$B$30+1)/(MAX(0,$A81-'1. Inputs'!$C$24-'1. Inputs'!$B$30+1)+'1. Inputs'!$B$11))*'1. Inputs'!$B$13*(1+'1. Inputs'!$B$14*MIN(MAX(0,$A81-'1. Inputs'!$C$24-'1. Inputs'!$B$30+1),'1. Inputs'!$B$15))*'1. Inputs'!$B$31)</f>
        <v>4271565.4040759</v>
      </c>
      <c r="C81" s="22" t="n">
        <f aca="false">IF(MAX(0,$A81-'1. Inputs'!$C$25-'1. Inputs'!$B$30+1)&lt;=0,0,'1. Inputs'!$B$25*'1. Inputs'!$B$5*MAX(0,$A81-'1. Inputs'!$C$25-'1. Inputs'!$B$30+1)^'1. Inputs'!$B$7/('1. Inputs'!$B$6^'1. Inputs'!$B$7+MAX(0,$A81-'1. Inputs'!$C$25-'1. Inputs'!$B$30+1)^'1. Inputs'!$B$7)*('1. Inputs'!$B$9+'1. Inputs'!$B$10*MAX(0,$A81-'1. Inputs'!$C$25-'1. Inputs'!$B$30+1)/(MAX(0,$A81-'1. Inputs'!$C$25-'1. Inputs'!$B$30+1)+'1. Inputs'!$B$11))*'1. Inputs'!$B$13*(1+'1. Inputs'!$B$14*MIN(MAX(0,$A81-'1. Inputs'!$C$25-'1. Inputs'!$B$30+1),'1. Inputs'!$B$15))*'1. Inputs'!$B$31)</f>
        <v>5665855.66287733</v>
      </c>
      <c r="D81" s="22" t="n">
        <f aca="false">IF(MAX(0,$A81-'1. Inputs'!$C$26-'1. Inputs'!$B$30+1)&lt;=0,0,'1. Inputs'!$B$26*'1. Inputs'!$B$5*MAX(0,$A81-'1. Inputs'!$C$26-'1. Inputs'!$B$30+1)^'1. Inputs'!$B$7/('1. Inputs'!$B$6^'1. Inputs'!$B$7+MAX(0,$A81-'1. Inputs'!$C$26-'1. Inputs'!$B$30+1)^'1. Inputs'!$B$7)*('1. Inputs'!$B$9+'1. Inputs'!$B$10*MAX(0,$A81-'1. Inputs'!$C$26-'1. Inputs'!$B$30+1)/(MAX(0,$A81-'1. Inputs'!$C$26-'1. Inputs'!$B$30+1)+'1. Inputs'!$B$11))*'1. Inputs'!$B$13*(1+'1. Inputs'!$B$14*MIN(MAX(0,$A81-'1. Inputs'!$C$26-'1. Inputs'!$B$30+1),'1. Inputs'!$B$15))*'1. Inputs'!$B$31)</f>
        <v>2463501.16173913</v>
      </c>
      <c r="E81" s="22" t="n">
        <f aca="false">IF(MAX(0,$A81-'1. Inputs'!$C$27-'1. Inputs'!$B$30+1)&lt;=0,0,'1. Inputs'!$B$27*'1. Inputs'!$B$5*MAX(0,$A81-'1. Inputs'!$C$27-'1. Inputs'!$B$30+1)^'1. Inputs'!$B$7/('1. Inputs'!$B$6^'1. Inputs'!$B$7+MAX(0,$A81-'1. Inputs'!$C$27-'1. Inputs'!$B$30+1)^'1. Inputs'!$B$7)*('1. Inputs'!$B$9+'1. Inputs'!$B$10*MAX(0,$A81-'1. Inputs'!$C$27-'1. Inputs'!$B$30+1)/(MAX(0,$A81-'1. Inputs'!$C$27-'1. Inputs'!$B$30+1)+'1. Inputs'!$B$11))*'1. Inputs'!$B$13*(1+'1. Inputs'!$B$14*MIN(MAX(0,$A81-'1. Inputs'!$C$27-'1. Inputs'!$B$30+1),'1. Inputs'!$B$15))*'1. Inputs'!$B$31)</f>
        <v>1757212.37197452</v>
      </c>
      <c r="F81" s="22" t="n">
        <f aca="false">SUM(B81:E81)</f>
        <v>14158134.6006669</v>
      </c>
      <c r="G81" s="22" t="n">
        <f aca="false">IF($A81=MAX('1. Inputs'!$B$17,1),'1. Inputs'!$B$3,0)+IF($A81-'1. Inputs'!$B$17&gt;=1,INDEX(F$3:F$86,$A81-'1. Inputs'!$B$17),0)</f>
        <v>13912273.5166071</v>
      </c>
      <c r="H81" s="22" t="n">
        <f aca="false">H80*(1-'1. Inputs'!$B$18)+G81</f>
        <v>549064209.62037</v>
      </c>
      <c r="I81" s="22" t="n">
        <f aca="false">H81*'1. Inputs'!$B$18</f>
        <v>5490642.0962037</v>
      </c>
      <c r="J81" s="22" t="n">
        <f aca="false">J80+F81-I81</f>
        <v>712229477.240533</v>
      </c>
      <c r="K81" s="22" t="n">
        <f aca="false">IF(MAX(0,$A81-'1. Inputs'!$C$24-'1. Inputs'!$B$30+1)&lt;=0,0,'1. Inputs'!$B$24*('1. Inputs'!$B$5-'5. Diagnosing a miss'!$B$21)*MAX(0,$A81-'1. Inputs'!$C$24-'1. Inputs'!$B$30+1)^'1. Inputs'!$B$7/('1. Inputs'!$B$6^'1. Inputs'!$B$7+MAX(0,$A81-'1. Inputs'!$C$24-'1. Inputs'!$B$30+1)^'1. Inputs'!$B$7)*('1. Inputs'!$B$9+'1. Inputs'!$B$10*MAX(0,$A81-'1. Inputs'!$C$24-'1. Inputs'!$B$30+1)/(MAX(0,$A81-'1. Inputs'!$C$24-'1. Inputs'!$B$30+1)+'1. Inputs'!$B$11))*'1. Inputs'!$B$13*(1+'1. Inputs'!$B$14*MIN(MAX(0,$A81-'1. Inputs'!$C$24-'1. Inputs'!$B$30+1),'1. Inputs'!$B$15))*'1. Inputs'!$B$31)</f>
        <v>3796947.02584525</v>
      </c>
      <c r="L81" s="22" t="n">
        <f aca="false">IF(MAX(0,$A81-'1. Inputs'!$C$25-'1. Inputs'!$B$30+1)&lt;=0,0,'1. Inputs'!$B$25*('1. Inputs'!$B$5-'5. Diagnosing a miss'!$B$21)*MAX(0,$A81-'1. Inputs'!$C$25-'1. Inputs'!$B$30+1)^'1. Inputs'!$B$7/('1. Inputs'!$B$6^'1. Inputs'!$B$7+MAX(0,$A81-'1. Inputs'!$C$25-'1. Inputs'!$B$30+1)^'1. Inputs'!$B$7)*('1. Inputs'!$B$9+'1. Inputs'!$B$10*MAX(0,$A81-'1. Inputs'!$C$25-'1. Inputs'!$B$30+1)/(MAX(0,$A81-'1. Inputs'!$C$25-'1. Inputs'!$B$30+1)+'1. Inputs'!$B$11))*'1. Inputs'!$B$13*(1+'1. Inputs'!$B$14*MIN(MAX(0,$A81-'1. Inputs'!$C$25-'1. Inputs'!$B$30+1),'1. Inputs'!$B$15))*'1. Inputs'!$B$31)</f>
        <v>5036316.14477985</v>
      </c>
      <c r="M81" s="22" t="n">
        <f aca="false">IF(MAX(0,$A81-'1. Inputs'!$C$26-'1. Inputs'!$B$30+1)&lt;=0,0,'1. Inputs'!$B$26*('1. Inputs'!$B$5-'5. Diagnosing a miss'!$B$21)*MAX(0,$A81-'1. Inputs'!$C$26-'1. Inputs'!$B$30+1)^'1. Inputs'!$B$7/('1. Inputs'!$B$6^'1. Inputs'!$B$7+MAX(0,$A81-'1. Inputs'!$C$26-'1. Inputs'!$B$30+1)^'1. Inputs'!$B$7)*('1. Inputs'!$B$9+'1. Inputs'!$B$10*MAX(0,$A81-'1. Inputs'!$C$26-'1. Inputs'!$B$30+1)/(MAX(0,$A81-'1. Inputs'!$C$26-'1. Inputs'!$B$30+1)+'1. Inputs'!$B$11))*'1. Inputs'!$B$13*(1+'1. Inputs'!$B$14*MIN(MAX(0,$A81-'1. Inputs'!$C$26-'1. Inputs'!$B$30+1),'1. Inputs'!$B$15))*'1. Inputs'!$B$31)</f>
        <v>2189778.81043478</v>
      </c>
      <c r="N81" s="22" t="n">
        <f aca="false">IF(MAX(0,$A81-'1. Inputs'!$C$27-'1. Inputs'!$B$30+1)&lt;=0,0,'1. Inputs'!$B$27*('1. Inputs'!$B$5-'5. Diagnosing a miss'!$B$21)*MAX(0,$A81-'1. Inputs'!$C$27-'1. Inputs'!$B$30+1)^'1. Inputs'!$B$7/('1. Inputs'!$B$6^'1. Inputs'!$B$7+MAX(0,$A81-'1. Inputs'!$C$27-'1. Inputs'!$B$30+1)^'1. Inputs'!$B$7)*('1. Inputs'!$B$9+'1. Inputs'!$B$10*MAX(0,$A81-'1. Inputs'!$C$27-'1. Inputs'!$B$30+1)/(MAX(0,$A81-'1. Inputs'!$C$27-'1. Inputs'!$B$30+1)+'1. Inputs'!$B$11))*'1. Inputs'!$B$13*(1+'1. Inputs'!$B$14*MIN(MAX(0,$A81-'1. Inputs'!$C$27-'1. Inputs'!$B$30+1),'1. Inputs'!$B$15))*'1. Inputs'!$B$31)</f>
        <v>1561966.55286624</v>
      </c>
      <c r="O81" s="22" t="n">
        <f aca="false">SUM(K81:N81)</f>
        <v>12585008.5339261</v>
      </c>
      <c r="P81" s="22" t="n">
        <f aca="false">IF($A81=MAX('1. Inputs'!$B$17,1),'1. Inputs'!$B$3,0)+IF($A81-'1. Inputs'!$B$17&gt;=1,INDEX(O$3:O$86,$A81-'1. Inputs'!$B$17),0)</f>
        <v>12366465.3480952</v>
      </c>
      <c r="Q81" s="22" t="n">
        <f aca="false">Q80*(1-'1. Inputs'!$B$18)+P81</f>
        <v>496556837.6556</v>
      </c>
      <c r="R81" s="22" t="n">
        <f aca="false">Q81*'1. Inputs'!$B$18</f>
        <v>4965568.376556</v>
      </c>
      <c r="S81" s="22" t="n">
        <f aca="false">S80+O81-R81</f>
        <v>641507633.47137</v>
      </c>
      <c r="T81" s="22" t="n">
        <f aca="false">IF(MAX(0,$A81-'1. Inputs'!$C$24-'1. Inputs'!$B$30+1)&lt;=0,0,'1. Inputs'!$B$24*'1. Inputs'!$B$5*MAX(0,$A81-'1. Inputs'!$C$24-'1. Inputs'!$B$30+1)^'1. Inputs'!$B$7/('1. Inputs'!$B$6^'1. Inputs'!$B$7+MAX(0,$A81-'1. Inputs'!$C$24-'1. Inputs'!$B$30+1)^'1. Inputs'!$B$7)*('1. Inputs'!$B$9+'1. Inputs'!$B$10*MAX(0,$A81-'1. Inputs'!$C$24-'1. Inputs'!$B$30+1)/(MAX(0,$A81-'1. Inputs'!$C$24-'1. Inputs'!$B$30+1)+'1. Inputs'!$B$11))*'1. Inputs'!$B$13*(1+'1. Inputs'!$B$14*MIN(MAX(0,$A81-'1. Inputs'!$C$24-'1. Inputs'!$B$30+1),'1. Inputs'!$B$15))*('1. Inputs'!$B$31*'5. Diagnosing a miss'!$B$22))</f>
        <v>3844408.86366831</v>
      </c>
      <c r="U81" s="22" t="n">
        <f aca="false">IF(MAX(0,$A81-'1. Inputs'!$C$25-'1. Inputs'!$B$30+1)&lt;=0,0,'1. Inputs'!$B$25*'1. Inputs'!$B$5*MAX(0,$A81-'1. Inputs'!$C$25-'1. Inputs'!$B$30+1)^'1. Inputs'!$B$7/('1. Inputs'!$B$6^'1. Inputs'!$B$7+MAX(0,$A81-'1. Inputs'!$C$25-'1. Inputs'!$B$30+1)^'1. Inputs'!$B$7)*('1. Inputs'!$B$9+'1. Inputs'!$B$10*MAX(0,$A81-'1. Inputs'!$C$25-'1. Inputs'!$B$30+1)/(MAX(0,$A81-'1. Inputs'!$C$25-'1. Inputs'!$B$30+1)+'1. Inputs'!$B$11))*'1. Inputs'!$B$13*(1+'1. Inputs'!$B$14*MIN(MAX(0,$A81-'1. Inputs'!$C$25-'1. Inputs'!$B$30+1),'1. Inputs'!$B$15))*('1. Inputs'!$B$31*'5. Diagnosing a miss'!$B$22))</f>
        <v>5099270.0965896</v>
      </c>
      <c r="V81" s="22" t="n">
        <f aca="false">IF(MAX(0,$A81-'1. Inputs'!$C$26-'1. Inputs'!$B$30+1)&lt;=0,0,'1. Inputs'!$B$26*'1. Inputs'!$B$5*MAX(0,$A81-'1. Inputs'!$C$26-'1. Inputs'!$B$30+1)^'1. Inputs'!$B$7/('1. Inputs'!$B$6^'1. Inputs'!$B$7+MAX(0,$A81-'1. Inputs'!$C$26-'1. Inputs'!$B$30+1)^'1. Inputs'!$B$7)*('1. Inputs'!$B$9+'1. Inputs'!$B$10*MAX(0,$A81-'1. Inputs'!$C$26-'1. Inputs'!$B$30+1)/(MAX(0,$A81-'1. Inputs'!$C$26-'1. Inputs'!$B$30+1)+'1. Inputs'!$B$11))*'1. Inputs'!$B$13*(1+'1. Inputs'!$B$14*MIN(MAX(0,$A81-'1. Inputs'!$C$26-'1. Inputs'!$B$30+1),'1. Inputs'!$B$15))*('1. Inputs'!$B$31*'5. Diagnosing a miss'!$B$22))</f>
        <v>2217151.04556522</v>
      </c>
      <c r="W81" s="22" t="n">
        <f aca="false">IF(MAX(0,$A81-'1. Inputs'!$C$27-'1. Inputs'!$B$30+1)&lt;=0,0,'1. Inputs'!$B$27*'1. Inputs'!$B$5*MAX(0,$A81-'1. Inputs'!$C$27-'1. Inputs'!$B$30+1)^'1. Inputs'!$B$7/('1. Inputs'!$B$6^'1. Inputs'!$B$7+MAX(0,$A81-'1. Inputs'!$C$27-'1. Inputs'!$B$30+1)^'1. Inputs'!$B$7)*('1. Inputs'!$B$9+'1. Inputs'!$B$10*MAX(0,$A81-'1. Inputs'!$C$27-'1. Inputs'!$B$30+1)/(MAX(0,$A81-'1. Inputs'!$C$27-'1. Inputs'!$B$30+1)+'1. Inputs'!$B$11))*'1. Inputs'!$B$13*(1+'1. Inputs'!$B$14*MIN(MAX(0,$A81-'1. Inputs'!$C$27-'1. Inputs'!$B$30+1),'1. Inputs'!$B$15))*('1. Inputs'!$B$31*'5. Diagnosing a miss'!$B$22))</f>
        <v>1581491.13477707</v>
      </c>
      <c r="X81" s="22" t="n">
        <f aca="false">SUM(T81:W81)</f>
        <v>12742321.1406002</v>
      </c>
      <c r="Y81" s="22" t="n">
        <f aca="false">IF($A81=MAX('1. Inputs'!$B$17,1),'1. Inputs'!$B$3,0)+IF($A81-'1. Inputs'!$B$17&gt;=1,INDEX(X$3:X$86,$A81-'1. Inputs'!$B$17),0)</f>
        <v>12521046.1649464</v>
      </c>
      <c r="Z81" s="22" t="n">
        <f aca="false">Z80*(1-'1. Inputs'!$B$18)+Y81</f>
        <v>501807574.852077</v>
      </c>
      <c r="AA81" s="22" t="n">
        <f aca="false">Z81*'1. Inputs'!$B$18</f>
        <v>5018075.74852077</v>
      </c>
      <c r="AB81" s="22" t="n">
        <f aca="false">AB80+X81-AA81</f>
        <v>648579817.848286</v>
      </c>
      <c r="AC81" s="22" t="n">
        <f aca="false">IF(MAX(0,$A81-'1. Inputs'!$C$24-('1. Inputs'!$B$30+'5. Diagnosing a miss'!$B$23)+1)&lt;=0,0,'1. Inputs'!$B$24*'1. Inputs'!$B$5*MAX(0,$A81-'1. Inputs'!$C$24-('1. Inputs'!$B$30+'5. Diagnosing a miss'!$B$23)+1)^'1. Inputs'!$B$7/('1. Inputs'!$B$6^'1. Inputs'!$B$7+MAX(0,$A81-'1. Inputs'!$C$24-('1. Inputs'!$B$30+'5. Diagnosing a miss'!$B$23)+1)^'1. Inputs'!$B$7)*('1. Inputs'!$B$9+'1. Inputs'!$B$10*MAX(0,$A81-'1. Inputs'!$C$24-('1. Inputs'!$B$30+'5. Diagnosing a miss'!$B$23)+1)/(MAX(0,$A81-'1. Inputs'!$C$24-('1. Inputs'!$B$30+'5. Diagnosing a miss'!$B$23)+1)+'1. Inputs'!$B$11))*'1. Inputs'!$B$13*(1+'1. Inputs'!$B$14*MIN(MAX(0,$A81-'1. Inputs'!$C$24-('1. Inputs'!$B$30+'5. Diagnosing a miss'!$B$23)+1),'1. Inputs'!$B$15))*'1. Inputs'!$B$31)</f>
        <v>4258695.88647386</v>
      </c>
      <c r="AD81" s="22" t="n">
        <f aca="false">IF(MAX(0,$A81-'1. Inputs'!$C$25-('1. Inputs'!$B$30+'5. Diagnosing a miss'!$B$23)+1)&lt;=0,0,'1. Inputs'!$B$25*'1. Inputs'!$B$5*MAX(0,$A81-'1. Inputs'!$C$25-('1. Inputs'!$B$30+'5. Diagnosing a miss'!$B$23)+1)^'1. Inputs'!$B$7/('1. Inputs'!$B$6^'1. Inputs'!$B$7+MAX(0,$A81-'1. Inputs'!$C$25-('1. Inputs'!$B$30+'5. Diagnosing a miss'!$B$23)+1)^'1. Inputs'!$B$7)*('1. Inputs'!$B$9+'1. Inputs'!$B$10*MAX(0,$A81-'1. Inputs'!$C$25-('1. Inputs'!$B$30+'5. Diagnosing a miss'!$B$23)+1)/(MAX(0,$A81-'1. Inputs'!$C$25-('1. Inputs'!$B$30+'5. Diagnosing a miss'!$B$23)+1)+'1. Inputs'!$B$11))*'1. Inputs'!$B$13*(1+'1. Inputs'!$B$14*MIN(MAX(0,$A81-'1. Inputs'!$C$25-('1. Inputs'!$B$30+'5. Diagnosing a miss'!$B$23)+1),'1. Inputs'!$B$15))*'1. Inputs'!$B$31)</f>
        <v>5645599.20974991</v>
      </c>
      <c r="AE81" s="22" t="n">
        <f aca="false">IF(MAX(0,$A81-'1. Inputs'!$C$26-('1. Inputs'!$B$30+'5. Diagnosing a miss'!$B$23)+1)&lt;=0,0,'1. Inputs'!$B$26*'1. Inputs'!$B$5*MAX(0,$A81-'1. Inputs'!$C$26-('1. Inputs'!$B$30+'5. Diagnosing a miss'!$B$23)+1)^'1. Inputs'!$B$7/('1. Inputs'!$B$6^'1. Inputs'!$B$7+MAX(0,$A81-'1. Inputs'!$C$26-('1. Inputs'!$B$30+'5. Diagnosing a miss'!$B$23)+1)^'1. Inputs'!$B$7)*('1. Inputs'!$B$9+'1. Inputs'!$B$10*MAX(0,$A81-'1. Inputs'!$C$26-('1. Inputs'!$B$30+'5. Diagnosing a miss'!$B$23)+1)/(MAX(0,$A81-'1. Inputs'!$C$26-('1. Inputs'!$B$30+'5. Diagnosing a miss'!$B$23)+1)+'1. Inputs'!$B$11))*'1. Inputs'!$B$13*(1+'1. Inputs'!$B$14*MIN(MAX(0,$A81-'1. Inputs'!$C$26-('1. Inputs'!$B$30+'5. Diagnosing a miss'!$B$23)+1),'1. Inputs'!$B$15))*'1. Inputs'!$B$31)</f>
        <v>2452897.08824183</v>
      </c>
      <c r="AF81" s="22" t="n">
        <f aca="false">IF(MAX(0,$A81-'1. Inputs'!$C$27-('1. Inputs'!$B$30+'5. Diagnosing a miss'!$B$23)+1)&lt;=0,0,'1. Inputs'!$B$27*'1. Inputs'!$B$5*MAX(0,$A81-'1. Inputs'!$C$27-('1. Inputs'!$B$30+'5. Diagnosing a miss'!$B$23)+1)^'1. Inputs'!$B$7/('1. Inputs'!$B$6^'1. Inputs'!$B$7+MAX(0,$A81-'1. Inputs'!$C$27-('1. Inputs'!$B$30+'5. Diagnosing a miss'!$B$23)+1)^'1. Inputs'!$B$7)*('1. Inputs'!$B$9+'1. Inputs'!$B$10*MAX(0,$A81-'1. Inputs'!$C$27-('1. Inputs'!$B$30+'5. Diagnosing a miss'!$B$23)+1)/(MAX(0,$A81-'1. Inputs'!$C$27-('1. Inputs'!$B$30+'5. Diagnosing a miss'!$B$23)+1)+'1. Inputs'!$B$11))*'1. Inputs'!$B$13*(1+'1. Inputs'!$B$14*MIN(MAX(0,$A81-'1. Inputs'!$C$27-('1. Inputs'!$B$30+'5. Diagnosing a miss'!$B$23)+1),'1. Inputs'!$B$15))*'1. Inputs'!$B$31)</f>
        <v>1749347.05930117</v>
      </c>
      <c r="AG81" s="22" t="n">
        <f aca="false">SUM(AC81:AF81)</f>
        <v>14106539.2437668</v>
      </c>
      <c r="AH81" s="22" t="n">
        <f aca="false">IF($A81=MAX('1. Inputs'!$B$17,1),'1. Inputs'!$B$3,0)+IF($A81-'1. Inputs'!$B$17&gt;=1,INDEX(AG$3:AG$86,$A81-'1. Inputs'!$B$17),0)</f>
        <v>13830065.9541899</v>
      </c>
      <c r="AI81" s="22" t="n">
        <f aca="false">AI80*(1-'1. Inputs'!$B$18)+AH81</f>
        <v>521024773.022144</v>
      </c>
      <c r="AJ81" s="22" t="n">
        <f aca="false">AI81*'1. Inputs'!$B$18</f>
        <v>5210247.73022144</v>
      </c>
      <c r="AK81" s="22" t="n">
        <f aca="false">AK80+AG81-AJ81</f>
        <v>683703402.13207</v>
      </c>
    </row>
    <row r="82" customFormat="false" ht="15" hidden="false" customHeight="false" outlineLevel="0" collapsed="false">
      <c r="A82" s="7" t="n">
        <v>80</v>
      </c>
      <c r="B82" s="22" t="n">
        <f aca="false">IF(MAX(0,$A82-'1. Inputs'!$C$24-'1. Inputs'!$B$30+1)&lt;=0,0,'1. Inputs'!$B$24*'1. Inputs'!$B$5*MAX(0,$A82-'1. Inputs'!$C$24-'1. Inputs'!$B$30+1)^'1. Inputs'!$B$7/('1. Inputs'!$B$6^'1. Inputs'!$B$7+MAX(0,$A82-'1. Inputs'!$C$24-'1. Inputs'!$B$30+1)^'1. Inputs'!$B$7)*('1. Inputs'!$B$9+'1. Inputs'!$B$10*MAX(0,$A82-'1. Inputs'!$C$24-'1. Inputs'!$B$30+1)/(MAX(0,$A82-'1. Inputs'!$C$24-'1. Inputs'!$B$30+1)+'1. Inputs'!$B$11))*'1. Inputs'!$B$13*(1+'1. Inputs'!$B$14*MIN(MAX(0,$A82-'1. Inputs'!$C$24-'1. Inputs'!$B$30+1),'1. Inputs'!$B$15))*'1. Inputs'!$B$31)</f>
        <v>4275591.4261652</v>
      </c>
      <c r="C82" s="22" t="n">
        <f aca="false">IF(MAX(0,$A82-'1. Inputs'!$C$25-'1. Inputs'!$B$30+1)&lt;=0,0,'1. Inputs'!$B$25*'1. Inputs'!$B$5*MAX(0,$A82-'1. Inputs'!$C$25-'1. Inputs'!$B$30+1)^'1. Inputs'!$B$7/('1. Inputs'!$B$6^'1. Inputs'!$B$7+MAX(0,$A82-'1. Inputs'!$C$25-'1. Inputs'!$B$30+1)^'1. Inputs'!$B$7)*('1. Inputs'!$B$9+'1. Inputs'!$B$10*MAX(0,$A82-'1. Inputs'!$C$25-'1. Inputs'!$B$30+1)/(MAX(0,$A82-'1. Inputs'!$C$25-'1. Inputs'!$B$30+1)+'1. Inputs'!$B$11))*'1. Inputs'!$B$13*(1+'1. Inputs'!$B$14*MIN(MAX(0,$A82-'1. Inputs'!$C$25-'1. Inputs'!$B$30+1),'1. Inputs'!$B$15))*'1. Inputs'!$B$31)</f>
        <v>5672161.24193308</v>
      </c>
      <c r="D82" s="22" t="n">
        <f aca="false">IF(MAX(0,$A82-'1. Inputs'!$C$26-'1. Inputs'!$B$30+1)&lt;=0,0,'1. Inputs'!$B$26*'1. Inputs'!$B$5*MAX(0,$A82-'1. Inputs'!$C$26-'1. Inputs'!$B$30+1)^'1. Inputs'!$B$7/('1. Inputs'!$B$6^'1. Inputs'!$B$7+MAX(0,$A82-'1. Inputs'!$C$26-'1. Inputs'!$B$30+1)^'1. Inputs'!$B$7)*('1. Inputs'!$B$9+'1. Inputs'!$B$10*MAX(0,$A82-'1. Inputs'!$C$26-'1. Inputs'!$B$30+1)/(MAX(0,$A82-'1. Inputs'!$C$26-'1. Inputs'!$B$30+1)+'1. Inputs'!$B$11))*'1. Inputs'!$B$13*(1+'1. Inputs'!$B$14*MIN(MAX(0,$A82-'1. Inputs'!$C$26-'1. Inputs'!$B$30+1),'1. Inputs'!$B$15))*'1. Inputs'!$B$31)</f>
        <v>2466783.19865932</v>
      </c>
      <c r="E82" s="22" t="n">
        <f aca="false">IF(MAX(0,$A82-'1. Inputs'!$C$27-'1. Inputs'!$B$30+1)&lt;=0,0,'1. Inputs'!$B$27*'1. Inputs'!$B$5*MAX(0,$A82-'1. Inputs'!$C$27-'1. Inputs'!$B$30+1)^'1. Inputs'!$B$7/('1. Inputs'!$B$6^'1. Inputs'!$B$7+MAX(0,$A82-'1. Inputs'!$C$27-'1. Inputs'!$B$30+1)^'1. Inputs'!$B$7)*('1. Inputs'!$B$9+'1. Inputs'!$B$10*MAX(0,$A82-'1. Inputs'!$C$27-'1. Inputs'!$B$30+1)/(MAX(0,$A82-'1. Inputs'!$C$27-'1. Inputs'!$B$30+1)+'1. Inputs'!$B$11))*'1. Inputs'!$B$13*(1+'1. Inputs'!$B$14*MIN(MAX(0,$A82-'1. Inputs'!$C$27-'1. Inputs'!$B$30+1),'1. Inputs'!$B$15))*'1. Inputs'!$B$31)</f>
        <v>1759643.68695652</v>
      </c>
      <c r="F82" s="22" t="n">
        <f aca="false">SUM(B82:E82)</f>
        <v>14174179.5537141</v>
      </c>
      <c r="G82" s="22" t="n">
        <f aca="false">IF($A82=MAX('1. Inputs'!$B$17,1),'1. Inputs'!$B$3,0)+IF($A82-'1. Inputs'!$B$17&gt;=1,INDEX(F$3:F$86,$A82-'1. Inputs'!$B$17),0)</f>
        <v>13937428.1382717</v>
      </c>
      <c r="H82" s="22" t="n">
        <f aca="false">H81*(1-'1. Inputs'!$B$18)+G82</f>
        <v>557510995.662438</v>
      </c>
      <c r="I82" s="22" t="n">
        <f aca="false">H82*'1. Inputs'!$B$18</f>
        <v>5575109.95662438</v>
      </c>
      <c r="J82" s="22" t="n">
        <f aca="false">J81+F82-I82</f>
        <v>720828546.837623</v>
      </c>
      <c r="K82" s="22" t="n">
        <f aca="false">IF(MAX(0,$A82-'1. Inputs'!$C$24-'1. Inputs'!$B$30+1)&lt;=0,0,'1. Inputs'!$B$24*('1. Inputs'!$B$5-'5. Diagnosing a miss'!$B$21)*MAX(0,$A82-'1. Inputs'!$C$24-'1. Inputs'!$B$30+1)^'1. Inputs'!$B$7/('1. Inputs'!$B$6^'1. Inputs'!$B$7+MAX(0,$A82-'1. Inputs'!$C$24-'1. Inputs'!$B$30+1)^'1. Inputs'!$B$7)*('1. Inputs'!$B$9+'1. Inputs'!$B$10*MAX(0,$A82-'1. Inputs'!$C$24-'1. Inputs'!$B$30+1)/(MAX(0,$A82-'1. Inputs'!$C$24-'1. Inputs'!$B$30+1)+'1. Inputs'!$B$11))*'1. Inputs'!$B$13*(1+'1. Inputs'!$B$14*MIN(MAX(0,$A82-'1. Inputs'!$C$24-'1. Inputs'!$B$30+1),'1. Inputs'!$B$15))*'1. Inputs'!$B$31)</f>
        <v>3800525.71214684</v>
      </c>
      <c r="L82" s="22" t="n">
        <f aca="false">IF(MAX(0,$A82-'1. Inputs'!$C$25-'1. Inputs'!$B$30+1)&lt;=0,0,'1. Inputs'!$B$25*('1. Inputs'!$B$5-'5. Diagnosing a miss'!$B$21)*MAX(0,$A82-'1. Inputs'!$C$25-'1. Inputs'!$B$30+1)^'1. Inputs'!$B$7/('1. Inputs'!$B$6^'1. Inputs'!$B$7+MAX(0,$A82-'1. Inputs'!$C$25-'1. Inputs'!$B$30+1)^'1. Inputs'!$B$7)*('1. Inputs'!$B$9+'1. Inputs'!$B$10*MAX(0,$A82-'1. Inputs'!$C$25-'1. Inputs'!$B$30+1)/(MAX(0,$A82-'1. Inputs'!$C$25-'1. Inputs'!$B$30+1)+'1. Inputs'!$B$11))*'1. Inputs'!$B$13*(1+'1. Inputs'!$B$14*MIN(MAX(0,$A82-'1. Inputs'!$C$25-'1. Inputs'!$B$30+1),'1. Inputs'!$B$15))*'1. Inputs'!$B$31)</f>
        <v>5041921.10394052</v>
      </c>
      <c r="M82" s="22" t="n">
        <f aca="false">IF(MAX(0,$A82-'1. Inputs'!$C$26-'1. Inputs'!$B$30+1)&lt;=0,0,'1. Inputs'!$B$26*('1. Inputs'!$B$5-'5. Diagnosing a miss'!$B$21)*MAX(0,$A82-'1. Inputs'!$C$26-'1. Inputs'!$B$30+1)^'1. Inputs'!$B$7/('1. Inputs'!$B$6^'1. Inputs'!$B$7+MAX(0,$A82-'1. Inputs'!$C$26-'1. Inputs'!$B$30+1)^'1. Inputs'!$B$7)*('1. Inputs'!$B$9+'1. Inputs'!$B$10*MAX(0,$A82-'1. Inputs'!$C$26-'1. Inputs'!$B$30+1)/(MAX(0,$A82-'1. Inputs'!$C$26-'1. Inputs'!$B$30+1)+'1. Inputs'!$B$11))*'1. Inputs'!$B$13*(1+'1. Inputs'!$B$14*MIN(MAX(0,$A82-'1. Inputs'!$C$26-'1. Inputs'!$B$30+1),'1. Inputs'!$B$15))*'1. Inputs'!$B$31)</f>
        <v>2192696.17658607</v>
      </c>
      <c r="N82" s="22" t="n">
        <f aca="false">IF(MAX(0,$A82-'1. Inputs'!$C$27-'1. Inputs'!$B$30+1)&lt;=0,0,'1. Inputs'!$B$27*('1. Inputs'!$B$5-'5. Diagnosing a miss'!$B$21)*MAX(0,$A82-'1. Inputs'!$C$27-'1. Inputs'!$B$30+1)^'1. Inputs'!$B$7/('1. Inputs'!$B$6^'1. Inputs'!$B$7+MAX(0,$A82-'1. Inputs'!$C$27-'1. Inputs'!$B$30+1)^'1. Inputs'!$B$7)*('1. Inputs'!$B$9+'1. Inputs'!$B$10*MAX(0,$A82-'1. Inputs'!$C$27-'1. Inputs'!$B$30+1)/(MAX(0,$A82-'1. Inputs'!$C$27-'1. Inputs'!$B$30+1)+'1. Inputs'!$B$11))*'1. Inputs'!$B$13*(1+'1. Inputs'!$B$14*MIN(MAX(0,$A82-'1. Inputs'!$C$27-'1. Inputs'!$B$30+1),'1. Inputs'!$B$15))*'1. Inputs'!$B$31)</f>
        <v>1564127.72173913</v>
      </c>
      <c r="O82" s="22" t="n">
        <f aca="false">SUM(K82:N82)</f>
        <v>12599270.7144126</v>
      </c>
      <c r="P82" s="22" t="n">
        <f aca="false">IF($A82=MAX('1. Inputs'!$B$17,1),'1. Inputs'!$B$3,0)+IF($A82-'1. Inputs'!$B$17&gt;=1,INDEX(O$3:O$86,$A82-'1. Inputs'!$B$17),0)</f>
        <v>12388825.011797</v>
      </c>
      <c r="Q82" s="22" t="n">
        <f aca="false">Q81*(1-'1. Inputs'!$B$18)+P82</f>
        <v>503980094.290841</v>
      </c>
      <c r="R82" s="22" t="n">
        <f aca="false">Q82*'1. Inputs'!$B$18</f>
        <v>5039800.94290841</v>
      </c>
      <c r="S82" s="22" t="n">
        <f aca="false">S81+O82-R82</f>
        <v>649067103.242874</v>
      </c>
      <c r="T82" s="22" t="n">
        <f aca="false">IF(MAX(0,$A82-'1. Inputs'!$C$24-'1. Inputs'!$B$30+1)&lt;=0,0,'1. Inputs'!$B$24*'1. Inputs'!$B$5*MAX(0,$A82-'1. Inputs'!$C$24-'1. Inputs'!$B$30+1)^'1. Inputs'!$B$7/('1. Inputs'!$B$6^'1. Inputs'!$B$7+MAX(0,$A82-'1. Inputs'!$C$24-'1. Inputs'!$B$30+1)^'1. Inputs'!$B$7)*('1. Inputs'!$B$9+'1. Inputs'!$B$10*MAX(0,$A82-'1. Inputs'!$C$24-'1. Inputs'!$B$30+1)/(MAX(0,$A82-'1. Inputs'!$C$24-'1. Inputs'!$B$30+1)+'1. Inputs'!$B$11))*'1. Inputs'!$B$13*(1+'1. Inputs'!$B$14*MIN(MAX(0,$A82-'1. Inputs'!$C$24-'1. Inputs'!$B$30+1),'1. Inputs'!$B$15))*('1. Inputs'!$B$31*'5. Diagnosing a miss'!$B$22))</f>
        <v>3848032.28354868</v>
      </c>
      <c r="U82" s="22" t="n">
        <f aca="false">IF(MAX(0,$A82-'1. Inputs'!$C$25-'1. Inputs'!$B$30+1)&lt;=0,0,'1. Inputs'!$B$25*'1. Inputs'!$B$5*MAX(0,$A82-'1. Inputs'!$C$25-'1. Inputs'!$B$30+1)^'1. Inputs'!$B$7/('1. Inputs'!$B$6^'1. Inputs'!$B$7+MAX(0,$A82-'1. Inputs'!$C$25-'1. Inputs'!$B$30+1)^'1. Inputs'!$B$7)*('1. Inputs'!$B$9+'1. Inputs'!$B$10*MAX(0,$A82-'1. Inputs'!$C$25-'1. Inputs'!$B$30+1)/(MAX(0,$A82-'1. Inputs'!$C$25-'1. Inputs'!$B$30+1)+'1. Inputs'!$B$11))*'1. Inputs'!$B$13*(1+'1. Inputs'!$B$14*MIN(MAX(0,$A82-'1. Inputs'!$C$25-'1. Inputs'!$B$30+1),'1. Inputs'!$B$15))*('1. Inputs'!$B$31*'5. Diagnosing a miss'!$B$22))</f>
        <v>5104945.11773978</v>
      </c>
      <c r="V82" s="22" t="n">
        <f aca="false">IF(MAX(0,$A82-'1. Inputs'!$C$26-'1. Inputs'!$B$30+1)&lt;=0,0,'1. Inputs'!$B$26*'1. Inputs'!$B$5*MAX(0,$A82-'1. Inputs'!$C$26-'1. Inputs'!$B$30+1)^'1. Inputs'!$B$7/('1. Inputs'!$B$6^'1. Inputs'!$B$7+MAX(0,$A82-'1. Inputs'!$C$26-'1. Inputs'!$B$30+1)^'1. Inputs'!$B$7)*('1. Inputs'!$B$9+'1. Inputs'!$B$10*MAX(0,$A82-'1. Inputs'!$C$26-'1. Inputs'!$B$30+1)/(MAX(0,$A82-'1. Inputs'!$C$26-'1. Inputs'!$B$30+1)+'1. Inputs'!$B$11))*'1. Inputs'!$B$13*(1+'1. Inputs'!$B$14*MIN(MAX(0,$A82-'1. Inputs'!$C$26-'1. Inputs'!$B$30+1),'1. Inputs'!$B$15))*('1. Inputs'!$B$31*'5. Diagnosing a miss'!$B$22))</f>
        <v>2220104.87879339</v>
      </c>
      <c r="W82" s="22" t="n">
        <f aca="false">IF(MAX(0,$A82-'1. Inputs'!$C$27-'1. Inputs'!$B$30+1)&lt;=0,0,'1. Inputs'!$B$27*'1. Inputs'!$B$5*MAX(0,$A82-'1. Inputs'!$C$27-'1. Inputs'!$B$30+1)^'1. Inputs'!$B$7/('1. Inputs'!$B$6^'1. Inputs'!$B$7+MAX(0,$A82-'1. Inputs'!$C$27-'1. Inputs'!$B$30+1)^'1. Inputs'!$B$7)*('1. Inputs'!$B$9+'1. Inputs'!$B$10*MAX(0,$A82-'1. Inputs'!$C$27-'1. Inputs'!$B$30+1)/(MAX(0,$A82-'1. Inputs'!$C$27-'1. Inputs'!$B$30+1)+'1. Inputs'!$B$11))*'1. Inputs'!$B$13*(1+'1. Inputs'!$B$14*MIN(MAX(0,$A82-'1. Inputs'!$C$27-'1. Inputs'!$B$30+1),'1. Inputs'!$B$15))*('1. Inputs'!$B$31*'5. Diagnosing a miss'!$B$22))</f>
        <v>1583679.31826087</v>
      </c>
      <c r="X82" s="22" t="n">
        <f aca="false">SUM(T82:W82)</f>
        <v>12756761.5983427</v>
      </c>
      <c r="Y82" s="22" t="n">
        <f aca="false">IF($A82=MAX('1. Inputs'!$B$17,1),'1. Inputs'!$B$3,0)+IF($A82-'1. Inputs'!$B$17&gt;=1,INDEX(X$3:X$86,$A82-'1. Inputs'!$B$17),0)</f>
        <v>12543685.3244445</v>
      </c>
      <c r="Z82" s="22" t="n">
        <f aca="false">Z81*(1-'1. Inputs'!$B$18)+Y82</f>
        <v>509333184.428</v>
      </c>
      <c r="AA82" s="22" t="n">
        <f aca="false">Z82*'1. Inputs'!$B$18</f>
        <v>5093331.84428</v>
      </c>
      <c r="AB82" s="22" t="n">
        <f aca="false">AB81+X82-AA82</f>
        <v>656243247.602348</v>
      </c>
      <c r="AC82" s="22" t="n">
        <f aca="false">IF(MAX(0,$A82-'1. Inputs'!$C$24-('1. Inputs'!$B$30+'5. Diagnosing a miss'!$B$23)+1)&lt;=0,0,'1. Inputs'!$B$24*'1. Inputs'!$B$5*MAX(0,$A82-'1. Inputs'!$C$24-('1. Inputs'!$B$30+'5. Diagnosing a miss'!$B$23)+1)^'1. Inputs'!$B$7/('1. Inputs'!$B$6^'1. Inputs'!$B$7+MAX(0,$A82-'1. Inputs'!$C$24-('1. Inputs'!$B$30+'5. Diagnosing a miss'!$B$23)+1)^'1. Inputs'!$B$7)*('1. Inputs'!$B$9+'1. Inputs'!$B$10*MAX(0,$A82-'1. Inputs'!$C$24-('1. Inputs'!$B$30+'5. Diagnosing a miss'!$B$23)+1)/(MAX(0,$A82-'1. Inputs'!$C$24-('1. Inputs'!$B$30+'5. Diagnosing a miss'!$B$23)+1)+'1. Inputs'!$B$11))*'1. Inputs'!$B$13*(1+'1. Inputs'!$B$14*MIN(MAX(0,$A82-'1. Inputs'!$C$24-('1. Inputs'!$B$30+'5. Diagnosing a miss'!$B$23)+1),'1. Inputs'!$B$15))*'1. Inputs'!$B$31)</f>
        <v>4263123.82861808</v>
      </c>
      <c r="AD82" s="22" t="n">
        <f aca="false">IF(MAX(0,$A82-'1. Inputs'!$C$25-('1. Inputs'!$B$30+'5. Diagnosing a miss'!$B$23)+1)&lt;=0,0,'1. Inputs'!$B$25*'1. Inputs'!$B$5*MAX(0,$A82-'1. Inputs'!$C$25-('1. Inputs'!$B$30+'5. Diagnosing a miss'!$B$23)+1)^'1. Inputs'!$B$7/('1. Inputs'!$B$6^'1. Inputs'!$B$7+MAX(0,$A82-'1. Inputs'!$C$25-('1. Inputs'!$B$30+'5. Diagnosing a miss'!$B$23)+1)^'1. Inputs'!$B$7)*('1. Inputs'!$B$9+'1. Inputs'!$B$10*MAX(0,$A82-'1. Inputs'!$C$25-('1. Inputs'!$B$30+'5. Diagnosing a miss'!$B$23)+1)/(MAX(0,$A82-'1. Inputs'!$C$25-('1. Inputs'!$B$30+'5. Diagnosing a miss'!$B$23)+1)+'1. Inputs'!$B$11))*'1. Inputs'!$B$13*(1+'1. Inputs'!$B$14*MIN(MAX(0,$A82-'1. Inputs'!$C$25-('1. Inputs'!$B$30+'5. Diagnosing a miss'!$B$23)+1),'1. Inputs'!$B$15))*'1. Inputs'!$B$31)</f>
        <v>5652585.93103448</v>
      </c>
      <c r="AE82" s="22" t="n">
        <f aca="false">IF(MAX(0,$A82-'1. Inputs'!$C$26-('1. Inputs'!$B$30+'5. Diagnosing a miss'!$B$23)+1)&lt;=0,0,'1. Inputs'!$B$26*'1. Inputs'!$B$5*MAX(0,$A82-'1. Inputs'!$C$26-('1. Inputs'!$B$30+'5. Diagnosing a miss'!$B$23)+1)^'1. Inputs'!$B$7/('1. Inputs'!$B$6^'1. Inputs'!$B$7+MAX(0,$A82-'1. Inputs'!$C$26-('1. Inputs'!$B$30+'5. Diagnosing a miss'!$B$23)+1)^'1. Inputs'!$B$7)*('1. Inputs'!$B$9+'1. Inputs'!$B$10*MAX(0,$A82-'1. Inputs'!$C$26-('1. Inputs'!$B$30+'5. Diagnosing a miss'!$B$23)+1)/(MAX(0,$A82-'1. Inputs'!$C$26-('1. Inputs'!$B$30+'5. Diagnosing a miss'!$B$23)+1)+'1. Inputs'!$B$11))*'1. Inputs'!$B$13*(1+'1. Inputs'!$B$14*MIN(MAX(0,$A82-'1. Inputs'!$C$26-('1. Inputs'!$B$30+'5. Diagnosing a miss'!$B$23)+1),'1. Inputs'!$B$15))*'1. Inputs'!$B$31)</f>
        <v>2456565.01128236</v>
      </c>
      <c r="AF82" s="22" t="n">
        <f aca="false">IF(MAX(0,$A82-'1. Inputs'!$C$27-('1. Inputs'!$B$30+'5. Diagnosing a miss'!$B$23)+1)&lt;=0,0,'1. Inputs'!$B$27*'1. Inputs'!$B$5*MAX(0,$A82-'1. Inputs'!$C$27-('1. Inputs'!$B$30+'5. Diagnosing a miss'!$B$23)+1)^'1. Inputs'!$B$7/('1. Inputs'!$B$6^'1. Inputs'!$B$7+MAX(0,$A82-'1. Inputs'!$C$27-('1. Inputs'!$B$30+'5. Diagnosing a miss'!$B$23)+1)^'1. Inputs'!$B$7)*('1. Inputs'!$B$9+'1. Inputs'!$B$10*MAX(0,$A82-'1. Inputs'!$C$27-('1. Inputs'!$B$30+'5. Diagnosing a miss'!$B$23)+1)/(MAX(0,$A82-'1. Inputs'!$C$27-('1. Inputs'!$B$30+'5. Diagnosing a miss'!$B$23)+1)+'1. Inputs'!$B$11))*'1. Inputs'!$B$13*(1+'1. Inputs'!$B$14*MIN(MAX(0,$A82-'1. Inputs'!$C$27-('1. Inputs'!$B$30+'5. Diagnosing a miss'!$B$23)+1),'1. Inputs'!$B$15))*'1. Inputs'!$B$31)</f>
        <v>1752069.34874417</v>
      </c>
      <c r="AG82" s="22" t="n">
        <f aca="false">SUM(AC82:AF82)</f>
        <v>14124344.1196791</v>
      </c>
      <c r="AH82" s="22" t="n">
        <f aca="false">IF($A82=MAX('1. Inputs'!$B$17,1),'1. Inputs'!$B$3,0)+IF($A82-'1. Inputs'!$B$17&gt;=1,INDEX(AG$3:AG$86,$A82-'1. Inputs'!$B$17),0)</f>
        <v>13858663.3799563</v>
      </c>
      <c r="AI82" s="22" t="n">
        <f aca="false">AI81*(1-'1. Inputs'!$B$18)+AH82</f>
        <v>529673188.671879</v>
      </c>
      <c r="AJ82" s="22" t="n">
        <f aca="false">AI82*'1. Inputs'!$B$18</f>
        <v>5296731.88671879</v>
      </c>
      <c r="AK82" s="22" t="n">
        <f aca="false">AK81+AG82-AJ82</f>
        <v>692531014.36503</v>
      </c>
    </row>
    <row r="83" customFormat="false" ht="15" hidden="false" customHeight="false" outlineLevel="0" collapsed="false">
      <c r="A83" s="7" t="n">
        <v>81</v>
      </c>
      <c r="B83" s="22" t="n">
        <f aca="false">IF(MAX(0,$A83-'1. Inputs'!$C$24-'1. Inputs'!$B$30+1)&lt;=0,0,'1. Inputs'!$B$24*'1. Inputs'!$B$5*MAX(0,$A83-'1. Inputs'!$C$24-'1. Inputs'!$B$30+1)^'1. Inputs'!$B$7/('1. Inputs'!$B$6^'1. Inputs'!$B$7+MAX(0,$A83-'1. Inputs'!$C$24-'1. Inputs'!$B$30+1)^'1. Inputs'!$B$7)*('1. Inputs'!$B$9+'1. Inputs'!$B$10*MAX(0,$A83-'1. Inputs'!$C$24-'1. Inputs'!$B$30+1)/(MAX(0,$A83-'1. Inputs'!$C$24-'1. Inputs'!$B$30+1)+'1. Inputs'!$B$11))*'1. Inputs'!$B$13*(1+'1. Inputs'!$B$14*MIN(MAX(0,$A83-'1. Inputs'!$C$24-'1. Inputs'!$B$30+1),'1. Inputs'!$B$15))*'1. Inputs'!$B$31)</f>
        <v>4279495.2681388</v>
      </c>
      <c r="C83" s="22" t="n">
        <f aca="false">IF(MAX(0,$A83-'1. Inputs'!$C$25-'1. Inputs'!$B$30+1)&lt;=0,0,'1. Inputs'!$B$25*'1. Inputs'!$B$5*MAX(0,$A83-'1. Inputs'!$C$25-'1. Inputs'!$B$30+1)^'1. Inputs'!$B$7/('1. Inputs'!$B$6^'1. Inputs'!$B$7+MAX(0,$A83-'1. Inputs'!$C$25-'1. Inputs'!$B$30+1)^'1. Inputs'!$B$7)*('1. Inputs'!$B$9+'1. Inputs'!$B$10*MAX(0,$A83-'1. Inputs'!$C$25-'1. Inputs'!$B$30+1)/(MAX(0,$A83-'1. Inputs'!$C$25-'1. Inputs'!$B$30+1)+'1. Inputs'!$B$11))*'1. Inputs'!$B$13*(1+'1. Inputs'!$B$14*MIN(MAX(0,$A83-'1. Inputs'!$C$25-'1. Inputs'!$B$30+1),'1. Inputs'!$B$15))*'1. Inputs'!$B$31)</f>
        <v>5678261.18196515</v>
      </c>
      <c r="D83" s="22" t="n">
        <f aca="false">IF(MAX(0,$A83-'1. Inputs'!$C$26-'1. Inputs'!$B$30+1)&lt;=0,0,'1. Inputs'!$B$26*'1. Inputs'!$B$5*MAX(0,$A83-'1. Inputs'!$C$26-'1. Inputs'!$B$30+1)^'1. Inputs'!$B$7/('1. Inputs'!$B$6^'1. Inputs'!$B$7+MAX(0,$A83-'1. Inputs'!$C$26-'1. Inputs'!$B$30+1)^'1. Inputs'!$B$7)*('1. Inputs'!$B$9+'1. Inputs'!$B$10*MAX(0,$A83-'1. Inputs'!$C$26-'1. Inputs'!$B$30+1)/(MAX(0,$A83-'1. Inputs'!$C$26-'1. Inputs'!$B$30+1)+'1. Inputs'!$B$11))*'1. Inputs'!$B$13*(1+'1. Inputs'!$B$14*MIN(MAX(0,$A83-'1. Inputs'!$C$26-'1. Inputs'!$B$30+1),'1. Inputs'!$B$15))*'1. Inputs'!$B$31)</f>
        <v>2469949.65426558</v>
      </c>
      <c r="E83" s="22" t="n">
        <f aca="false">IF(MAX(0,$A83-'1. Inputs'!$C$27-'1. Inputs'!$B$30+1)&lt;=0,0,'1. Inputs'!$B$27*'1. Inputs'!$B$5*MAX(0,$A83-'1. Inputs'!$C$27-'1. Inputs'!$B$30+1)^'1. Inputs'!$B$7/('1. Inputs'!$B$6^'1. Inputs'!$B$7+MAX(0,$A83-'1. Inputs'!$C$27-'1. Inputs'!$B$30+1)^'1. Inputs'!$B$7)*('1. Inputs'!$B$9+'1. Inputs'!$B$10*MAX(0,$A83-'1. Inputs'!$C$27-'1. Inputs'!$B$30+1)/(MAX(0,$A83-'1. Inputs'!$C$27-'1. Inputs'!$B$30+1)+'1. Inputs'!$B$11))*'1. Inputs'!$B$13*(1+'1. Inputs'!$B$14*MIN(MAX(0,$A83-'1. Inputs'!$C$27-'1. Inputs'!$B$30+1),'1. Inputs'!$B$15))*'1. Inputs'!$B$31)</f>
        <v>1761987.99904237</v>
      </c>
      <c r="F83" s="22" t="n">
        <f aca="false">SUM(B83:E83)</f>
        <v>14189694.1034119</v>
      </c>
      <c r="G83" s="22" t="n">
        <f aca="false">IF($A83=MAX('1. Inputs'!$B$17,1),'1. Inputs'!$B$3,0)+IF($A83-'1. Inputs'!$B$17&gt;=1,INDEX(F$3:F$86,$A83-'1. Inputs'!$B$17),0)</f>
        <v>13961568.1247686</v>
      </c>
      <c r="H83" s="22" t="n">
        <f aca="false">H82*(1-'1. Inputs'!$B$18)+G83</f>
        <v>565897453.830583</v>
      </c>
      <c r="I83" s="22" t="n">
        <f aca="false">H83*'1. Inputs'!$B$18</f>
        <v>5658974.53830583</v>
      </c>
      <c r="J83" s="22" t="n">
        <f aca="false">J82+F83-I83</f>
        <v>729359266.402729</v>
      </c>
      <c r="K83" s="22" t="n">
        <f aca="false">IF(MAX(0,$A83-'1. Inputs'!$C$24-'1. Inputs'!$B$30+1)&lt;=0,0,'1. Inputs'!$B$24*('1. Inputs'!$B$5-'5. Diagnosing a miss'!$B$21)*MAX(0,$A83-'1. Inputs'!$C$24-'1. Inputs'!$B$30+1)^'1. Inputs'!$B$7/('1. Inputs'!$B$6^'1. Inputs'!$B$7+MAX(0,$A83-'1. Inputs'!$C$24-'1. Inputs'!$B$30+1)^'1. Inputs'!$B$7)*('1. Inputs'!$B$9+'1. Inputs'!$B$10*MAX(0,$A83-'1. Inputs'!$C$24-'1. Inputs'!$B$30+1)/(MAX(0,$A83-'1. Inputs'!$C$24-'1. Inputs'!$B$30+1)+'1. Inputs'!$B$11))*'1. Inputs'!$B$13*(1+'1. Inputs'!$B$14*MIN(MAX(0,$A83-'1. Inputs'!$C$24-'1. Inputs'!$B$30+1),'1. Inputs'!$B$15))*'1. Inputs'!$B$31)</f>
        <v>3803995.79390116</v>
      </c>
      <c r="L83" s="22" t="n">
        <f aca="false">IF(MAX(0,$A83-'1. Inputs'!$C$25-'1. Inputs'!$B$30+1)&lt;=0,0,'1. Inputs'!$B$25*('1. Inputs'!$B$5-'5. Diagnosing a miss'!$B$21)*MAX(0,$A83-'1. Inputs'!$C$25-'1. Inputs'!$B$30+1)^'1. Inputs'!$B$7/('1. Inputs'!$B$6^'1. Inputs'!$B$7+MAX(0,$A83-'1. Inputs'!$C$25-'1. Inputs'!$B$30+1)^'1. Inputs'!$B$7)*('1. Inputs'!$B$9+'1. Inputs'!$B$10*MAX(0,$A83-'1. Inputs'!$C$25-'1. Inputs'!$B$30+1)/(MAX(0,$A83-'1. Inputs'!$C$25-'1. Inputs'!$B$30+1)+'1. Inputs'!$B$11))*'1. Inputs'!$B$13*(1+'1. Inputs'!$B$14*MIN(MAX(0,$A83-'1. Inputs'!$C$25-'1. Inputs'!$B$30+1),'1. Inputs'!$B$15))*'1. Inputs'!$B$31)</f>
        <v>5047343.27285791</v>
      </c>
      <c r="M83" s="22" t="n">
        <f aca="false">IF(MAX(0,$A83-'1. Inputs'!$C$26-'1. Inputs'!$B$30+1)&lt;=0,0,'1. Inputs'!$B$26*('1. Inputs'!$B$5-'5. Diagnosing a miss'!$B$21)*MAX(0,$A83-'1. Inputs'!$C$26-'1. Inputs'!$B$30+1)^'1. Inputs'!$B$7/('1. Inputs'!$B$6^'1. Inputs'!$B$7+MAX(0,$A83-'1. Inputs'!$C$26-'1. Inputs'!$B$30+1)^'1. Inputs'!$B$7)*('1. Inputs'!$B$9+'1. Inputs'!$B$10*MAX(0,$A83-'1. Inputs'!$C$26-'1. Inputs'!$B$30+1)/(MAX(0,$A83-'1. Inputs'!$C$26-'1. Inputs'!$B$30+1)+'1. Inputs'!$B$11))*'1. Inputs'!$B$13*(1+'1. Inputs'!$B$14*MIN(MAX(0,$A83-'1. Inputs'!$C$26-'1. Inputs'!$B$30+1),'1. Inputs'!$B$15))*'1. Inputs'!$B$31)</f>
        <v>2195510.80379163</v>
      </c>
      <c r="N83" s="22" t="n">
        <f aca="false">IF(MAX(0,$A83-'1. Inputs'!$C$27-'1. Inputs'!$B$30+1)&lt;=0,0,'1. Inputs'!$B$27*('1. Inputs'!$B$5-'5. Diagnosing a miss'!$B$21)*MAX(0,$A83-'1. Inputs'!$C$27-'1. Inputs'!$B$30+1)^'1. Inputs'!$B$7/('1. Inputs'!$B$6^'1. Inputs'!$B$7+MAX(0,$A83-'1. Inputs'!$C$27-'1. Inputs'!$B$30+1)^'1. Inputs'!$B$7)*('1. Inputs'!$B$9+'1. Inputs'!$B$10*MAX(0,$A83-'1. Inputs'!$C$27-'1. Inputs'!$B$30+1)/(MAX(0,$A83-'1. Inputs'!$C$27-'1. Inputs'!$B$30+1)+'1. Inputs'!$B$11))*'1. Inputs'!$B$13*(1+'1. Inputs'!$B$14*MIN(MAX(0,$A83-'1. Inputs'!$C$27-'1. Inputs'!$B$30+1),'1. Inputs'!$B$15))*'1. Inputs'!$B$31)</f>
        <v>1566211.55470433</v>
      </c>
      <c r="O83" s="22" t="n">
        <f aca="false">SUM(K83:N83)</f>
        <v>12613061.425255</v>
      </c>
      <c r="P83" s="22" t="n">
        <f aca="false">IF($A83=MAX('1. Inputs'!$B$17,1),'1. Inputs'!$B$3,0)+IF($A83-'1. Inputs'!$B$17&gt;=1,INDEX(O$3:O$86,$A83-'1. Inputs'!$B$17),0)</f>
        <v>12410282.7775721</v>
      </c>
      <c r="Q83" s="22" t="n">
        <f aca="false">Q82*(1-'1. Inputs'!$B$18)+P83</f>
        <v>511350576.125504</v>
      </c>
      <c r="R83" s="22" t="n">
        <f aca="false">Q83*'1. Inputs'!$B$18</f>
        <v>5113505.76125504</v>
      </c>
      <c r="S83" s="22" t="n">
        <f aca="false">S82+O83-R83</f>
        <v>656566658.906874</v>
      </c>
      <c r="T83" s="22" t="n">
        <f aca="false">IF(MAX(0,$A83-'1. Inputs'!$C$24-'1. Inputs'!$B$30+1)&lt;=0,0,'1. Inputs'!$B$24*'1. Inputs'!$B$5*MAX(0,$A83-'1. Inputs'!$C$24-'1. Inputs'!$B$30+1)^'1. Inputs'!$B$7/('1. Inputs'!$B$6^'1. Inputs'!$B$7+MAX(0,$A83-'1. Inputs'!$C$24-'1. Inputs'!$B$30+1)^'1. Inputs'!$B$7)*('1. Inputs'!$B$9+'1. Inputs'!$B$10*MAX(0,$A83-'1. Inputs'!$C$24-'1. Inputs'!$B$30+1)/(MAX(0,$A83-'1. Inputs'!$C$24-'1. Inputs'!$B$30+1)+'1. Inputs'!$B$11))*'1. Inputs'!$B$13*(1+'1. Inputs'!$B$14*MIN(MAX(0,$A83-'1. Inputs'!$C$24-'1. Inputs'!$B$30+1),'1. Inputs'!$B$15))*('1. Inputs'!$B$31*'5. Diagnosing a miss'!$B$22))</f>
        <v>3851545.74132492</v>
      </c>
      <c r="U83" s="22" t="n">
        <f aca="false">IF(MAX(0,$A83-'1. Inputs'!$C$25-'1. Inputs'!$B$30+1)&lt;=0,0,'1. Inputs'!$B$25*'1. Inputs'!$B$5*MAX(0,$A83-'1. Inputs'!$C$25-'1. Inputs'!$B$30+1)^'1. Inputs'!$B$7/('1. Inputs'!$B$6^'1. Inputs'!$B$7+MAX(0,$A83-'1. Inputs'!$C$25-'1. Inputs'!$B$30+1)^'1. Inputs'!$B$7)*('1. Inputs'!$B$9+'1. Inputs'!$B$10*MAX(0,$A83-'1. Inputs'!$C$25-'1. Inputs'!$B$30+1)/(MAX(0,$A83-'1. Inputs'!$C$25-'1. Inputs'!$B$30+1)+'1. Inputs'!$B$11))*'1. Inputs'!$B$13*(1+'1. Inputs'!$B$14*MIN(MAX(0,$A83-'1. Inputs'!$C$25-'1. Inputs'!$B$30+1),'1. Inputs'!$B$15))*('1. Inputs'!$B$31*'5. Diagnosing a miss'!$B$22))</f>
        <v>5110435.06376864</v>
      </c>
      <c r="V83" s="22" t="n">
        <f aca="false">IF(MAX(0,$A83-'1. Inputs'!$C$26-'1. Inputs'!$B$30+1)&lt;=0,0,'1. Inputs'!$B$26*'1. Inputs'!$B$5*MAX(0,$A83-'1. Inputs'!$C$26-'1. Inputs'!$B$30+1)^'1. Inputs'!$B$7/('1. Inputs'!$B$6^'1. Inputs'!$B$7+MAX(0,$A83-'1. Inputs'!$C$26-'1. Inputs'!$B$30+1)^'1. Inputs'!$B$7)*('1. Inputs'!$B$9+'1. Inputs'!$B$10*MAX(0,$A83-'1. Inputs'!$C$26-'1. Inputs'!$B$30+1)/(MAX(0,$A83-'1. Inputs'!$C$26-'1. Inputs'!$B$30+1)+'1. Inputs'!$B$11))*'1. Inputs'!$B$13*(1+'1. Inputs'!$B$14*MIN(MAX(0,$A83-'1. Inputs'!$C$26-'1. Inputs'!$B$30+1),'1. Inputs'!$B$15))*('1. Inputs'!$B$31*'5. Diagnosing a miss'!$B$22))</f>
        <v>2222954.68883903</v>
      </c>
      <c r="W83" s="22" t="n">
        <f aca="false">IF(MAX(0,$A83-'1. Inputs'!$C$27-'1. Inputs'!$B$30+1)&lt;=0,0,'1. Inputs'!$B$27*'1. Inputs'!$B$5*MAX(0,$A83-'1. Inputs'!$C$27-'1. Inputs'!$B$30+1)^'1. Inputs'!$B$7/('1. Inputs'!$B$6^'1. Inputs'!$B$7+MAX(0,$A83-'1. Inputs'!$C$27-'1. Inputs'!$B$30+1)^'1. Inputs'!$B$7)*('1. Inputs'!$B$9+'1. Inputs'!$B$10*MAX(0,$A83-'1. Inputs'!$C$27-'1. Inputs'!$B$30+1)/(MAX(0,$A83-'1. Inputs'!$C$27-'1. Inputs'!$B$30+1)+'1. Inputs'!$B$11))*'1. Inputs'!$B$13*(1+'1. Inputs'!$B$14*MIN(MAX(0,$A83-'1. Inputs'!$C$27-'1. Inputs'!$B$30+1),'1. Inputs'!$B$15))*('1. Inputs'!$B$31*'5. Diagnosing a miss'!$B$22))</f>
        <v>1585789.19913814</v>
      </c>
      <c r="X83" s="22" t="n">
        <f aca="false">SUM(T83:W83)</f>
        <v>12770724.6930707</v>
      </c>
      <c r="Y83" s="22" t="n">
        <f aca="false">IF($A83=MAX('1. Inputs'!$B$17,1),'1. Inputs'!$B$3,0)+IF($A83-'1. Inputs'!$B$17&gt;=1,INDEX(X$3:X$86,$A83-'1. Inputs'!$B$17),0)</f>
        <v>12565411.3122918</v>
      </c>
      <c r="Z83" s="22" t="n">
        <f aca="false">Z82*(1-'1. Inputs'!$B$18)+Y83</f>
        <v>516805263.896012</v>
      </c>
      <c r="AA83" s="22" t="n">
        <f aca="false">Z83*'1. Inputs'!$B$18</f>
        <v>5168052.63896012</v>
      </c>
      <c r="AB83" s="22" t="n">
        <f aca="false">AB82+X83-AA83</f>
        <v>663845919.656459</v>
      </c>
      <c r="AC83" s="22" t="n">
        <f aca="false">IF(MAX(0,$A83-'1. Inputs'!$C$24-('1. Inputs'!$B$30+'5. Diagnosing a miss'!$B$23)+1)&lt;=0,0,'1. Inputs'!$B$24*'1. Inputs'!$B$5*MAX(0,$A83-'1. Inputs'!$C$24-('1. Inputs'!$B$30+'5. Diagnosing a miss'!$B$23)+1)^'1. Inputs'!$B$7/('1. Inputs'!$B$6^'1. Inputs'!$B$7+MAX(0,$A83-'1. Inputs'!$C$24-('1. Inputs'!$B$30+'5. Diagnosing a miss'!$B$23)+1)^'1. Inputs'!$B$7)*('1. Inputs'!$B$9+'1. Inputs'!$B$10*MAX(0,$A83-'1. Inputs'!$C$24-('1. Inputs'!$B$30+'5. Diagnosing a miss'!$B$23)+1)/(MAX(0,$A83-'1. Inputs'!$C$24-('1. Inputs'!$B$30+'5. Diagnosing a miss'!$B$23)+1)+'1. Inputs'!$B$11))*'1. Inputs'!$B$13*(1+'1. Inputs'!$B$14*MIN(MAX(0,$A83-'1. Inputs'!$C$24-('1. Inputs'!$B$30+'5. Diagnosing a miss'!$B$23)+1),'1. Inputs'!$B$15))*'1. Inputs'!$B$31)</f>
        <v>4267411.5408284</v>
      </c>
      <c r="AD83" s="22" t="n">
        <f aca="false">IF(MAX(0,$A83-'1. Inputs'!$C$25-('1. Inputs'!$B$30+'5. Diagnosing a miss'!$B$23)+1)&lt;=0,0,'1. Inputs'!$B$25*'1. Inputs'!$B$5*MAX(0,$A83-'1. Inputs'!$C$25-('1. Inputs'!$B$30+'5. Diagnosing a miss'!$B$23)+1)^'1. Inputs'!$B$7/('1. Inputs'!$B$6^'1. Inputs'!$B$7+MAX(0,$A83-'1. Inputs'!$C$25-('1. Inputs'!$B$30+'5. Diagnosing a miss'!$B$23)+1)^'1. Inputs'!$B$7)*('1. Inputs'!$B$9+'1. Inputs'!$B$10*MAX(0,$A83-'1. Inputs'!$C$25-('1. Inputs'!$B$30+'5. Diagnosing a miss'!$B$23)+1)/(MAX(0,$A83-'1. Inputs'!$C$25-('1. Inputs'!$B$30+'5. Diagnosing a miss'!$B$23)+1)+'1. Inputs'!$B$11))*'1. Inputs'!$B$13*(1+'1. Inputs'!$B$14*MIN(MAX(0,$A83-'1. Inputs'!$C$25-('1. Inputs'!$B$30+'5. Diagnosing a miss'!$B$23)+1),'1. Inputs'!$B$15))*'1. Inputs'!$B$31)</f>
        <v>5659334.19914271</v>
      </c>
      <c r="AE83" s="22" t="n">
        <f aca="false">IF(MAX(0,$A83-'1. Inputs'!$C$26-('1. Inputs'!$B$30+'5. Diagnosing a miss'!$B$23)+1)&lt;=0,0,'1. Inputs'!$B$26*'1. Inputs'!$B$5*MAX(0,$A83-'1. Inputs'!$C$26-('1. Inputs'!$B$30+'5. Diagnosing a miss'!$B$23)+1)^'1. Inputs'!$B$7/('1. Inputs'!$B$6^'1. Inputs'!$B$7+MAX(0,$A83-'1. Inputs'!$C$26-('1. Inputs'!$B$30+'5. Diagnosing a miss'!$B$23)+1)^'1. Inputs'!$B$7)*('1. Inputs'!$B$9+'1. Inputs'!$B$10*MAX(0,$A83-'1. Inputs'!$C$26-('1. Inputs'!$B$30+'5. Diagnosing a miss'!$B$23)+1)/(MAX(0,$A83-'1. Inputs'!$C$26-('1. Inputs'!$B$30+'5. Diagnosing a miss'!$B$23)+1)+'1. Inputs'!$B$11))*'1. Inputs'!$B$13*(1+'1. Inputs'!$B$14*MIN(MAX(0,$A83-'1. Inputs'!$C$26-('1. Inputs'!$B$30+'5. Diagnosing a miss'!$B$23)+1),'1. Inputs'!$B$15))*'1. Inputs'!$B$31)</f>
        <v>2460097.32076433</v>
      </c>
      <c r="AF83" s="22" t="n">
        <f aca="false">IF(MAX(0,$A83-'1. Inputs'!$C$27-('1. Inputs'!$B$30+'5. Diagnosing a miss'!$B$23)+1)&lt;=0,0,'1. Inputs'!$B$27*'1. Inputs'!$B$5*MAX(0,$A83-'1. Inputs'!$C$27-('1. Inputs'!$B$30+'5. Diagnosing a miss'!$B$23)+1)^'1. Inputs'!$B$7/('1. Inputs'!$B$6^'1. Inputs'!$B$7+MAX(0,$A83-'1. Inputs'!$C$27-('1. Inputs'!$B$30+'5. Diagnosing a miss'!$B$23)+1)^'1. Inputs'!$B$7)*('1. Inputs'!$B$9+'1. Inputs'!$B$10*MAX(0,$A83-'1. Inputs'!$C$27-('1. Inputs'!$B$30+'5. Diagnosing a miss'!$B$23)+1)/(MAX(0,$A83-'1. Inputs'!$C$27-('1. Inputs'!$B$30+'5. Diagnosing a miss'!$B$23)+1)+'1. Inputs'!$B$11))*'1. Inputs'!$B$13*(1+'1. Inputs'!$B$14*MIN(MAX(0,$A83-'1. Inputs'!$C$27-('1. Inputs'!$B$30+'5. Diagnosing a miss'!$B$23)+1),'1. Inputs'!$B$15))*'1. Inputs'!$B$31)</f>
        <v>1754689.29377311</v>
      </c>
      <c r="AG83" s="22" t="n">
        <f aca="false">SUM(AC83:AF83)</f>
        <v>14141532.3545086</v>
      </c>
      <c r="AH83" s="22" t="n">
        <f aca="false">IF($A83=MAX('1. Inputs'!$B$17,1),'1. Inputs'!$B$3,0)+IF($A83-'1. Inputs'!$B$17&gt;=1,INDEX(AG$3:AG$86,$A83-'1. Inputs'!$B$17),0)</f>
        <v>13886041.3020714</v>
      </c>
      <c r="AI83" s="22" t="n">
        <f aca="false">AI82*(1-'1. Inputs'!$B$18)+AH83</f>
        <v>538262498.087232</v>
      </c>
      <c r="AJ83" s="22" t="n">
        <f aca="false">AI83*'1. Inputs'!$B$18</f>
        <v>5382624.98087232</v>
      </c>
      <c r="AK83" s="22" t="n">
        <f aca="false">AK82+AG83-AJ83</f>
        <v>701289921.738666</v>
      </c>
    </row>
    <row r="84" customFormat="false" ht="15" hidden="false" customHeight="false" outlineLevel="0" collapsed="false">
      <c r="A84" s="7" t="n">
        <v>82</v>
      </c>
      <c r="B84" s="22" t="n">
        <f aca="false">IF(MAX(0,$A84-'1. Inputs'!$C$24-'1. Inputs'!$B$30+1)&lt;=0,0,'1. Inputs'!$B$24*'1. Inputs'!$B$5*MAX(0,$A84-'1. Inputs'!$C$24-'1. Inputs'!$B$30+1)^'1. Inputs'!$B$7/('1. Inputs'!$B$6^'1. Inputs'!$B$7+MAX(0,$A84-'1. Inputs'!$C$24-'1. Inputs'!$B$30+1)^'1. Inputs'!$B$7)*('1. Inputs'!$B$9+'1. Inputs'!$B$10*MAX(0,$A84-'1. Inputs'!$C$24-'1. Inputs'!$B$30+1)/(MAX(0,$A84-'1. Inputs'!$C$24-'1. Inputs'!$B$30+1)+'1. Inputs'!$B$11))*'1. Inputs'!$B$13*(1+'1. Inputs'!$B$14*MIN(MAX(0,$A84-'1. Inputs'!$C$24-'1. Inputs'!$B$30+1),'1. Inputs'!$B$15))*'1. Inputs'!$B$31)</f>
        <v>4283282.26850506</v>
      </c>
      <c r="C84" s="22" t="n">
        <f aca="false">IF(MAX(0,$A84-'1. Inputs'!$C$25-'1. Inputs'!$B$30+1)&lt;=0,0,'1. Inputs'!$B$25*'1. Inputs'!$B$5*MAX(0,$A84-'1. Inputs'!$C$25-'1. Inputs'!$B$30+1)^'1. Inputs'!$B$7/('1. Inputs'!$B$6^'1. Inputs'!$B$7+MAX(0,$A84-'1. Inputs'!$C$25-'1. Inputs'!$B$30+1)^'1. Inputs'!$B$7)*('1. Inputs'!$B$9+'1. Inputs'!$B$10*MAX(0,$A84-'1. Inputs'!$C$25-'1. Inputs'!$B$30+1)/(MAX(0,$A84-'1. Inputs'!$C$25-'1. Inputs'!$B$30+1)+'1. Inputs'!$B$11))*'1. Inputs'!$B$13*(1+'1. Inputs'!$B$14*MIN(MAX(0,$A84-'1. Inputs'!$C$25-'1. Inputs'!$B$30+1),'1. Inputs'!$B$15))*'1. Inputs'!$B$31)</f>
        <v>5684165.10482411</v>
      </c>
      <c r="D84" s="22" t="n">
        <f aca="false">IF(MAX(0,$A84-'1. Inputs'!$C$26-'1. Inputs'!$B$30+1)&lt;=0,0,'1. Inputs'!$B$26*'1. Inputs'!$B$5*MAX(0,$A84-'1. Inputs'!$C$26-'1. Inputs'!$B$30+1)^'1. Inputs'!$B$7/('1. Inputs'!$B$6^'1. Inputs'!$B$7+MAX(0,$A84-'1. Inputs'!$C$26-'1. Inputs'!$B$30+1)^'1. Inputs'!$B$7)*('1. Inputs'!$B$9+'1. Inputs'!$B$10*MAX(0,$A84-'1. Inputs'!$C$26-'1. Inputs'!$B$30+1)/(MAX(0,$A84-'1. Inputs'!$C$26-'1. Inputs'!$B$30+1)+'1. Inputs'!$B$11))*'1. Inputs'!$B$13*(1+'1. Inputs'!$B$14*MIN(MAX(0,$A84-'1. Inputs'!$C$26-'1. Inputs'!$B$30+1),'1. Inputs'!$B$15))*'1. Inputs'!$B$31)</f>
        <v>2473006.34482759</v>
      </c>
      <c r="E84" s="22" t="n">
        <f aca="false">IF(MAX(0,$A84-'1. Inputs'!$C$27-'1. Inputs'!$B$30+1)&lt;=0,0,'1. Inputs'!$B$27*'1. Inputs'!$B$5*MAX(0,$A84-'1. Inputs'!$C$27-'1. Inputs'!$B$30+1)^'1. Inputs'!$B$7/('1. Inputs'!$B$6^'1. Inputs'!$B$7+MAX(0,$A84-'1. Inputs'!$C$27-'1. Inputs'!$B$30+1)^'1. Inputs'!$B$7)*('1. Inputs'!$B$9+'1. Inputs'!$B$10*MAX(0,$A84-'1. Inputs'!$C$27-'1. Inputs'!$B$30+1)/(MAX(0,$A84-'1. Inputs'!$C$27-'1. Inputs'!$B$30+1)+'1. Inputs'!$B$11))*'1. Inputs'!$B$13*(1+'1. Inputs'!$B$14*MIN(MAX(0,$A84-'1. Inputs'!$C$27-'1. Inputs'!$B$30+1),'1. Inputs'!$B$15))*'1. Inputs'!$B$31)</f>
        <v>1764249.75304685</v>
      </c>
      <c r="F84" s="22" t="n">
        <f aca="false">SUM(B84:E84)</f>
        <v>14204703.4712036</v>
      </c>
      <c r="G84" s="22" t="n">
        <f aca="false">IF($A84=MAX('1. Inputs'!$B$17,1),'1. Inputs'!$B$3,0)+IF($A84-'1. Inputs'!$B$17&gt;=1,INDEX(F$3:F$86,$A84-'1. Inputs'!$B$17),0)</f>
        <v>13984751.7452893</v>
      </c>
      <c r="H84" s="22" t="n">
        <f aca="false">H83*(1-'1. Inputs'!$B$18)+G84</f>
        <v>574223231.037566</v>
      </c>
      <c r="I84" s="22" t="n">
        <f aca="false">H84*'1. Inputs'!$B$18</f>
        <v>5742232.31037566</v>
      </c>
      <c r="J84" s="22" t="n">
        <f aca="false">J83+F84-I84</f>
        <v>737821737.563557</v>
      </c>
      <c r="K84" s="22" t="n">
        <f aca="false">IF(MAX(0,$A84-'1. Inputs'!$C$24-'1. Inputs'!$B$30+1)&lt;=0,0,'1. Inputs'!$B$24*('1. Inputs'!$B$5-'5. Diagnosing a miss'!$B$21)*MAX(0,$A84-'1. Inputs'!$C$24-'1. Inputs'!$B$30+1)^'1. Inputs'!$B$7/('1. Inputs'!$B$6^'1. Inputs'!$B$7+MAX(0,$A84-'1. Inputs'!$C$24-'1. Inputs'!$B$30+1)^'1. Inputs'!$B$7)*('1. Inputs'!$B$9+'1. Inputs'!$B$10*MAX(0,$A84-'1. Inputs'!$C$24-'1. Inputs'!$B$30+1)/(MAX(0,$A84-'1. Inputs'!$C$24-'1. Inputs'!$B$30+1)+'1. Inputs'!$B$11))*'1. Inputs'!$B$13*(1+'1. Inputs'!$B$14*MIN(MAX(0,$A84-'1. Inputs'!$C$24-'1. Inputs'!$B$30+1),'1. Inputs'!$B$15))*'1. Inputs'!$B$31)</f>
        <v>3807362.01644894</v>
      </c>
      <c r="L84" s="22" t="n">
        <f aca="false">IF(MAX(0,$A84-'1. Inputs'!$C$25-'1. Inputs'!$B$30+1)&lt;=0,0,'1. Inputs'!$B$25*('1. Inputs'!$B$5-'5. Diagnosing a miss'!$B$21)*MAX(0,$A84-'1. Inputs'!$C$25-'1. Inputs'!$B$30+1)^'1. Inputs'!$B$7/('1. Inputs'!$B$6^'1. Inputs'!$B$7+MAX(0,$A84-'1. Inputs'!$C$25-'1. Inputs'!$B$30+1)^'1. Inputs'!$B$7)*('1. Inputs'!$B$9+'1. Inputs'!$B$10*MAX(0,$A84-'1. Inputs'!$C$25-'1. Inputs'!$B$30+1)/(MAX(0,$A84-'1. Inputs'!$C$25-'1. Inputs'!$B$30+1)+'1. Inputs'!$B$11))*'1. Inputs'!$B$13*(1+'1. Inputs'!$B$14*MIN(MAX(0,$A84-'1. Inputs'!$C$25-'1. Inputs'!$B$30+1),'1. Inputs'!$B$15))*'1. Inputs'!$B$31)</f>
        <v>5052591.2042881</v>
      </c>
      <c r="M84" s="22" t="n">
        <f aca="false">IF(MAX(0,$A84-'1. Inputs'!$C$26-'1. Inputs'!$B$30+1)&lt;=0,0,'1. Inputs'!$B$26*('1. Inputs'!$B$5-'5. Diagnosing a miss'!$B$21)*MAX(0,$A84-'1. Inputs'!$C$26-'1. Inputs'!$B$30+1)^'1. Inputs'!$B$7/('1. Inputs'!$B$6^'1. Inputs'!$B$7+MAX(0,$A84-'1. Inputs'!$C$26-'1. Inputs'!$B$30+1)^'1. Inputs'!$B$7)*('1. Inputs'!$B$9+'1. Inputs'!$B$10*MAX(0,$A84-'1. Inputs'!$C$26-'1. Inputs'!$B$30+1)/(MAX(0,$A84-'1. Inputs'!$C$26-'1. Inputs'!$B$30+1)+'1. Inputs'!$B$11))*'1. Inputs'!$B$13*(1+'1. Inputs'!$B$14*MIN(MAX(0,$A84-'1. Inputs'!$C$26-'1. Inputs'!$B$30+1),'1. Inputs'!$B$15))*'1. Inputs'!$B$31)</f>
        <v>2198227.86206897</v>
      </c>
      <c r="N84" s="22" t="n">
        <f aca="false">IF(MAX(0,$A84-'1. Inputs'!$C$27-'1. Inputs'!$B$30+1)&lt;=0,0,'1. Inputs'!$B$27*('1. Inputs'!$B$5-'5. Diagnosing a miss'!$B$21)*MAX(0,$A84-'1. Inputs'!$C$27-'1. Inputs'!$B$30+1)^'1. Inputs'!$B$7/('1. Inputs'!$B$6^'1. Inputs'!$B$7+MAX(0,$A84-'1. Inputs'!$C$27-'1. Inputs'!$B$30+1)^'1. Inputs'!$B$7)*('1. Inputs'!$B$9+'1. Inputs'!$B$10*MAX(0,$A84-'1. Inputs'!$C$27-'1. Inputs'!$B$30+1)/(MAX(0,$A84-'1. Inputs'!$C$27-'1. Inputs'!$B$30+1)+'1. Inputs'!$B$11))*'1. Inputs'!$B$13*(1+'1. Inputs'!$B$14*MIN(MAX(0,$A84-'1. Inputs'!$C$27-'1. Inputs'!$B$30+1),'1. Inputs'!$B$15))*'1. Inputs'!$B$31)</f>
        <v>1568222.00270831</v>
      </c>
      <c r="O84" s="22" t="n">
        <f aca="false">SUM(K84:N84)</f>
        <v>12626403.0855143</v>
      </c>
      <c r="P84" s="22" t="n">
        <f aca="false">IF($A84=MAX('1. Inputs'!$B$17,1),'1. Inputs'!$B$3,0)+IF($A84-'1. Inputs'!$B$17&gt;=1,INDEX(O$3:O$86,$A84-'1. Inputs'!$B$17),0)</f>
        <v>12430890.4402571</v>
      </c>
      <c r="Q84" s="22" t="n">
        <f aca="false">Q83*(1-'1. Inputs'!$B$18)+P84</f>
        <v>518667960.804507</v>
      </c>
      <c r="R84" s="22" t="n">
        <f aca="false">Q84*'1. Inputs'!$B$18</f>
        <v>5186679.60804507</v>
      </c>
      <c r="S84" s="22" t="n">
        <f aca="false">S83+O84-R84</f>
        <v>664006382.384343</v>
      </c>
      <c r="T84" s="22" t="n">
        <f aca="false">IF(MAX(0,$A84-'1. Inputs'!$C$24-'1. Inputs'!$B$30+1)&lt;=0,0,'1. Inputs'!$B$24*'1. Inputs'!$B$5*MAX(0,$A84-'1. Inputs'!$C$24-'1. Inputs'!$B$30+1)^'1. Inputs'!$B$7/('1. Inputs'!$B$6^'1. Inputs'!$B$7+MAX(0,$A84-'1. Inputs'!$C$24-'1. Inputs'!$B$30+1)^'1. Inputs'!$B$7)*('1. Inputs'!$B$9+'1. Inputs'!$B$10*MAX(0,$A84-'1. Inputs'!$C$24-'1. Inputs'!$B$30+1)/(MAX(0,$A84-'1. Inputs'!$C$24-'1. Inputs'!$B$30+1)+'1. Inputs'!$B$11))*'1. Inputs'!$B$13*(1+'1. Inputs'!$B$14*MIN(MAX(0,$A84-'1. Inputs'!$C$24-'1. Inputs'!$B$30+1),'1. Inputs'!$B$15))*('1. Inputs'!$B$31*'5. Diagnosing a miss'!$B$22))</f>
        <v>3854954.04165456</v>
      </c>
      <c r="U84" s="22" t="n">
        <f aca="false">IF(MAX(0,$A84-'1. Inputs'!$C$25-'1. Inputs'!$B$30+1)&lt;=0,0,'1. Inputs'!$B$25*'1. Inputs'!$B$5*MAX(0,$A84-'1. Inputs'!$C$25-'1. Inputs'!$B$30+1)^'1. Inputs'!$B$7/('1. Inputs'!$B$6^'1. Inputs'!$B$7+MAX(0,$A84-'1. Inputs'!$C$25-'1. Inputs'!$B$30+1)^'1. Inputs'!$B$7)*('1. Inputs'!$B$9+'1. Inputs'!$B$10*MAX(0,$A84-'1. Inputs'!$C$25-'1. Inputs'!$B$30+1)/(MAX(0,$A84-'1. Inputs'!$C$25-'1. Inputs'!$B$30+1)+'1. Inputs'!$B$11))*'1. Inputs'!$B$13*(1+'1. Inputs'!$B$14*MIN(MAX(0,$A84-'1. Inputs'!$C$25-'1. Inputs'!$B$30+1),'1. Inputs'!$B$15))*('1. Inputs'!$B$31*'5. Diagnosing a miss'!$B$22))</f>
        <v>5115748.5943417</v>
      </c>
      <c r="V84" s="22" t="n">
        <f aca="false">IF(MAX(0,$A84-'1. Inputs'!$C$26-'1. Inputs'!$B$30+1)&lt;=0,0,'1. Inputs'!$B$26*'1. Inputs'!$B$5*MAX(0,$A84-'1. Inputs'!$C$26-'1. Inputs'!$B$30+1)^'1. Inputs'!$B$7/('1. Inputs'!$B$6^'1. Inputs'!$B$7+MAX(0,$A84-'1. Inputs'!$C$26-'1. Inputs'!$B$30+1)^'1. Inputs'!$B$7)*('1. Inputs'!$B$9+'1. Inputs'!$B$10*MAX(0,$A84-'1. Inputs'!$C$26-'1. Inputs'!$B$30+1)/(MAX(0,$A84-'1. Inputs'!$C$26-'1. Inputs'!$B$30+1)+'1. Inputs'!$B$11))*'1. Inputs'!$B$13*(1+'1. Inputs'!$B$14*MIN(MAX(0,$A84-'1. Inputs'!$C$26-'1. Inputs'!$B$30+1),'1. Inputs'!$B$15))*('1. Inputs'!$B$31*'5. Diagnosing a miss'!$B$22))</f>
        <v>2225705.71034483</v>
      </c>
      <c r="W84" s="22" t="n">
        <f aca="false">IF(MAX(0,$A84-'1. Inputs'!$C$27-'1. Inputs'!$B$30+1)&lt;=0,0,'1. Inputs'!$B$27*'1. Inputs'!$B$5*MAX(0,$A84-'1. Inputs'!$C$27-'1. Inputs'!$B$30+1)^'1. Inputs'!$B$7/('1. Inputs'!$B$6^'1. Inputs'!$B$7+MAX(0,$A84-'1. Inputs'!$C$27-'1. Inputs'!$B$30+1)^'1. Inputs'!$B$7)*('1. Inputs'!$B$9+'1. Inputs'!$B$10*MAX(0,$A84-'1. Inputs'!$C$27-'1. Inputs'!$B$30+1)/(MAX(0,$A84-'1. Inputs'!$C$27-'1. Inputs'!$B$30+1)+'1. Inputs'!$B$11))*'1. Inputs'!$B$13*(1+'1. Inputs'!$B$14*MIN(MAX(0,$A84-'1. Inputs'!$C$27-'1. Inputs'!$B$30+1),'1. Inputs'!$B$15))*('1. Inputs'!$B$31*'5. Diagnosing a miss'!$B$22))</f>
        <v>1587824.77774216</v>
      </c>
      <c r="X84" s="22" t="n">
        <f aca="false">SUM(T84:W84)</f>
        <v>12784233.1240832</v>
      </c>
      <c r="Y84" s="22" t="n">
        <f aca="false">IF($A84=MAX('1. Inputs'!$B$17,1),'1. Inputs'!$B$3,0)+IF($A84-'1. Inputs'!$B$17&gt;=1,INDEX(X$3:X$86,$A84-'1. Inputs'!$B$17),0)</f>
        <v>12586276.5707603</v>
      </c>
      <c r="Z84" s="22" t="n">
        <f aca="false">Z83*(1-'1. Inputs'!$B$18)+Y84</f>
        <v>524223487.827813</v>
      </c>
      <c r="AA84" s="22" t="n">
        <f aca="false">Z84*'1. Inputs'!$B$18</f>
        <v>5242234.87827813</v>
      </c>
      <c r="AB84" s="22" t="n">
        <f aca="false">AB83+X84-AA84</f>
        <v>671387917.902264</v>
      </c>
      <c r="AC84" s="22" t="n">
        <f aca="false">IF(MAX(0,$A84-'1. Inputs'!$C$24-('1. Inputs'!$B$30+'5. Diagnosing a miss'!$B$23)+1)&lt;=0,0,'1. Inputs'!$B$24*'1. Inputs'!$B$5*MAX(0,$A84-'1. Inputs'!$C$24-('1. Inputs'!$B$30+'5. Diagnosing a miss'!$B$23)+1)^'1. Inputs'!$B$7/('1. Inputs'!$B$6^'1. Inputs'!$B$7+MAX(0,$A84-'1. Inputs'!$C$24-('1. Inputs'!$B$30+'5. Diagnosing a miss'!$B$23)+1)^'1. Inputs'!$B$7)*('1. Inputs'!$B$9+'1. Inputs'!$B$10*MAX(0,$A84-'1. Inputs'!$C$24-('1. Inputs'!$B$30+'5. Diagnosing a miss'!$B$23)+1)/(MAX(0,$A84-'1. Inputs'!$C$24-('1. Inputs'!$B$30+'5. Diagnosing a miss'!$B$23)+1)+'1. Inputs'!$B$11))*'1. Inputs'!$B$13*(1+'1. Inputs'!$B$14*MIN(MAX(0,$A84-'1. Inputs'!$C$24-('1. Inputs'!$B$30+'5. Diagnosing a miss'!$B$23)+1),'1. Inputs'!$B$15))*'1. Inputs'!$B$31)</f>
        <v>4271565.4040759</v>
      </c>
      <c r="AD84" s="22" t="n">
        <f aca="false">IF(MAX(0,$A84-'1. Inputs'!$C$25-('1. Inputs'!$B$30+'5. Diagnosing a miss'!$B$23)+1)&lt;=0,0,'1. Inputs'!$B$25*'1. Inputs'!$B$5*MAX(0,$A84-'1. Inputs'!$C$25-('1. Inputs'!$B$30+'5. Diagnosing a miss'!$B$23)+1)^'1. Inputs'!$B$7/('1. Inputs'!$B$6^'1. Inputs'!$B$7+MAX(0,$A84-'1. Inputs'!$C$25-('1. Inputs'!$B$30+'5. Diagnosing a miss'!$B$23)+1)^'1. Inputs'!$B$7)*('1. Inputs'!$B$9+'1. Inputs'!$B$10*MAX(0,$A84-'1. Inputs'!$C$25-('1. Inputs'!$B$30+'5. Diagnosing a miss'!$B$23)+1)/(MAX(0,$A84-'1. Inputs'!$C$25-('1. Inputs'!$B$30+'5. Diagnosing a miss'!$B$23)+1)+'1. Inputs'!$B$11))*'1. Inputs'!$B$13*(1+'1. Inputs'!$B$14*MIN(MAX(0,$A84-'1. Inputs'!$C$25-('1. Inputs'!$B$30+'5. Diagnosing a miss'!$B$23)+1),'1. Inputs'!$B$15))*'1. Inputs'!$B$31)</f>
        <v>5665855.66287733</v>
      </c>
      <c r="AE84" s="22" t="n">
        <f aca="false">IF(MAX(0,$A84-'1. Inputs'!$C$26-('1. Inputs'!$B$30+'5. Diagnosing a miss'!$B$23)+1)&lt;=0,0,'1. Inputs'!$B$26*'1. Inputs'!$B$5*MAX(0,$A84-'1. Inputs'!$C$26-('1. Inputs'!$B$30+'5. Diagnosing a miss'!$B$23)+1)^'1. Inputs'!$B$7/('1. Inputs'!$B$6^'1. Inputs'!$B$7+MAX(0,$A84-'1. Inputs'!$C$26-('1. Inputs'!$B$30+'5. Diagnosing a miss'!$B$23)+1)^'1. Inputs'!$B$7)*('1. Inputs'!$B$9+'1. Inputs'!$B$10*MAX(0,$A84-'1. Inputs'!$C$26-('1. Inputs'!$B$30+'5. Diagnosing a miss'!$B$23)+1)/(MAX(0,$A84-'1. Inputs'!$C$26-('1. Inputs'!$B$30+'5. Diagnosing a miss'!$B$23)+1)+'1. Inputs'!$B$11))*'1. Inputs'!$B$13*(1+'1. Inputs'!$B$14*MIN(MAX(0,$A84-'1. Inputs'!$C$26-('1. Inputs'!$B$30+'5. Diagnosing a miss'!$B$23)+1),'1. Inputs'!$B$15))*'1. Inputs'!$B$31)</f>
        <v>2463501.16173913</v>
      </c>
      <c r="AF84" s="22" t="n">
        <f aca="false">IF(MAX(0,$A84-'1. Inputs'!$C$27-('1. Inputs'!$B$30+'5. Diagnosing a miss'!$B$23)+1)&lt;=0,0,'1. Inputs'!$B$27*'1. Inputs'!$B$5*MAX(0,$A84-'1. Inputs'!$C$27-('1. Inputs'!$B$30+'5. Diagnosing a miss'!$B$23)+1)^'1. Inputs'!$B$7/('1. Inputs'!$B$6^'1. Inputs'!$B$7+MAX(0,$A84-'1. Inputs'!$C$27-('1. Inputs'!$B$30+'5. Diagnosing a miss'!$B$23)+1)^'1. Inputs'!$B$7)*('1. Inputs'!$B$9+'1. Inputs'!$B$10*MAX(0,$A84-'1. Inputs'!$C$27-('1. Inputs'!$B$30+'5. Diagnosing a miss'!$B$23)+1)/(MAX(0,$A84-'1. Inputs'!$C$27-('1. Inputs'!$B$30+'5. Diagnosing a miss'!$B$23)+1)+'1. Inputs'!$B$11))*'1. Inputs'!$B$13*(1+'1. Inputs'!$B$14*MIN(MAX(0,$A84-'1. Inputs'!$C$27-('1. Inputs'!$B$30+'5. Diagnosing a miss'!$B$23)+1),'1. Inputs'!$B$15))*'1. Inputs'!$B$31)</f>
        <v>1757212.37197452</v>
      </c>
      <c r="AG84" s="22" t="n">
        <f aca="false">SUM(AC84:AF84)</f>
        <v>14158134.6006669</v>
      </c>
      <c r="AH84" s="22" t="n">
        <f aca="false">IF($A84=MAX('1. Inputs'!$B$17,1),'1. Inputs'!$B$3,0)+IF($A84-'1. Inputs'!$B$17&gt;=1,INDEX(AG$3:AG$86,$A84-'1. Inputs'!$B$17),0)</f>
        <v>13912273.5166071</v>
      </c>
      <c r="AI84" s="22" t="n">
        <f aca="false">AI83*(1-'1. Inputs'!$B$18)+AH84</f>
        <v>546792146.622967</v>
      </c>
      <c r="AJ84" s="22" t="n">
        <f aca="false">AI84*'1. Inputs'!$B$18</f>
        <v>5467921.46622967</v>
      </c>
      <c r="AK84" s="22" t="n">
        <f aca="false">AK83+AG84-AJ84</f>
        <v>709980134.873104</v>
      </c>
    </row>
    <row r="85" customFormat="false" ht="15" hidden="false" customHeight="false" outlineLevel="0" collapsed="false">
      <c r="A85" s="7" t="n">
        <v>83</v>
      </c>
      <c r="B85" s="22" t="n">
        <f aca="false">IF(MAX(0,$A85-'1. Inputs'!$C$24-'1. Inputs'!$B$30+1)&lt;=0,0,'1. Inputs'!$B$24*'1. Inputs'!$B$5*MAX(0,$A85-'1. Inputs'!$C$24-'1. Inputs'!$B$30+1)^'1. Inputs'!$B$7/('1. Inputs'!$B$6^'1. Inputs'!$B$7+MAX(0,$A85-'1. Inputs'!$C$24-'1. Inputs'!$B$30+1)^'1. Inputs'!$B$7)*('1. Inputs'!$B$9+'1. Inputs'!$B$10*MAX(0,$A85-'1. Inputs'!$C$24-'1. Inputs'!$B$30+1)/(MAX(0,$A85-'1. Inputs'!$C$24-'1. Inputs'!$B$30+1)+'1. Inputs'!$B$11))*'1. Inputs'!$B$13*(1+'1. Inputs'!$B$14*MIN(MAX(0,$A85-'1. Inputs'!$C$24-'1. Inputs'!$B$30+1),'1. Inputs'!$B$15))*'1. Inputs'!$B$31)</f>
        <v>4286957.46549325</v>
      </c>
      <c r="C85" s="22" t="n">
        <f aca="false">IF(MAX(0,$A85-'1. Inputs'!$C$25-'1. Inputs'!$B$30+1)&lt;=0,0,'1. Inputs'!$B$25*'1. Inputs'!$B$5*MAX(0,$A85-'1. Inputs'!$C$25-'1. Inputs'!$B$30+1)^'1. Inputs'!$B$7/('1. Inputs'!$B$6^'1. Inputs'!$B$7+MAX(0,$A85-'1. Inputs'!$C$25-'1. Inputs'!$B$30+1)^'1. Inputs'!$B$7)*('1. Inputs'!$B$9+'1. Inputs'!$B$10*MAX(0,$A85-'1. Inputs'!$C$25-'1. Inputs'!$B$30+1)/(MAX(0,$A85-'1. Inputs'!$C$25-'1. Inputs'!$B$30+1)+'1. Inputs'!$B$11))*'1. Inputs'!$B$13*(1+'1. Inputs'!$B$14*MIN(MAX(0,$A85-'1. Inputs'!$C$25-'1. Inputs'!$B$30+1),'1. Inputs'!$B$15))*'1. Inputs'!$B$31)</f>
        <v>5689882.05443787</v>
      </c>
      <c r="D85" s="22" t="n">
        <f aca="false">IF(MAX(0,$A85-'1. Inputs'!$C$26-'1. Inputs'!$B$30+1)&lt;=0,0,'1. Inputs'!$B$26*'1. Inputs'!$B$5*MAX(0,$A85-'1. Inputs'!$C$26-'1. Inputs'!$B$30+1)^'1. Inputs'!$B$7/('1. Inputs'!$B$6^'1. Inputs'!$B$7+MAX(0,$A85-'1. Inputs'!$C$26-'1. Inputs'!$B$30+1)^'1. Inputs'!$B$7)*('1. Inputs'!$B$9+'1. Inputs'!$B$10*MAX(0,$A85-'1. Inputs'!$C$26-'1. Inputs'!$B$30+1)/(MAX(0,$A85-'1. Inputs'!$C$26-'1. Inputs'!$B$30+1)+'1. Inputs'!$B$11))*'1. Inputs'!$B$13*(1+'1. Inputs'!$B$14*MIN(MAX(0,$A85-'1. Inputs'!$C$26-'1. Inputs'!$B$30+1),'1. Inputs'!$B$15))*'1. Inputs'!$B$31)</f>
        <v>2475958.71212494</v>
      </c>
      <c r="E85" s="22" t="n">
        <f aca="false">IF(MAX(0,$A85-'1. Inputs'!$C$27-'1. Inputs'!$B$30+1)&lt;=0,0,'1. Inputs'!$B$27*'1. Inputs'!$B$5*MAX(0,$A85-'1. Inputs'!$C$27-'1. Inputs'!$B$30+1)^'1. Inputs'!$B$7/('1. Inputs'!$B$6^'1. Inputs'!$B$7+MAX(0,$A85-'1. Inputs'!$C$27-'1. Inputs'!$B$30+1)^'1. Inputs'!$B$7)*('1. Inputs'!$B$9+'1. Inputs'!$B$10*MAX(0,$A85-'1. Inputs'!$C$27-'1. Inputs'!$B$30+1)/(MAX(0,$A85-'1. Inputs'!$C$27-'1. Inputs'!$B$30+1)+'1. Inputs'!$B$11))*'1. Inputs'!$B$13*(1+'1. Inputs'!$B$14*MIN(MAX(0,$A85-'1. Inputs'!$C$27-'1. Inputs'!$B$30+1),'1. Inputs'!$B$15))*'1. Inputs'!$B$31)</f>
        <v>1766433.10344828</v>
      </c>
      <c r="F85" s="22" t="n">
        <f aca="false">SUM(B85:E85)</f>
        <v>14219231.3355043</v>
      </c>
      <c r="G85" s="22" t="n">
        <f aca="false">IF($A85=MAX('1. Inputs'!$B$17,1),'1. Inputs'!$B$3,0)+IF($A85-'1. Inputs'!$B$17&gt;=1,INDEX(F$3:F$86,$A85-'1. Inputs'!$B$17),0)</f>
        <v>14007032.9998299</v>
      </c>
      <c r="H85" s="22" t="n">
        <f aca="false">H84*(1-'1. Inputs'!$B$18)+G85</f>
        <v>582488031.72702</v>
      </c>
      <c r="I85" s="22" t="n">
        <f aca="false">H85*'1. Inputs'!$B$18</f>
        <v>5824880.3172702</v>
      </c>
      <c r="J85" s="22" t="n">
        <f aca="false">J84+F85-I85</f>
        <v>746216088.581791</v>
      </c>
      <c r="K85" s="22" t="n">
        <f aca="false">IF(MAX(0,$A85-'1. Inputs'!$C$24-'1. Inputs'!$B$30+1)&lt;=0,0,'1. Inputs'!$B$24*('1. Inputs'!$B$5-'5. Diagnosing a miss'!$B$21)*MAX(0,$A85-'1. Inputs'!$C$24-'1. Inputs'!$B$30+1)^'1. Inputs'!$B$7/('1. Inputs'!$B$6^'1. Inputs'!$B$7+MAX(0,$A85-'1. Inputs'!$C$24-'1. Inputs'!$B$30+1)^'1. Inputs'!$B$7)*('1. Inputs'!$B$9+'1. Inputs'!$B$10*MAX(0,$A85-'1. Inputs'!$C$24-'1. Inputs'!$B$30+1)/(MAX(0,$A85-'1. Inputs'!$C$24-'1. Inputs'!$B$30+1)+'1. Inputs'!$B$11))*'1. Inputs'!$B$13*(1+'1. Inputs'!$B$14*MIN(MAX(0,$A85-'1. Inputs'!$C$24-'1. Inputs'!$B$30+1),'1. Inputs'!$B$15))*'1. Inputs'!$B$31)</f>
        <v>3810628.85821623</v>
      </c>
      <c r="L85" s="22" t="n">
        <f aca="false">IF(MAX(0,$A85-'1. Inputs'!$C$25-'1. Inputs'!$B$30+1)&lt;=0,0,'1. Inputs'!$B$25*('1. Inputs'!$B$5-'5. Diagnosing a miss'!$B$21)*MAX(0,$A85-'1. Inputs'!$C$25-'1. Inputs'!$B$30+1)^'1. Inputs'!$B$7/('1. Inputs'!$B$6^'1. Inputs'!$B$7+MAX(0,$A85-'1. Inputs'!$C$25-'1. Inputs'!$B$30+1)^'1. Inputs'!$B$7)*('1. Inputs'!$B$9+'1. Inputs'!$B$10*MAX(0,$A85-'1. Inputs'!$C$25-'1. Inputs'!$B$30+1)/(MAX(0,$A85-'1. Inputs'!$C$25-'1. Inputs'!$B$30+1)+'1. Inputs'!$B$11))*'1. Inputs'!$B$13*(1+'1. Inputs'!$B$14*MIN(MAX(0,$A85-'1. Inputs'!$C$25-'1. Inputs'!$B$30+1),'1. Inputs'!$B$15))*'1. Inputs'!$B$31)</f>
        <v>5057672.93727811</v>
      </c>
      <c r="M85" s="22" t="n">
        <f aca="false">IF(MAX(0,$A85-'1. Inputs'!$C$26-'1. Inputs'!$B$30+1)&lt;=0,0,'1. Inputs'!$B$26*('1. Inputs'!$B$5-'5. Diagnosing a miss'!$B$21)*MAX(0,$A85-'1. Inputs'!$C$26-'1. Inputs'!$B$30+1)^'1. Inputs'!$B$7/('1. Inputs'!$B$6^'1. Inputs'!$B$7+MAX(0,$A85-'1. Inputs'!$C$26-'1. Inputs'!$B$30+1)^'1. Inputs'!$B$7)*('1. Inputs'!$B$9+'1. Inputs'!$B$10*MAX(0,$A85-'1. Inputs'!$C$26-'1. Inputs'!$B$30+1)/(MAX(0,$A85-'1. Inputs'!$C$26-'1. Inputs'!$B$30+1)+'1. Inputs'!$B$11))*'1. Inputs'!$B$13*(1+'1. Inputs'!$B$14*MIN(MAX(0,$A85-'1. Inputs'!$C$26-'1. Inputs'!$B$30+1),'1. Inputs'!$B$15))*'1. Inputs'!$B$31)</f>
        <v>2200852.1885555</v>
      </c>
      <c r="N85" s="22" t="n">
        <f aca="false">IF(MAX(0,$A85-'1. Inputs'!$C$27-'1. Inputs'!$B$30+1)&lt;=0,0,'1. Inputs'!$B$27*('1. Inputs'!$B$5-'5. Diagnosing a miss'!$B$21)*MAX(0,$A85-'1. Inputs'!$C$27-'1. Inputs'!$B$30+1)^'1. Inputs'!$B$7/('1. Inputs'!$B$6^'1. Inputs'!$B$7+MAX(0,$A85-'1. Inputs'!$C$27-'1. Inputs'!$B$30+1)^'1. Inputs'!$B$7)*('1. Inputs'!$B$9+'1. Inputs'!$B$10*MAX(0,$A85-'1. Inputs'!$C$27-'1. Inputs'!$B$30+1)/(MAX(0,$A85-'1. Inputs'!$C$27-'1. Inputs'!$B$30+1)+'1. Inputs'!$B$11))*'1. Inputs'!$B$13*(1+'1. Inputs'!$B$14*MIN(MAX(0,$A85-'1. Inputs'!$C$27-'1. Inputs'!$B$30+1),'1. Inputs'!$B$15))*'1. Inputs'!$B$31)</f>
        <v>1570162.75862069</v>
      </c>
      <c r="O85" s="22" t="n">
        <f aca="false">SUM(K85:N85)</f>
        <v>12639316.7426705</v>
      </c>
      <c r="P85" s="22" t="n">
        <f aca="false">IF($A85=MAX('1. Inputs'!$B$17,1),'1. Inputs'!$B$3,0)+IF($A85-'1. Inputs'!$B$17&gt;=1,INDEX(O$3:O$86,$A85-'1. Inputs'!$B$17),0)</f>
        <v>12450695.9998488</v>
      </c>
      <c r="Q85" s="22" t="n">
        <f aca="false">Q84*(1-'1. Inputs'!$B$18)+P85</f>
        <v>525931977.19631</v>
      </c>
      <c r="R85" s="22" t="n">
        <f aca="false">Q85*'1. Inputs'!$B$18</f>
        <v>5259319.7719631</v>
      </c>
      <c r="S85" s="22" t="n">
        <f aca="false">S84+O85-R85</f>
        <v>671386379.355051</v>
      </c>
      <c r="T85" s="22" t="n">
        <f aca="false">IF(MAX(0,$A85-'1. Inputs'!$C$24-'1. Inputs'!$B$30+1)&lt;=0,0,'1. Inputs'!$B$24*'1. Inputs'!$B$5*MAX(0,$A85-'1. Inputs'!$C$24-'1. Inputs'!$B$30+1)^'1. Inputs'!$B$7/('1. Inputs'!$B$6^'1. Inputs'!$B$7+MAX(0,$A85-'1. Inputs'!$C$24-'1. Inputs'!$B$30+1)^'1. Inputs'!$B$7)*('1. Inputs'!$B$9+'1. Inputs'!$B$10*MAX(0,$A85-'1. Inputs'!$C$24-'1. Inputs'!$B$30+1)/(MAX(0,$A85-'1. Inputs'!$C$24-'1. Inputs'!$B$30+1)+'1. Inputs'!$B$11))*'1. Inputs'!$B$13*(1+'1. Inputs'!$B$14*MIN(MAX(0,$A85-'1. Inputs'!$C$24-'1. Inputs'!$B$30+1),'1. Inputs'!$B$15))*('1. Inputs'!$B$31*'5. Diagnosing a miss'!$B$22))</f>
        <v>3858261.71894393</v>
      </c>
      <c r="U85" s="22" t="n">
        <f aca="false">IF(MAX(0,$A85-'1. Inputs'!$C$25-'1. Inputs'!$B$30+1)&lt;=0,0,'1. Inputs'!$B$25*'1. Inputs'!$B$5*MAX(0,$A85-'1. Inputs'!$C$25-'1. Inputs'!$B$30+1)^'1. Inputs'!$B$7/('1. Inputs'!$B$6^'1. Inputs'!$B$7+MAX(0,$A85-'1. Inputs'!$C$25-'1. Inputs'!$B$30+1)^'1. Inputs'!$B$7)*('1. Inputs'!$B$9+'1. Inputs'!$B$10*MAX(0,$A85-'1. Inputs'!$C$25-'1. Inputs'!$B$30+1)/(MAX(0,$A85-'1. Inputs'!$C$25-'1. Inputs'!$B$30+1)+'1. Inputs'!$B$11))*'1. Inputs'!$B$13*(1+'1. Inputs'!$B$14*MIN(MAX(0,$A85-'1. Inputs'!$C$25-'1. Inputs'!$B$30+1),'1. Inputs'!$B$15))*('1. Inputs'!$B$31*'5. Diagnosing a miss'!$B$22))</f>
        <v>5120893.84899408</v>
      </c>
      <c r="V85" s="22" t="n">
        <f aca="false">IF(MAX(0,$A85-'1. Inputs'!$C$26-'1. Inputs'!$B$30+1)&lt;=0,0,'1. Inputs'!$B$26*'1. Inputs'!$B$5*MAX(0,$A85-'1. Inputs'!$C$26-'1. Inputs'!$B$30+1)^'1. Inputs'!$B$7/('1. Inputs'!$B$6^'1. Inputs'!$B$7+MAX(0,$A85-'1. Inputs'!$C$26-'1. Inputs'!$B$30+1)^'1. Inputs'!$B$7)*('1. Inputs'!$B$9+'1. Inputs'!$B$10*MAX(0,$A85-'1. Inputs'!$C$26-'1. Inputs'!$B$30+1)/(MAX(0,$A85-'1. Inputs'!$C$26-'1. Inputs'!$B$30+1)+'1. Inputs'!$B$11))*'1. Inputs'!$B$13*(1+'1. Inputs'!$B$14*MIN(MAX(0,$A85-'1. Inputs'!$C$26-'1. Inputs'!$B$30+1),'1. Inputs'!$B$15))*('1. Inputs'!$B$31*'5. Diagnosing a miss'!$B$22))</f>
        <v>2228362.84091244</v>
      </c>
      <c r="W85" s="22" t="n">
        <f aca="false">IF(MAX(0,$A85-'1. Inputs'!$C$27-'1. Inputs'!$B$30+1)&lt;=0,0,'1. Inputs'!$B$27*'1. Inputs'!$B$5*MAX(0,$A85-'1. Inputs'!$C$27-'1. Inputs'!$B$30+1)^'1. Inputs'!$B$7/('1. Inputs'!$B$6^'1. Inputs'!$B$7+MAX(0,$A85-'1. Inputs'!$C$27-'1. Inputs'!$B$30+1)^'1. Inputs'!$B$7)*('1. Inputs'!$B$9+'1. Inputs'!$B$10*MAX(0,$A85-'1. Inputs'!$C$27-'1. Inputs'!$B$30+1)/(MAX(0,$A85-'1. Inputs'!$C$27-'1. Inputs'!$B$30+1)+'1. Inputs'!$B$11))*'1. Inputs'!$B$13*(1+'1. Inputs'!$B$14*MIN(MAX(0,$A85-'1. Inputs'!$C$27-'1. Inputs'!$B$30+1),'1. Inputs'!$B$15))*('1. Inputs'!$B$31*'5. Diagnosing a miss'!$B$22))</f>
        <v>1589789.79310345</v>
      </c>
      <c r="X85" s="22" t="n">
        <f aca="false">SUM(T85:W85)</f>
        <v>12797308.2019539</v>
      </c>
      <c r="Y85" s="22" t="n">
        <f aca="false">IF($A85=MAX('1. Inputs'!$B$17,1),'1. Inputs'!$B$3,0)+IF($A85-'1. Inputs'!$B$17&gt;=1,INDEX(X$3:X$86,$A85-'1. Inputs'!$B$17),0)</f>
        <v>12606329.6998469</v>
      </c>
      <c r="Z85" s="22" t="n">
        <f aca="false">Z84*(1-'1. Inputs'!$B$18)+Y85</f>
        <v>531587582.649381</v>
      </c>
      <c r="AA85" s="22" t="n">
        <f aca="false">Z85*'1. Inputs'!$B$18</f>
        <v>5315875.82649381</v>
      </c>
      <c r="AB85" s="22" t="n">
        <f aca="false">AB84+X85-AA85</f>
        <v>678869350.277724</v>
      </c>
      <c r="AC85" s="22" t="n">
        <f aca="false">IF(MAX(0,$A85-'1. Inputs'!$C$24-('1. Inputs'!$B$30+'5. Diagnosing a miss'!$B$23)+1)&lt;=0,0,'1. Inputs'!$B$24*'1. Inputs'!$B$5*MAX(0,$A85-'1. Inputs'!$C$24-('1. Inputs'!$B$30+'5. Diagnosing a miss'!$B$23)+1)^'1. Inputs'!$B$7/('1. Inputs'!$B$6^'1. Inputs'!$B$7+MAX(0,$A85-'1. Inputs'!$C$24-('1. Inputs'!$B$30+'5. Diagnosing a miss'!$B$23)+1)^'1. Inputs'!$B$7)*('1. Inputs'!$B$9+'1. Inputs'!$B$10*MAX(0,$A85-'1. Inputs'!$C$24-('1. Inputs'!$B$30+'5. Diagnosing a miss'!$B$23)+1)/(MAX(0,$A85-'1. Inputs'!$C$24-('1. Inputs'!$B$30+'5. Diagnosing a miss'!$B$23)+1)+'1. Inputs'!$B$11))*'1. Inputs'!$B$13*(1+'1. Inputs'!$B$14*MIN(MAX(0,$A85-'1. Inputs'!$C$24-('1. Inputs'!$B$30+'5. Diagnosing a miss'!$B$23)+1),'1. Inputs'!$B$15))*'1. Inputs'!$B$31)</f>
        <v>4275591.4261652</v>
      </c>
      <c r="AD85" s="22" t="n">
        <f aca="false">IF(MAX(0,$A85-'1. Inputs'!$C$25-('1. Inputs'!$B$30+'5. Diagnosing a miss'!$B$23)+1)&lt;=0,0,'1. Inputs'!$B$25*'1. Inputs'!$B$5*MAX(0,$A85-'1. Inputs'!$C$25-('1. Inputs'!$B$30+'5. Diagnosing a miss'!$B$23)+1)^'1. Inputs'!$B$7/('1. Inputs'!$B$6^'1. Inputs'!$B$7+MAX(0,$A85-'1. Inputs'!$C$25-('1. Inputs'!$B$30+'5. Diagnosing a miss'!$B$23)+1)^'1. Inputs'!$B$7)*('1. Inputs'!$B$9+'1. Inputs'!$B$10*MAX(0,$A85-'1. Inputs'!$C$25-('1. Inputs'!$B$30+'5. Diagnosing a miss'!$B$23)+1)/(MAX(0,$A85-'1. Inputs'!$C$25-('1. Inputs'!$B$30+'5. Diagnosing a miss'!$B$23)+1)+'1. Inputs'!$B$11))*'1. Inputs'!$B$13*(1+'1. Inputs'!$B$14*MIN(MAX(0,$A85-'1. Inputs'!$C$25-('1. Inputs'!$B$30+'5. Diagnosing a miss'!$B$23)+1),'1. Inputs'!$B$15))*'1. Inputs'!$B$31)</f>
        <v>5672161.24193308</v>
      </c>
      <c r="AE85" s="22" t="n">
        <f aca="false">IF(MAX(0,$A85-'1. Inputs'!$C$26-('1. Inputs'!$B$30+'5. Diagnosing a miss'!$B$23)+1)&lt;=0,0,'1. Inputs'!$B$26*'1. Inputs'!$B$5*MAX(0,$A85-'1. Inputs'!$C$26-('1. Inputs'!$B$30+'5. Diagnosing a miss'!$B$23)+1)^'1. Inputs'!$B$7/('1. Inputs'!$B$6^'1. Inputs'!$B$7+MAX(0,$A85-'1. Inputs'!$C$26-('1. Inputs'!$B$30+'5. Diagnosing a miss'!$B$23)+1)^'1. Inputs'!$B$7)*('1. Inputs'!$B$9+'1. Inputs'!$B$10*MAX(0,$A85-'1. Inputs'!$C$26-('1. Inputs'!$B$30+'5. Diagnosing a miss'!$B$23)+1)/(MAX(0,$A85-'1. Inputs'!$C$26-('1. Inputs'!$B$30+'5. Diagnosing a miss'!$B$23)+1)+'1. Inputs'!$B$11))*'1. Inputs'!$B$13*(1+'1. Inputs'!$B$14*MIN(MAX(0,$A85-'1. Inputs'!$C$26-('1. Inputs'!$B$30+'5. Diagnosing a miss'!$B$23)+1),'1. Inputs'!$B$15))*'1. Inputs'!$B$31)</f>
        <v>2466783.19865932</v>
      </c>
      <c r="AF85" s="22" t="n">
        <f aca="false">IF(MAX(0,$A85-'1. Inputs'!$C$27-('1. Inputs'!$B$30+'5. Diagnosing a miss'!$B$23)+1)&lt;=0,0,'1. Inputs'!$B$27*'1. Inputs'!$B$5*MAX(0,$A85-'1. Inputs'!$C$27-('1. Inputs'!$B$30+'5. Diagnosing a miss'!$B$23)+1)^'1. Inputs'!$B$7/('1. Inputs'!$B$6^'1. Inputs'!$B$7+MAX(0,$A85-'1. Inputs'!$C$27-('1. Inputs'!$B$30+'5. Diagnosing a miss'!$B$23)+1)^'1. Inputs'!$B$7)*('1. Inputs'!$B$9+'1. Inputs'!$B$10*MAX(0,$A85-'1. Inputs'!$C$27-('1. Inputs'!$B$30+'5. Diagnosing a miss'!$B$23)+1)/(MAX(0,$A85-'1. Inputs'!$C$27-('1. Inputs'!$B$30+'5. Diagnosing a miss'!$B$23)+1)+'1. Inputs'!$B$11))*'1. Inputs'!$B$13*(1+'1. Inputs'!$B$14*MIN(MAX(0,$A85-'1. Inputs'!$C$27-('1. Inputs'!$B$30+'5. Diagnosing a miss'!$B$23)+1),'1. Inputs'!$B$15))*'1. Inputs'!$B$31)</f>
        <v>1759643.68695652</v>
      </c>
      <c r="AG85" s="22" t="n">
        <f aca="false">SUM(AC85:AF85)</f>
        <v>14174179.5537141</v>
      </c>
      <c r="AH85" s="22" t="n">
        <f aca="false">IF($A85=MAX('1. Inputs'!$B$17,1),'1. Inputs'!$B$3,0)+IF($A85-'1. Inputs'!$B$17&gt;=1,INDEX(AG$3:AG$86,$A85-'1. Inputs'!$B$17),0)</f>
        <v>13937428.1382717</v>
      </c>
      <c r="AI85" s="22" t="n">
        <f aca="false">AI84*(1-'1. Inputs'!$B$18)+AH85</f>
        <v>555261653.295009</v>
      </c>
      <c r="AJ85" s="22" t="n">
        <f aca="false">AI85*'1. Inputs'!$B$18</f>
        <v>5552616.53295009</v>
      </c>
      <c r="AK85" s="22" t="n">
        <f aca="false">AK84+AG85-AJ85</f>
        <v>718601697.893868</v>
      </c>
    </row>
    <row r="86" customFormat="false" ht="15" hidden="false" customHeight="false" outlineLevel="0" collapsed="false">
      <c r="A86" s="7" t="n">
        <v>84</v>
      </c>
      <c r="B86" s="22" t="n">
        <f aca="false">IF(MAX(0,$A86-'1. Inputs'!$C$24-'1. Inputs'!$B$30+1)&lt;=0,0,'1. Inputs'!$B$24*'1. Inputs'!$B$5*MAX(0,$A86-'1. Inputs'!$C$24-'1. Inputs'!$B$30+1)^'1. Inputs'!$B$7/('1. Inputs'!$B$6^'1. Inputs'!$B$7+MAX(0,$A86-'1. Inputs'!$C$24-'1. Inputs'!$B$30+1)^'1. Inputs'!$B$7)*('1. Inputs'!$B$9+'1. Inputs'!$B$10*MAX(0,$A86-'1. Inputs'!$C$24-'1. Inputs'!$B$30+1)/(MAX(0,$A86-'1. Inputs'!$C$24-'1. Inputs'!$B$30+1)+'1. Inputs'!$B$11))*'1. Inputs'!$B$13*(1+'1. Inputs'!$B$14*MIN(MAX(0,$A86-'1. Inputs'!$C$24-'1. Inputs'!$B$30+1),'1. Inputs'!$B$15))*'1. Inputs'!$B$31)</f>
        <v>4290525.61751825</v>
      </c>
      <c r="C86" s="22" t="n">
        <f aca="false">IF(MAX(0,$A86-'1. Inputs'!$C$25-'1. Inputs'!$B$30+1)&lt;=0,0,'1. Inputs'!$B$25*'1. Inputs'!$B$5*MAX(0,$A86-'1. Inputs'!$C$25-'1. Inputs'!$B$30+1)^'1. Inputs'!$B$7/('1. Inputs'!$B$6^'1. Inputs'!$B$7+MAX(0,$A86-'1. Inputs'!$C$25-'1. Inputs'!$B$30+1)^'1. Inputs'!$B$7)*('1. Inputs'!$B$9+'1. Inputs'!$B$10*MAX(0,$A86-'1. Inputs'!$C$25-'1. Inputs'!$B$30+1)/(MAX(0,$A86-'1. Inputs'!$C$25-'1. Inputs'!$B$30+1)+'1. Inputs'!$B$11))*'1. Inputs'!$B$13*(1+'1. Inputs'!$B$14*MIN(MAX(0,$A86-'1. Inputs'!$C$25-'1. Inputs'!$B$30+1),'1. Inputs'!$B$15))*'1. Inputs'!$B$31)</f>
        <v>5695420.53876787</v>
      </c>
      <c r="D86" s="22" t="n">
        <f aca="false">IF(MAX(0,$A86-'1. Inputs'!$C$26-'1. Inputs'!$B$30+1)&lt;=0,0,'1. Inputs'!$B$26*'1. Inputs'!$B$5*MAX(0,$A86-'1. Inputs'!$C$26-'1. Inputs'!$B$30+1)^'1. Inputs'!$B$7/('1. Inputs'!$B$6^'1. Inputs'!$B$7+MAX(0,$A86-'1. Inputs'!$C$26-'1. Inputs'!$B$30+1)^'1. Inputs'!$B$7)*('1. Inputs'!$B$9+'1. Inputs'!$B$10*MAX(0,$A86-'1. Inputs'!$C$26-'1. Inputs'!$B$30+1)/(MAX(0,$A86-'1. Inputs'!$C$26-'1. Inputs'!$B$30+1)+'1. Inputs'!$B$11))*'1. Inputs'!$B$13*(1+'1. Inputs'!$B$14*MIN(MAX(0,$A86-'1. Inputs'!$C$26-'1. Inputs'!$B$30+1),'1. Inputs'!$B$15))*'1. Inputs'!$B$31)</f>
        <v>2478811.85250883</v>
      </c>
      <c r="E86" s="22" t="n">
        <f aca="false">IF(MAX(0,$A86-'1. Inputs'!$C$27-'1. Inputs'!$B$30+1)&lt;=0,0,'1. Inputs'!$B$27*'1. Inputs'!$B$5*MAX(0,$A86-'1. Inputs'!$C$27-'1. Inputs'!$B$30+1)^'1. Inputs'!$B$7/('1. Inputs'!$B$6^'1. Inputs'!$B$7+MAX(0,$A86-'1. Inputs'!$C$27-'1. Inputs'!$B$30+1)^'1. Inputs'!$B$7)*('1. Inputs'!$B$9+'1. Inputs'!$B$10*MAX(0,$A86-'1. Inputs'!$C$27-'1. Inputs'!$B$30+1)/(MAX(0,$A86-'1. Inputs'!$C$27-'1. Inputs'!$B$30+1)+'1. Inputs'!$B$11))*'1. Inputs'!$B$13*(1+'1. Inputs'!$B$14*MIN(MAX(0,$A86-'1. Inputs'!$C$27-'1. Inputs'!$B$30+1),'1. Inputs'!$B$15))*'1. Inputs'!$B$31)</f>
        <v>1768541.9372321</v>
      </c>
      <c r="F86" s="22" t="n">
        <f aca="false">SUM(B86:E86)</f>
        <v>14233299.946027</v>
      </c>
      <c r="G86" s="22" t="n">
        <f aca="false">IF($A86=MAX('1. Inputs'!$B$17,1),'1. Inputs'!$B$3,0)+IF($A86-'1. Inputs'!$B$17&gt;=1,INDEX(F$3:F$86,$A86-'1. Inputs'!$B$17),0)</f>
        <v>14028461.9951421</v>
      </c>
      <c r="H86" s="22" t="n">
        <f aca="false">H85*(1-'1. Inputs'!$B$18)+G86</f>
        <v>590691613.404892</v>
      </c>
      <c r="I86" s="22" t="n">
        <f aca="false">H86*'1. Inputs'!$B$18</f>
        <v>5906916.13404892</v>
      </c>
      <c r="J86" s="22" t="n">
        <f aca="false">J85+F86-I86</f>
        <v>754542472.393769</v>
      </c>
      <c r="K86" s="22" t="n">
        <f aca="false">IF(MAX(0,$A86-'1. Inputs'!$C$24-'1. Inputs'!$B$30+1)&lt;=0,0,'1. Inputs'!$B$24*('1. Inputs'!$B$5-'5. Diagnosing a miss'!$B$21)*MAX(0,$A86-'1. Inputs'!$C$24-'1. Inputs'!$B$30+1)^'1. Inputs'!$B$7/('1. Inputs'!$B$6^'1. Inputs'!$B$7+MAX(0,$A86-'1. Inputs'!$C$24-'1. Inputs'!$B$30+1)^'1. Inputs'!$B$7)*('1. Inputs'!$B$9+'1. Inputs'!$B$10*MAX(0,$A86-'1. Inputs'!$C$24-'1. Inputs'!$B$30+1)/(MAX(0,$A86-'1. Inputs'!$C$24-'1. Inputs'!$B$30+1)+'1. Inputs'!$B$11))*'1. Inputs'!$B$13*(1+'1. Inputs'!$B$14*MIN(MAX(0,$A86-'1. Inputs'!$C$24-'1. Inputs'!$B$30+1),'1. Inputs'!$B$15))*'1. Inputs'!$B$31)</f>
        <v>3813800.54890511</v>
      </c>
      <c r="L86" s="22" t="n">
        <f aca="false">IF(MAX(0,$A86-'1. Inputs'!$C$25-'1. Inputs'!$B$30+1)&lt;=0,0,'1. Inputs'!$B$25*('1. Inputs'!$B$5-'5. Diagnosing a miss'!$B$21)*MAX(0,$A86-'1. Inputs'!$C$25-'1. Inputs'!$B$30+1)^'1. Inputs'!$B$7/('1. Inputs'!$B$6^'1. Inputs'!$B$7+MAX(0,$A86-'1. Inputs'!$C$25-'1. Inputs'!$B$30+1)^'1. Inputs'!$B$7)*('1. Inputs'!$B$9+'1. Inputs'!$B$10*MAX(0,$A86-'1. Inputs'!$C$25-'1. Inputs'!$B$30+1)/(MAX(0,$A86-'1. Inputs'!$C$25-'1. Inputs'!$B$30+1)+'1. Inputs'!$B$11))*'1. Inputs'!$B$13*(1+'1. Inputs'!$B$14*MIN(MAX(0,$A86-'1. Inputs'!$C$25-'1. Inputs'!$B$30+1),'1. Inputs'!$B$15))*'1. Inputs'!$B$31)</f>
        <v>5062596.03446033</v>
      </c>
      <c r="M86" s="22" t="n">
        <f aca="false">IF(MAX(0,$A86-'1. Inputs'!$C$26-'1. Inputs'!$B$30+1)&lt;=0,0,'1. Inputs'!$B$26*('1. Inputs'!$B$5-'5. Diagnosing a miss'!$B$21)*MAX(0,$A86-'1. Inputs'!$C$26-'1. Inputs'!$B$30+1)^'1. Inputs'!$B$7/('1. Inputs'!$B$6^'1. Inputs'!$B$7+MAX(0,$A86-'1. Inputs'!$C$26-'1. Inputs'!$B$30+1)^'1. Inputs'!$B$7)*('1. Inputs'!$B$9+'1. Inputs'!$B$10*MAX(0,$A86-'1. Inputs'!$C$26-'1. Inputs'!$B$30+1)/(MAX(0,$A86-'1. Inputs'!$C$26-'1. Inputs'!$B$30+1)+'1. Inputs'!$B$11))*'1. Inputs'!$B$13*(1+'1. Inputs'!$B$14*MIN(MAX(0,$A86-'1. Inputs'!$C$26-'1. Inputs'!$B$30+1),'1. Inputs'!$B$15))*'1. Inputs'!$B$31)</f>
        <v>2203388.31334118</v>
      </c>
      <c r="N86" s="22" t="n">
        <f aca="false">IF(MAX(0,$A86-'1. Inputs'!$C$27-'1. Inputs'!$B$30+1)&lt;=0,0,'1. Inputs'!$B$27*('1. Inputs'!$B$5-'5. Diagnosing a miss'!$B$21)*MAX(0,$A86-'1. Inputs'!$C$27-'1. Inputs'!$B$30+1)^'1. Inputs'!$B$7/('1. Inputs'!$B$6^'1. Inputs'!$B$7+MAX(0,$A86-'1. Inputs'!$C$27-'1. Inputs'!$B$30+1)^'1. Inputs'!$B$7)*('1. Inputs'!$B$9+'1. Inputs'!$B$10*MAX(0,$A86-'1. Inputs'!$C$27-'1. Inputs'!$B$30+1)/(MAX(0,$A86-'1. Inputs'!$C$27-'1. Inputs'!$B$30+1)+'1. Inputs'!$B$11))*'1. Inputs'!$B$13*(1+'1. Inputs'!$B$14*MIN(MAX(0,$A86-'1. Inputs'!$C$27-'1. Inputs'!$B$30+1),'1. Inputs'!$B$15))*'1. Inputs'!$B$31)</f>
        <v>1572037.27753964</v>
      </c>
      <c r="O86" s="22" t="n">
        <f aca="false">SUM(K86:N86)</f>
        <v>12651822.1742463</v>
      </c>
      <c r="P86" s="22" t="n">
        <f aca="false">IF($A86=MAX('1. Inputs'!$B$17,1),'1. Inputs'!$B$3,0)+IF($A86-'1. Inputs'!$B$17&gt;=1,INDEX(O$3:O$86,$A86-'1. Inputs'!$B$17),0)</f>
        <v>12469743.9956819</v>
      </c>
      <c r="Q86" s="22" t="n">
        <f aca="false">Q85*(1-'1. Inputs'!$B$18)+P86</f>
        <v>533142401.420029</v>
      </c>
      <c r="R86" s="22" t="n">
        <f aca="false">Q86*'1. Inputs'!$B$18</f>
        <v>5331424.01420029</v>
      </c>
      <c r="S86" s="22" t="n">
        <f aca="false">S85+O86-R86</f>
        <v>678706777.515097</v>
      </c>
      <c r="T86" s="22" t="n">
        <f aca="false">IF(MAX(0,$A86-'1. Inputs'!$C$24-'1. Inputs'!$B$30+1)&lt;=0,0,'1. Inputs'!$B$24*'1. Inputs'!$B$5*MAX(0,$A86-'1. Inputs'!$C$24-'1. Inputs'!$B$30+1)^'1. Inputs'!$B$7/('1. Inputs'!$B$6^'1. Inputs'!$B$7+MAX(0,$A86-'1. Inputs'!$C$24-'1. Inputs'!$B$30+1)^'1. Inputs'!$B$7)*('1. Inputs'!$B$9+'1. Inputs'!$B$10*MAX(0,$A86-'1. Inputs'!$C$24-'1. Inputs'!$B$30+1)/(MAX(0,$A86-'1. Inputs'!$C$24-'1. Inputs'!$B$30+1)+'1. Inputs'!$B$11))*'1. Inputs'!$B$13*(1+'1. Inputs'!$B$14*MIN(MAX(0,$A86-'1. Inputs'!$C$24-'1. Inputs'!$B$30+1),'1. Inputs'!$B$15))*('1. Inputs'!$B$31*'5. Diagnosing a miss'!$B$22))</f>
        <v>3861473.05576642</v>
      </c>
      <c r="U86" s="22" t="n">
        <f aca="false">IF(MAX(0,$A86-'1. Inputs'!$C$25-'1. Inputs'!$B$30+1)&lt;=0,0,'1. Inputs'!$B$25*'1. Inputs'!$B$5*MAX(0,$A86-'1. Inputs'!$C$25-'1. Inputs'!$B$30+1)^'1. Inputs'!$B$7/('1. Inputs'!$B$6^'1. Inputs'!$B$7+MAX(0,$A86-'1. Inputs'!$C$25-'1. Inputs'!$B$30+1)^'1. Inputs'!$B$7)*('1. Inputs'!$B$9+'1. Inputs'!$B$10*MAX(0,$A86-'1. Inputs'!$C$25-'1. Inputs'!$B$30+1)/(MAX(0,$A86-'1. Inputs'!$C$25-'1. Inputs'!$B$30+1)+'1. Inputs'!$B$11))*'1. Inputs'!$B$13*(1+'1. Inputs'!$B$14*MIN(MAX(0,$A86-'1. Inputs'!$C$25-'1. Inputs'!$B$30+1),'1. Inputs'!$B$15))*('1. Inputs'!$B$31*'5. Diagnosing a miss'!$B$22))</f>
        <v>5125878.48489108</v>
      </c>
      <c r="V86" s="22" t="n">
        <f aca="false">IF(MAX(0,$A86-'1. Inputs'!$C$26-'1. Inputs'!$B$30+1)&lt;=0,0,'1. Inputs'!$B$26*'1. Inputs'!$B$5*MAX(0,$A86-'1. Inputs'!$C$26-'1. Inputs'!$B$30+1)^'1. Inputs'!$B$7/('1. Inputs'!$B$6^'1. Inputs'!$B$7+MAX(0,$A86-'1. Inputs'!$C$26-'1. Inputs'!$B$30+1)^'1. Inputs'!$B$7)*('1. Inputs'!$B$9+'1. Inputs'!$B$10*MAX(0,$A86-'1. Inputs'!$C$26-'1. Inputs'!$B$30+1)/(MAX(0,$A86-'1. Inputs'!$C$26-'1. Inputs'!$B$30+1)+'1. Inputs'!$B$11))*'1. Inputs'!$B$13*(1+'1. Inputs'!$B$14*MIN(MAX(0,$A86-'1. Inputs'!$C$26-'1. Inputs'!$B$30+1),'1. Inputs'!$B$15))*('1. Inputs'!$B$31*'5. Diagnosing a miss'!$B$22))</f>
        <v>2230930.66725795</v>
      </c>
      <c r="W86" s="22" t="n">
        <f aca="false">IF(MAX(0,$A86-'1. Inputs'!$C$27-'1. Inputs'!$B$30+1)&lt;=0,0,'1. Inputs'!$B$27*'1. Inputs'!$B$5*MAX(0,$A86-'1. Inputs'!$C$27-'1. Inputs'!$B$30+1)^'1. Inputs'!$B$7/('1. Inputs'!$B$6^'1. Inputs'!$B$7+MAX(0,$A86-'1. Inputs'!$C$27-'1. Inputs'!$B$30+1)^'1. Inputs'!$B$7)*('1. Inputs'!$B$9+'1. Inputs'!$B$10*MAX(0,$A86-'1. Inputs'!$C$27-'1. Inputs'!$B$30+1)/(MAX(0,$A86-'1. Inputs'!$C$27-'1. Inputs'!$B$30+1)+'1. Inputs'!$B$11))*'1. Inputs'!$B$13*(1+'1. Inputs'!$B$14*MIN(MAX(0,$A86-'1. Inputs'!$C$27-'1. Inputs'!$B$30+1),'1. Inputs'!$B$15))*('1. Inputs'!$B$31*'5. Diagnosing a miss'!$B$22))</f>
        <v>1591687.74350889</v>
      </c>
      <c r="X86" s="22" t="n">
        <f aca="false">SUM(T86:W86)</f>
        <v>12809969.9514243</v>
      </c>
      <c r="Y86" s="22" t="n">
        <f aca="false">IF($A86=MAX('1. Inputs'!$B$17,1),'1. Inputs'!$B$3,0)+IF($A86-'1. Inputs'!$B$17&gt;=1,INDEX(X$3:X$86,$A86-'1. Inputs'!$B$17),0)</f>
        <v>12625615.7956279</v>
      </c>
      <c r="Z86" s="22" t="n">
        <f aca="false">Z85*(1-'1. Inputs'!$B$18)+Y86</f>
        <v>538897322.618515</v>
      </c>
      <c r="AA86" s="22" t="n">
        <f aca="false">Z86*'1. Inputs'!$B$18</f>
        <v>5388973.22618515</v>
      </c>
      <c r="AB86" s="22" t="n">
        <f aca="false">AB85+X86-AA86</f>
        <v>686290347.002963</v>
      </c>
      <c r="AC86" s="22" t="n">
        <f aca="false">IF(MAX(0,$A86-'1. Inputs'!$C$24-('1. Inputs'!$B$30+'5. Diagnosing a miss'!$B$23)+1)&lt;=0,0,'1. Inputs'!$B$24*'1. Inputs'!$B$5*MAX(0,$A86-'1. Inputs'!$C$24-('1. Inputs'!$B$30+'5. Diagnosing a miss'!$B$23)+1)^'1. Inputs'!$B$7/('1. Inputs'!$B$6^'1. Inputs'!$B$7+MAX(0,$A86-'1. Inputs'!$C$24-('1. Inputs'!$B$30+'5. Diagnosing a miss'!$B$23)+1)^'1. Inputs'!$B$7)*('1. Inputs'!$B$9+'1. Inputs'!$B$10*MAX(0,$A86-'1. Inputs'!$C$24-('1. Inputs'!$B$30+'5. Diagnosing a miss'!$B$23)+1)/(MAX(0,$A86-'1. Inputs'!$C$24-('1. Inputs'!$B$30+'5. Diagnosing a miss'!$B$23)+1)+'1. Inputs'!$B$11))*'1. Inputs'!$B$13*(1+'1. Inputs'!$B$14*MIN(MAX(0,$A86-'1. Inputs'!$C$24-('1. Inputs'!$B$30+'5. Diagnosing a miss'!$B$23)+1),'1. Inputs'!$B$15))*'1. Inputs'!$B$31)</f>
        <v>4279495.2681388</v>
      </c>
      <c r="AD86" s="22" t="n">
        <f aca="false">IF(MAX(0,$A86-'1. Inputs'!$C$25-('1. Inputs'!$B$30+'5. Diagnosing a miss'!$B$23)+1)&lt;=0,0,'1. Inputs'!$B$25*'1. Inputs'!$B$5*MAX(0,$A86-'1. Inputs'!$C$25-('1. Inputs'!$B$30+'5. Diagnosing a miss'!$B$23)+1)^'1. Inputs'!$B$7/('1. Inputs'!$B$6^'1. Inputs'!$B$7+MAX(0,$A86-'1. Inputs'!$C$25-('1. Inputs'!$B$30+'5. Diagnosing a miss'!$B$23)+1)^'1. Inputs'!$B$7)*('1. Inputs'!$B$9+'1. Inputs'!$B$10*MAX(0,$A86-'1. Inputs'!$C$25-('1. Inputs'!$B$30+'5. Diagnosing a miss'!$B$23)+1)/(MAX(0,$A86-'1. Inputs'!$C$25-('1. Inputs'!$B$30+'5. Diagnosing a miss'!$B$23)+1)+'1. Inputs'!$B$11))*'1. Inputs'!$B$13*(1+'1. Inputs'!$B$14*MIN(MAX(0,$A86-'1. Inputs'!$C$25-('1. Inputs'!$B$30+'5. Diagnosing a miss'!$B$23)+1),'1. Inputs'!$B$15))*'1. Inputs'!$B$31)</f>
        <v>5678261.18196515</v>
      </c>
      <c r="AE86" s="22" t="n">
        <f aca="false">IF(MAX(0,$A86-'1. Inputs'!$C$26-('1. Inputs'!$B$30+'5. Diagnosing a miss'!$B$23)+1)&lt;=0,0,'1. Inputs'!$B$26*'1. Inputs'!$B$5*MAX(0,$A86-'1. Inputs'!$C$26-('1. Inputs'!$B$30+'5. Diagnosing a miss'!$B$23)+1)^'1. Inputs'!$B$7/('1. Inputs'!$B$6^'1. Inputs'!$B$7+MAX(0,$A86-'1. Inputs'!$C$26-('1. Inputs'!$B$30+'5. Diagnosing a miss'!$B$23)+1)^'1. Inputs'!$B$7)*('1. Inputs'!$B$9+'1. Inputs'!$B$10*MAX(0,$A86-'1. Inputs'!$C$26-('1. Inputs'!$B$30+'5. Diagnosing a miss'!$B$23)+1)/(MAX(0,$A86-'1. Inputs'!$C$26-('1. Inputs'!$B$30+'5. Diagnosing a miss'!$B$23)+1)+'1. Inputs'!$B$11))*'1. Inputs'!$B$13*(1+'1. Inputs'!$B$14*MIN(MAX(0,$A86-'1. Inputs'!$C$26-('1. Inputs'!$B$30+'5. Diagnosing a miss'!$B$23)+1),'1. Inputs'!$B$15))*'1. Inputs'!$B$31)</f>
        <v>2469949.65426558</v>
      </c>
      <c r="AF86" s="22" t="n">
        <f aca="false">IF(MAX(0,$A86-'1. Inputs'!$C$27-('1. Inputs'!$B$30+'5. Diagnosing a miss'!$B$23)+1)&lt;=0,0,'1. Inputs'!$B$27*'1. Inputs'!$B$5*MAX(0,$A86-'1. Inputs'!$C$27-('1. Inputs'!$B$30+'5. Diagnosing a miss'!$B$23)+1)^'1. Inputs'!$B$7/('1. Inputs'!$B$6^'1. Inputs'!$B$7+MAX(0,$A86-'1. Inputs'!$C$27-('1. Inputs'!$B$30+'5. Diagnosing a miss'!$B$23)+1)^'1. Inputs'!$B$7)*('1. Inputs'!$B$9+'1. Inputs'!$B$10*MAX(0,$A86-'1. Inputs'!$C$27-('1. Inputs'!$B$30+'5. Diagnosing a miss'!$B$23)+1)/(MAX(0,$A86-'1. Inputs'!$C$27-('1. Inputs'!$B$30+'5. Diagnosing a miss'!$B$23)+1)+'1. Inputs'!$B$11))*'1. Inputs'!$B$13*(1+'1. Inputs'!$B$14*MIN(MAX(0,$A86-'1. Inputs'!$C$27-('1. Inputs'!$B$30+'5. Diagnosing a miss'!$B$23)+1),'1. Inputs'!$B$15))*'1. Inputs'!$B$31)</f>
        <v>1761987.99904237</v>
      </c>
      <c r="AG86" s="22" t="n">
        <f aca="false">SUM(AC86:AF86)</f>
        <v>14189694.1034119</v>
      </c>
      <c r="AH86" s="22" t="n">
        <f aca="false">IF($A86=MAX('1. Inputs'!$B$17,1),'1. Inputs'!$B$3,0)+IF($A86-'1. Inputs'!$B$17&gt;=1,INDEX(AG$3:AG$86,$A86-'1. Inputs'!$B$17),0)</f>
        <v>13961568.1247686</v>
      </c>
      <c r="AI86" s="22" t="n">
        <f aca="false">AI85*(1-'1. Inputs'!$B$18)+AH86</f>
        <v>563670604.886827</v>
      </c>
      <c r="AJ86" s="22" t="n">
        <f aca="false">AI86*'1. Inputs'!$B$18</f>
        <v>5636706.04886827</v>
      </c>
      <c r="AK86" s="22" t="n">
        <f aca="false">AK85+AG86-AJ86</f>
        <v>727154685.948411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2026-08-22T04:19:30Z</dcterms:created>
  <dc:creator>openpyxl</dc:creator>
  <dc:description/>
  <dc:language>en-US</dc:language>
  <cp:lastModifiedBy/>
  <dcterms:modified xsi:type="dcterms:W3CDTF">2026-09-24T00:47:15Z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