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5.xml" ContentType="application/vnd.openxmlformats-officedocument.drawing+xml"/>
  <Override PartName="/xl/worksheets/sheet16.xml" ContentType="application/vnd.openxmlformats-officedocument.spreadsheetml.worksheet+xml"/>
  <Override PartName="/xl/worksheets/sheet17.xml" ContentType="application/vnd.openxmlformats-officedocument.spreadsheetml.worksheet+xml"/>
  <Override PartName="/xl/drawings/drawing6.xml" ContentType="application/vnd.openxmlformats-officedocument.drawing+xml"/>
  <Override PartName="/xl/worksheets/sheet18.xml" ContentType="application/vnd.openxmlformats-officedocument.spreadsheetml.worksheet+xml"/>
  <Override PartName="/xl/drawings/drawing7.xml" ContentType="application/vnd.openxmlformats-officedocument.drawing+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puts" sheetId="2" state="visible" r:id="rId2"/>
    <sheet xmlns:r="http://schemas.openxmlformats.org/officeDocument/2006/relationships" name="System" sheetId="3" state="visible" r:id="rId3"/>
    <sheet xmlns:r="http://schemas.openxmlformats.org/officeDocument/2006/relationships" name="Capex" sheetId="4" state="visible" r:id="rId4"/>
    <sheet xmlns:r="http://schemas.openxmlformats.org/officeDocument/2006/relationships" name="RateCase" sheetId="5" state="visible" r:id="rId5"/>
    <sheet xmlns:r="http://schemas.openxmlformats.org/officeDocument/2006/relationships" name="Utility" sheetId="6" state="visible" r:id="rId6"/>
    <sheet xmlns:r="http://schemas.openxmlformats.org/officeDocument/2006/relationships" name="Deal" sheetId="7" state="visible" r:id="rId7"/>
    <sheet xmlns:r="http://schemas.openxmlformats.org/officeDocument/2006/relationships" name="Sensitivities" sheetId="8" state="visible" r:id="rId8"/>
    <sheet xmlns:r="http://schemas.openxmlformats.org/officeDocument/2006/relationships" name="Credit" sheetId="9" state="visible" r:id="rId9"/>
    <sheet xmlns:r="http://schemas.openxmlformats.org/officeDocument/2006/relationships" name="Bills" sheetId="10" state="visible" r:id="rId10"/>
    <sheet xmlns:r="http://schemas.openxmlformats.org/officeDocument/2006/relationships" name="Fennick" sheetId="11" state="visible" r:id="rId11"/>
    <sheet xmlns:r="http://schemas.openxmlformats.org/officeDocument/2006/relationships" name="DD" sheetId="12" state="visible" r:id="rId12"/>
    <sheet xmlns:r="http://schemas.openxmlformats.org/officeDocument/2006/relationships" name="Exit" sheetId="13" state="visible" r:id="rId13"/>
    <sheet xmlns:r="http://schemas.openxmlformats.org/officeDocument/2006/relationships" name="SB_Capex" sheetId="14" state="visible" r:id="rId14"/>
    <sheet xmlns:r="http://schemas.openxmlformats.org/officeDocument/2006/relationships" name="SB_Ops" sheetId="15" state="visible" r:id="rId15"/>
    <sheet xmlns:r="http://schemas.openxmlformats.org/officeDocument/2006/relationships" name="SB_Finance" sheetId="16" state="visible" r:id="rId16"/>
    <sheet xmlns:r="http://schemas.openxmlformats.org/officeDocument/2006/relationships" name="SB_Authority" sheetId="17" state="visible" r:id="rId17"/>
    <sheet xmlns:r="http://schemas.openxmlformats.org/officeDocument/2006/relationships" name="Halcyon" sheetId="18" state="visible" r:id="rId18"/>
    <sheet xmlns:r="http://schemas.openxmlformats.org/officeDocument/2006/relationships" name="WaterRights" sheetId="19" state="visible" r:id="rId19"/>
    <sheet xmlns:r="http://schemas.openxmlformats.org/officeDocument/2006/relationships" name="CostOfCapital" sheetId="20" state="visible" r:id="rId20"/>
    <sheet xmlns:r="http://schemas.openxmlformats.org/officeDocument/2006/relationships" name="Scenarios" sheetId="21" state="visible" r:id="rId21"/>
    <sheet xmlns:r="http://schemas.openxmlformats.org/officeDocument/2006/relationships" name="Checks" sheetId="22" state="visible" r:id="rId22"/>
  </sheets>
  <definedNames>
    <definedName name="pr_close">Inputs!$C$7</definedName>
    <definedName name="pr_last">Inputs!$C$8</definedName>
    <definedName name="pr_water_conn">Inputs!$C$9</definedName>
    <definedName name="pr_ww_conn">Inputs!$C$10</definedName>
    <definedName name="pr_growth">Inputs!$C$11</definedName>
    <definedName name="pr_population">Inputs!$C$12</definedName>
    <definedName name="pr_mains_miles">Inputs!$C$13</definedName>
    <definedName name="pr_mains_age">Inputs!$C$14</definedName>
    <definedName name="pr_breaks">Inputs!$C$15</definedName>
    <definedName name="pr_hist_renewal">Inputs!$C$16</definedName>
    <definedName name="pr_wells">Inputs!$C$17</definedName>
    <definedName name="pr_wells_pfas">Inputs!$C$18</definedName>
    <definedName name="pr_produced">Inputs!$C$19</definedName>
    <definedName name="pr_nrw_2027">Inputs!$C$20</definedName>
    <definedName name="pr_nrw_target">Inputs!$C$21</definedName>
    <definedName name="pr_nrw_years">Inputs!$C$22</definedName>
    <definedName name="pr_marg_cost">Inputs!$C$23</definedName>
    <definedName name="pr_marg_esc">Inputs!$C$24</definedName>
    <definedName name="pr_kwh_mg">Inputs!$C$25</definedName>
    <definedName name="pr_grid">Inputs!$C$26</definedName>
    <definedName name="pr_rb0">Inputs!$C$29</definedName>
    <definedName name="pr_eq">Inputs!$C$30</definedName>
    <definedName name="pr_roe">Inputs!$C$31</definedName>
    <definedName name="pr_roe_ask">Inputs!$C$32</definedName>
    <definedName name="pr_kd_old">Inputs!$C$33</definedName>
    <definedName name="pr_kd_new">Inputs!$C$34</definedName>
    <definedName name="pr_amort">Inputs!$C$35</definedName>
    <definedName name="pr_tax">Inputs!$C$36</definedName>
    <definedName name="pr_dep">Inputs!$C$37</definedName>
    <definedName name="pr_ptax">Inputs!$C$38</definedName>
    <definedName name="pr_om_2028">Inputs!$C$39</definedName>
    <definedName name="pr_om_infl">Inputs!$C$40</definedName>
    <definedName name="pr_rev_2028">Inputs!$C$41</definedName>
    <definedName name="pr_vol_share">Inputs!$C$42</definedName>
    <definedName name="pr_usage">Inputs!$C$43</definedName>
    <definedName name="pr_decoupling">Inputs!$C$44</definedName>
    <definedName name="pr_rc_first">Inputs!$C$45</definedName>
    <definedName name="pr_rc_cycle">Inputs!$C$46</definedName>
    <definedName name="pr_test_lag">Inputs!$C$47</definedName>
    <definedName name="pr_dsic">Inputs!$C$48</definedName>
    <definedName name="pr_dsic_cap">Inputs!$C$49</definedName>
    <definedName name="pr_capex_esc">Inputs!$C$52</definedName>
    <definedName name="pr_renewal">Inputs!$C$53</definedName>
    <definedName name="pr_cost_mile">Inputs!$C$54</definedName>
    <definedName name="pr_other_capex">Inputs!$C$55</definedName>
    <definedName name="pr_pfas_y1">Inputs!$C$56</definedName>
    <definedName name="pr_pfas_1">Inputs!$C$57</definedName>
    <definedName name="pr_pfas_2">Inputs!$C$58</definedName>
    <definedName name="pr_pfas_3">Inputs!$C$59</definedName>
    <definedName name="pr_pfas_om">Inputs!$C$60</definedName>
    <definedName name="pr_pfas_om_y">Inputs!$C$61</definedName>
    <definedName name="pr_pfas_om_esc">Inputs!$C$62</definedName>
    <definedName name="pr_settle">Inputs!$C$63</definedName>
    <definedName name="pr_settle_y">Inputs!$C$64</definedName>
    <definedName name="pr_lead_lines">Inputs!$C$65</definedName>
    <definedName name="pr_lead_cost">Inputs!$C$66</definedName>
    <definedName name="pr_lead_years">Inputs!$C$67</definedName>
    <definedName name="pr_lead_cust">Inputs!$C$68</definedName>
    <definedName name="pr_fen_on">Inputs!$C$71</definedName>
    <definedName name="pr_fen_conn">Inputs!$C$72</definedName>
    <definedName name="pr_fen_price">Inputs!$C$73</definedName>
    <definedName name="pr_fen_doc">Inputs!$C$74</definedName>
    <definedName name="pr_fen_year">Inputs!$C$75</definedName>
    <definedName name="pr_fen_rev">Inputs!$C$76</definedName>
    <definedName name="pr_fen_om">Inputs!$C$77</definedName>
    <definedName name="pr_fen_capex">Inputs!$C$78</definedName>
    <definedName name="pr_fen_esc">Inputs!$C$79</definedName>
    <definedName name="fen_conc_years">Inputs!$C$80</definedName>
    <definedName name="fen_conc_infl">Inputs!$C$81</definedName>
    <definedName name="fen_conc_real">Inputs!$C$82</definedName>
    <definedName name="fen_conc_irr">Inputs!$C$83</definedName>
    <definedName name="fen_conc_start">Inputs!$C$84</definedName>
    <definedName name="pr_ev_mult">Inputs!$C$87</definedName>
    <definedName name="pr_costs">Inputs!$C$88</definedName>
    <definedName name="pr_holdco">Inputs!$C$89</definedName>
    <definedName name="pr_kd_holdco">Inputs!$C$90</definedName>
    <definedName name="pr_exit_mult">Inputs!$C$91</definedName>
    <definedName name="pr_target">Inputs!$C$92</definedName>
    <definedName name="pr_hurdle">Inputs!$C$93</definedName>
    <definedName name="pr_ke">Inputs!$C$94</definedName>
    <definedName name="pr_em1">Inputs!$C$95</definedName>
    <definedName name="pr_em2">Inputs!$C$96</definedName>
    <definedName name="pr_em3">Inputs!$C$97</definedName>
    <definedName name="pr_em4">Inputs!$C$98</definedName>
    <definedName name="pr_em5">Inputs!$C$99</definedName>
    <definedName name="pr_min_year">Inputs!$C$100</definedName>
    <definedName name="pr_min_share">Inputs!$C$101</definedName>
    <definedName name="pr_min_mult">Inputs!$C$102</definedName>
    <definedName name="sel_roe">Inputs!$C$105</definedName>
    <definedName name="sel_om_infl">Inputs!$C$106</definedName>
    <definedName name="sel_renewal">Inputs!$C$107</definedName>
    <definedName name="sel_nrw">Inputs!$C$108</definedName>
    <definedName name="pr_bill_w">Inputs!$C$111</definedName>
    <definedName name="pr_bill_ww">Inputs!$C$112</definedName>
    <definedName name="pr_mhi">Inputs!$C$113</definedName>
    <definedName name="pr_mhi_low">Inputs!$C$114</definedName>
    <definedName name="pr_mhi_growth">Inputs!$C$115</definedName>
    <definedName name="pr_screen">Inputs!$C$116</definedName>
    <definedName name="pr_lic_share">Inputs!$C$117</definedName>
    <definedName name="pr_lic_disc">Inputs!$C$118</definedName>
    <definedName name="pr_resid">Inputs!$C$119</definedName>
    <definedName name="pr_ffo_opco">Inputs!$C$120</definedName>
    <definedName name="pr_ffo_cons">Inputs!$C$121</definedName>
    <definedName name="pr_capex_shift">Inputs!$C$124</definedName>
    <definedName name="pr_pfas_delay">Inputs!$C$125</definedName>
    <definedName name="pr_disallow">Inputs!$C$126</definedName>
    <definedName name="pr_lead_exp">Inputs!$C$127</definedName>
    <definedName name="sb_start">Inputs!$C$130</definedName>
    <definedName name="sb_cod">Inputs!$C$131</definedName>
    <definedName name="sb_term">Inputs!$C$132</definedName>
    <definedName name="sb_cap">Inputs!$C$133</definedName>
    <definedName name="sb_recovery">Inputs!$C$134</definedName>
    <definedName name="sb_guar">Inputs!$C$135</definedName>
    <definedName name="sb_avail">Inputs!$C$136</definedName>
    <definedName name="sb_avail_test">Inputs!$C$137</definedName>
    <definedName name="sb_dispatch">Inputs!$C$138</definedName>
    <definedName name="sb_cx_plant">Inputs!$C$139</definedName>
    <definedName name="sb_cx_marine">Inputs!$C$140</definedName>
    <definedName name="sb_cx_conv">Inputs!$C$141</definedName>
    <definedName name="sb_cx_grid">Inputs!$C$142</definedName>
    <definedName name="sb_cx_dev">Inputs!$C$143</definedName>
    <definedName name="sb_cx_fin">Inputs!$C$144</definedName>
    <definedName name="sb_phase1">Inputs!$C$145</definedName>
    <definedName name="sb_sec">Inputs!$C$146</definedName>
    <definedName name="sb_sec_act">Inputs!$C$147</definedName>
    <definedName name="sb_power">Inputs!$C$148</definedName>
    <definedName name="sb_power_esc">Inputs!$C$149</definedName>
    <definedName name="sb_chem">Inputs!$C$150</definedName>
    <definedName name="sb_fom">Inputs!$C$151</definedName>
    <definedName name="sb_major">Inputs!$C$152</definedName>
    <definedName name="sb_major_y1">Inputs!$C$153</definedName>
    <definedName name="sb_major_y2">Inputs!$C$154</definedName>
    <definedName name="sb_cpi">Inputs!$C$155</definedName>
    <definedName name="sb_ld">Inputs!$C$156</definedName>
    <definedName name="sb_wet_disp">Inputs!$C$157</definedName>
    <definedName name="sb_wet_year">Inputs!$C$158</definedName>
    <definedName name="sb_target">Inputs!$C$161</definedName>
    <definedName name="sb_kd">Inputs!$C$162</definedName>
    <definedName name="sb_tenor">Inputs!$C$163</definedName>
    <definedName name="sb_dscr">Inputs!$C$164</definedName>
    <definedName name="sb_gear">Inputs!$C$165</definedName>
    <definedName name="sb_owner">Inputs!$C$166</definedName>
    <definedName name="sb_cc_mode">Inputs!$C$167</definedName>
    <definedName name="sb_cc_typed">Inputs!$C$168</definedName>
    <definedName name="sb_bis_lo">Inputs!$C$169</definedName>
    <definedName name="sb_bis_hi">Inputs!$C$170</definedName>
    <definedName name="sb_bid_cut">Inputs!$C$171</definedName>
    <definedName name="sb_kd_step">Inputs!$C$172</definedName>
    <definedName name="sb_auth_rate">Inputs!$C$173</definedName>
    <definedName name="sb_pub_wifia">Inputs!$C$174</definedName>
    <definedName name="sb_pub_kw">Inputs!$C$175</definedName>
    <definedName name="sb_pub_nw">Inputs!$C$176</definedName>
    <definedName name="sb_pub_km">Inputs!$C$177</definedName>
    <definedName name="sb_pub_nm">Inputs!$C$178</definedName>
    <definedName name="sb_pub_avoid">Inputs!$C$179</definedName>
    <definedName name="sb_sell_share">Inputs!$C$180</definedName>
    <definedName name="sb_sell_rate">Inputs!$C$181</definedName>
    <definedName name="sb_alt_af">Inputs!$C$182</definedName>
    <definedName name="sb_alt_esc">Inputs!$C$183</definedName>
    <definedName name="sb_capex_shift">Inputs!$C$186</definedName>
    <definedName name="sb_delay">Inputs!$C$187</definedName>
    <definedName name="sb_power_shift">Inputs!$C$188</definedName>
    <definedName name="sb_pass">Inputs!$C$189</definedName>
    <definedName name="u_af">Inputs!$C$192</definedName>
    <definedName name="u_gal">Inputs!$C$193</definedName>
    <definedName name="u_mgd">Inputs!$C$194</definedName>
    <definedName name="hal_cx1">Inputs!$C$197</definedName>
    <definedName name="hal_cx2">Inputs!$C$198</definedName>
    <definedName name="hal_start">Inputs!$C$199</definedName>
    <definedName name="hal_years">Inputs!$C$200</definedName>
    <definedName name="hal_avg">Inputs!$C$201</definedName>
    <definedName name="hal_min">Inputs!$C$202</definedName>
    <definedName name="hal_peak">Inputs!$C$203</definedName>
    <definedName name="hal_price">Inputs!$C$204</definedName>
    <definedName name="hal_price_esc">Inputs!$C$205</definedName>
    <definedName name="hal_fee">Inputs!$C$206</definedName>
    <definedName name="hal_fom">Inputs!$C$207</definedName>
    <definedName name="hal_var">Inputs!$C$208</definedName>
    <definedName name="hal_cost_esc">Inputs!$C$209</definedName>
    <definedName name="hal_rate">Inputs!$C$210</definedName>
    <definedName name="hal_potable">Inputs!$C$211</definedName>
    <definedName name="wr_need">Inputs!$C$214</definedName>
    <definedName name="wr_dry">Inputs!$C$215</definedName>
    <definedName name="wr_price">Inputs!$C$216</definedName>
    <definedName name="wr_lease">Inputs!$C$217</definedName>
    <definedName name="wr_lease_esc">Inputs!$C$218</definedName>
    <definedName name="wr_years">Inputs!$C$219</definedName>
    <definedName name="wr_rate">Inputs!$C$220</definedName>
    <definedName name="mu_kd">Inputs!$C$223</definedName>
    <definedName name="mu_cov">Inputs!$C$224</definedName>
    <definedName name="mu_wifia">Inputs!$C$225</definedName>
  </definedNames>
  <calcPr calcId="124519" fullCalcOnLoad="1"/>
</workbook>
</file>

<file path=xl/styles.xml><?xml version="1.0" encoding="utf-8"?>
<styleSheet xmlns="http://schemas.openxmlformats.org/spreadsheetml/2006/main">
  <numFmts count="17">
    <numFmt numFmtId="164" formatCode="0.0%"/>
    <numFmt numFmtId="165" formatCode="#,##0.0"/>
    <numFmt numFmtId="166" formatCode="0.00&quot;x&quot;"/>
    <numFmt numFmtId="167" formatCode="#,##0.0000"/>
    <numFmt numFmtId="168" formatCode="#,##0.000"/>
    <numFmt numFmtId="169" formatCode="0.000"/>
    <numFmt numFmtId="170" formatCode="0.0000"/>
    <numFmt numFmtId="171" formatCode="#,##0.0;-#,##0.0;&quot;-&quot;"/>
    <numFmt numFmtId="172" formatCode="0.000000"/>
    <numFmt numFmtId="173" formatCode="#,##0.000000"/>
    <numFmt numFmtId="174" formatCode="0.0&quot;x&quot;"/>
    <numFmt numFmtId="175" formatCode="#,##0;-#,##0;&quot;-&quot;"/>
    <numFmt numFmtId="176" formatCode="+0.00;-0.00;0.00"/>
    <numFmt numFmtId="177" formatCode="0.0E+00"/>
    <numFmt numFmtId="178" formatCode="0.0000%"/>
    <numFmt numFmtId="179" formatCode="0.000%"/>
    <numFmt numFmtId="180" formatCode="+0.00;-0.00"/>
  </numFmts>
  <fonts count="7">
    <font>
      <name val="Calibri"/>
      <family val="2"/>
      <color theme="1"/>
      <sz val="11"/>
      <scheme val="minor"/>
    </font>
    <font>
      <name val="Arial"/>
      <b val="1"/>
      <color rgb="001F2933"/>
      <sz val="13"/>
    </font>
    <font>
      <name val="Arial"/>
      <color rgb="006B7780"/>
      <sz val="9"/>
    </font>
    <font>
      <name val="Arial"/>
      <b val="1"/>
      <color rgb="001F2933"/>
      <sz val="10"/>
    </font>
    <font>
      <name val="Arial"/>
      <sz val="10"/>
    </font>
    <font>
      <name val="Arial"/>
      <color rgb="001F4E9E"/>
      <sz val="10"/>
    </font>
    <font>
      <name val="Arial"/>
      <b val="1"/>
      <sz val="10"/>
    </font>
  </fonts>
  <fills count="3">
    <fill>
      <patternFill/>
    </fill>
    <fill>
      <patternFill patternType="gray125"/>
    </fill>
    <fill>
      <patternFill patternType="solid">
        <fgColor rgb="00E8ECEF"/>
      </patternFill>
    </fill>
  </fills>
  <borders count="1">
    <border>
      <left/>
      <right/>
      <top/>
      <bottom/>
      <diagonal/>
    </border>
  </borders>
  <cellStyleXfs count="1">
    <xf numFmtId="0" fontId="0" fillId="0" borderId="0"/>
  </cellStyleXfs>
  <cellXfs count="49">
    <xf numFmtId="0" fontId="0" fillId="0" borderId="0" pivotButton="0" quotePrefix="0" xfId="0"/>
    <xf numFmtId="0" fontId="1" fillId="0" borderId="0" pivotButton="0" quotePrefix="0" xfId="0"/>
    <xf numFmtId="0" fontId="4" fillId="0" borderId="0" pivotButton="0" quotePrefix="0" xfId="0"/>
    <xf numFmtId="0" fontId="6" fillId="0" borderId="0" pivotButton="0" quotePrefix="0" xfId="0"/>
    <xf numFmtId="0" fontId="4" fillId="0" borderId="0" applyAlignment="1" pivotButton="0" quotePrefix="0" xfId="0">
      <alignment vertical="top" wrapText="1"/>
    </xf>
    <xf numFmtId="0" fontId="2" fillId="0" borderId="0" pivotButton="0" quotePrefix="0" xfId="0"/>
    <xf numFmtId="0" fontId="3" fillId="2" borderId="0" pivotButton="0" quotePrefix="0" xfId="0"/>
    <xf numFmtId="0" fontId="0" fillId="2" borderId="0" pivotButton="0" quotePrefix="0" xfId="0"/>
    <xf numFmtId="1" fontId="5" fillId="0" borderId="0" pivotButton="0" quotePrefix="0" xfId="0"/>
    <xf numFmtId="3" fontId="5" fillId="0" borderId="0" pivotButton="0" quotePrefix="0" xfId="0"/>
    <xf numFmtId="164" fontId="5" fillId="0" borderId="0" pivotButton="0" quotePrefix="0" xfId="0"/>
    <xf numFmtId="165" fontId="5" fillId="0" borderId="0" pivotButton="0" quotePrefix="0" xfId="0"/>
    <xf numFmtId="10" fontId="5" fillId="0" borderId="0" pivotButton="0" quotePrefix="0" xfId="0"/>
    <xf numFmtId="4" fontId="5" fillId="0" borderId="0" pivotButton="0" quotePrefix="0" xfId="0"/>
    <xf numFmtId="166" fontId="5" fillId="0" borderId="0" pivotButton="0" quotePrefix="0" xfId="0"/>
    <xf numFmtId="167" fontId="5" fillId="0" borderId="0" pivotButton="0" quotePrefix="0" xfId="0"/>
    <xf numFmtId="168" fontId="5" fillId="0" borderId="0" pivotButton="0" quotePrefix="0" xfId="0"/>
    <xf numFmtId="169" fontId="5" fillId="0" borderId="0" pivotButton="0" quotePrefix="0" xfId="0"/>
    <xf numFmtId="1" fontId="6" fillId="0" borderId="0" pivotButton="0" quotePrefix="0" xfId="0"/>
    <xf numFmtId="3" fontId="4" fillId="0" borderId="0" pivotButton="0" quotePrefix="0" xfId="0"/>
    <xf numFmtId="164" fontId="4" fillId="0" borderId="0" pivotButton="0" quotePrefix="0" xfId="0"/>
    <xf numFmtId="165" fontId="4" fillId="0" borderId="0" pivotButton="0" quotePrefix="0" xfId="0"/>
    <xf numFmtId="4" fontId="4" fillId="0" borderId="0" pivotButton="0" quotePrefix="0" xfId="0"/>
    <xf numFmtId="171" fontId="4" fillId="0" borderId="0" pivotButton="0" quotePrefix="0" xfId="0"/>
    <xf numFmtId="171" fontId="6" fillId="0" borderId="0" pivotButton="0" quotePrefix="0" xfId="0"/>
    <xf numFmtId="174" fontId="4" fillId="0" borderId="0" pivotButton="0" quotePrefix="0" xfId="0"/>
    <xf numFmtId="1" fontId="4" fillId="0" borderId="0" pivotButton="0" quotePrefix="0" xfId="0"/>
    <xf numFmtId="10" fontId="4" fillId="0" borderId="0" pivotButton="0" quotePrefix="0" xfId="0"/>
    <xf numFmtId="170" fontId="4" fillId="0" borderId="0" pivotButton="0" quotePrefix="0" xfId="0"/>
    <xf numFmtId="10" fontId="6" fillId="0" borderId="0" pivotButton="0" quotePrefix="0" xfId="0"/>
    <xf numFmtId="166" fontId="4" fillId="0" borderId="0" pivotButton="0" quotePrefix="0" xfId="0"/>
    <xf numFmtId="2" fontId="4" fillId="0" borderId="0" pivotButton="0" quotePrefix="0" xfId="0"/>
    <xf numFmtId="175" fontId="6" fillId="0" borderId="0" pivotButton="0" quotePrefix="0" xfId="0"/>
    <xf numFmtId="175" fontId="4" fillId="0" borderId="0" pivotButton="0" quotePrefix="0" xfId="0"/>
    <xf numFmtId="176" fontId="4" fillId="0" borderId="0" pivotButton="0" quotePrefix="0" xfId="0"/>
    <xf numFmtId="164" fontId="6" fillId="0" borderId="0" pivotButton="0" quotePrefix="0" xfId="0"/>
    <xf numFmtId="166" fontId="6" fillId="0" borderId="0" pivotButton="0" quotePrefix="0" xfId="0"/>
    <xf numFmtId="4" fontId="6" fillId="0" borderId="0" pivotButton="0" quotePrefix="0" xfId="0"/>
    <xf numFmtId="167" fontId="4" fillId="0" borderId="0" pivotButton="0" quotePrefix="0" xfId="0"/>
    <xf numFmtId="169" fontId="4" fillId="0" borderId="0" pivotButton="0" quotePrefix="0" xfId="0"/>
    <xf numFmtId="167" fontId="6" fillId="0" borderId="0" pivotButton="0" quotePrefix="0" xfId="0"/>
    <xf numFmtId="172" fontId="4" fillId="0" borderId="0" pivotButton="0" quotePrefix="0" xfId="0"/>
    <xf numFmtId="173" fontId="4" fillId="0" borderId="0" pivotButton="0" quotePrefix="0" xfId="0"/>
    <xf numFmtId="0" fontId="4" fillId="0" borderId="0" applyAlignment="1" pivotButton="0" quotePrefix="0" xfId="0">
      <alignment/>
    </xf>
    <xf numFmtId="177" fontId="2" fillId="0" borderId="0" pivotButton="0" quotePrefix="0" xfId="0"/>
    <xf numFmtId="178" fontId="4" fillId="0" borderId="0" pivotButton="0" quotePrefix="0" xfId="0"/>
    <xf numFmtId="179" fontId="4" fillId="0" borderId="0" pivotButton="0" quotePrefix="0" xfId="0"/>
    <xf numFmtId="168" fontId="4" fillId="0" borderId="0" pivotButton="0" quotePrefix="0" xfId="0"/>
    <xf numFmtId="180" fontId="4" fillId="0" borderId="0" pivotButton="0" quotePrefix="0" xfId="0"/>
  </cellXfs>
  <cellStyles count="1">
    <cellStyle name="Normal" xfId="0" builtinId="0" hidden="0"/>
  </cellStyles>
  <dxfs count="1">
    <dxf>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Capital plan by line, $ million</a:t>
            </a:r>
          </a:p>
        </rich>
      </tx>
    </title>
    <plotArea>
      <barChart>
        <barDir val="col"/>
        <grouping val="stacked"/>
        <ser>
          <idx val="0"/>
          <order val="0"/>
          <tx>
            <strRef>
              <f>'Capex'!B6</f>
            </strRef>
          </tx>
          <spPr>
            <a:ln xmlns:a="http://schemas.openxmlformats.org/drawingml/2006/main">
              <a:prstDash val="solid"/>
            </a:ln>
          </spPr>
          <cat>
            <numRef>
              <f>'Capex'!$E$5:$N$5</f>
            </numRef>
          </cat>
          <val>
            <numRef>
              <f>'Capex'!$C$6:$N$6</f>
            </numRef>
          </val>
        </ser>
        <ser>
          <idx val="1"/>
          <order val="1"/>
          <tx>
            <strRef>
              <f>'Capex'!B7</f>
            </strRef>
          </tx>
          <spPr>
            <a:ln xmlns:a="http://schemas.openxmlformats.org/drawingml/2006/main">
              <a:prstDash val="solid"/>
            </a:ln>
          </spPr>
          <cat>
            <numRef>
              <f>'Capex'!$E$5:$N$5</f>
            </numRef>
          </cat>
          <val>
            <numRef>
              <f>'Capex'!$C$7:$N$7</f>
            </numRef>
          </val>
        </ser>
        <ser>
          <idx val="2"/>
          <order val="2"/>
          <tx>
            <strRef>
              <f>'Capex'!B8</f>
            </strRef>
          </tx>
          <spPr>
            <a:ln xmlns:a="http://schemas.openxmlformats.org/drawingml/2006/main">
              <a:prstDash val="solid"/>
            </a:ln>
          </spPr>
          <cat>
            <numRef>
              <f>'Capex'!$E$5:$N$5</f>
            </numRef>
          </cat>
          <val>
            <numRef>
              <f>'Capex'!$C$8:$N$8</f>
            </numRef>
          </val>
        </ser>
        <ser>
          <idx val="3"/>
          <order val="3"/>
          <tx>
            <strRef>
              <f>'Capex'!B9</f>
            </strRef>
          </tx>
          <spPr>
            <a:ln xmlns:a="http://schemas.openxmlformats.org/drawingml/2006/main">
              <a:prstDash val="solid"/>
            </a:ln>
          </spPr>
          <cat>
            <numRef>
              <f>'Capex'!$E$5:$N$5</f>
            </numRef>
          </cat>
          <val>
            <numRef>
              <f>'Capex'!$C$9:$N$9</f>
            </numRef>
          </val>
        </ser>
        <ser>
          <idx val="4"/>
          <order val="4"/>
          <tx>
            <strRef>
              <f>'Capex'!B10</f>
            </strRef>
          </tx>
          <spPr>
            <a:ln xmlns:a="http://schemas.openxmlformats.org/drawingml/2006/main">
              <a:prstDash val="solid"/>
            </a:ln>
          </spPr>
          <cat>
            <numRef>
              <f>'Capex'!$E$5:$N$5</f>
            </numRef>
          </cat>
          <val>
            <numRef>
              <f>'Capex'!$C$10:$N$10</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Pell River: rate base (columns) and revenue (line), $ million</a:t>
            </a:r>
          </a:p>
        </rich>
      </tx>
    </title>
    <plotArea>
      <barChart>
        <barDir val="col"/>
        <grouping val="clustered"/>
        <ser>
          <idx val="0"/>
          <order val="0"/>
          <spPr>
            <a:ln xmlns:a="http://schemas.openxmlformats.org/drawingml/2006/main">
              <a:prstDash val="solid"/>
            </a:ln>
          </spPr>
          <cat>
            <numRef>
              <f>'Utility'!$D$4:$N$4</f>
            </numRef>
          </cat>
          <val>
            <numRef>
              <f>'Utility'!$D$61:$N$61</f>
            </numRef>
          </val>
        </ser>
        <gapWidth val="150"/>
        <axId val="10"/>
        <axId val="100"/>
      </barChart>
      <lineChart>
        <grouping val="standard"/>
        <ser>
          <idx val="1"/>
          <order val="1"/>
          <spPr>
            <a:ln xmlns:a="http://schemas.openxmlformats.org/drawingml/2006/main">
              <a:prstDash val="solid"/>
            </a:ln>
          </spPr>
          <marker>
            <symbol val="none"/>
            <spPr>
              <a:ln xmlns:a="http://schemas.openxmlformats.org/drawingml/2006/main">
                <a:prstDash val="solid"/>
              </a:ln>
            </spPr>
          </marker>
          <val>
            <numRef>
              <f>'Utility'!$D$43:$N$43</f>
            </numRef>
          </val>
        </ser>
        <axId val="10"/>
        <axId val="2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valAx>
        <axId val="200"/>
        <scaling>
          <orientation val="minMax"/>
        </scaling>
        <axPos val="l"/>
        <majorGridlines/>
        <majorTickMark val="none"/>
        <minorTickMark val="none"/>
        <crossAx val="10"/>
        <crosses val="max"/>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Authorized (flat) versus earned return on equity</a:t>
            </a:r>
          </a:p>
        </rich>
      </tx>
    </title>
    <plotArea>
      <lineChart>
        <grouping val="standard"/>
        <ser>
          <idx val="0"/>
          <order val="0"/>
          <spPr>
            <a:ln xmlns:a="http://schemas.openxmlformats.org/drawingml/2006/main">
              <a:prstDash val="solid"/>
            </a:ln>
          </spPr>
          <marker>
            <symbol val="none"/>
            <spPr>
              <a:ln xmlns:a="http://schemas.openxmlformats.org/drawingml/2006/main">
                <a:prstDash val="solid"/>
              </a:ln>
            </spPr>
          </marker>
          <cat>
            <numRef>
              <f>'Utility'!$E$4:$N$4</f>
            </numRef>
          </cat>
          <val>
            <numRef>
              <f>'Utility'!$E$70:$N$70</f>
            </numRef>
          </val>
        </ser>
        <ser>
          <idx val="1"/>
          <order val="1"/>
          <spPr>
            <a:ln xmlns:a="http://schemas.openxmlformats.org/drawingml/2006/main">
              <a:prstDash val="solid"/>
            </a:ln>
          </spPr>
          <marker>
            <symbol val="none"/>
            <spPr>
              <a:ln xmlns:a="http://schemas.openxmlformats.org/drawingml/2006/main">
                <a:prstDash val="solid"/>
              </a:ln>
            </spPr>
          </marker>
          <cat>
            <numRef>
              <f>'Utility'!$E$4:$N$4</f>
            </numRef>
          </cat>
          <val>
            <numRef>
              <f>'Utility'!$E$69:$N$69</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Levered IRR by exit multiple</a:t>
            </a:r>
          </a:p>
        </rich>
      </tx>
    </title>
    <plotArea>
      <barChart>
        <barDir val="col"/>
        <grouping val="clustered"/>
        <ser>
          <idx val="0"/>
          <order val="0"/>
          <spPr>
            <a:ln xmlns:a="http://schemas.openxmlformats.org/drawingml/2006/main">
              <a:prstDash val="solid"/>
            </a:ln>
          </spPr>
          <cat>
            <numRef>
              <f>'Deal'!$B$56:$B$60</f>
            </numRef>
          </cat>
          <val>
            <numRef>
              <f>'Deal'!$O$56:$O$60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Combined monthly bill ($, columns) and share of income (line)</a:t>
            </a:r>
          </a:p>
        </rich>
      </tx>
    </title>
    <plotArea>
      <barChart>
        <barDir val="col"/>
        <grouping val="clustered"/>
        <ser>
          <idx val="0"/>
          <order val="0"/>
          <spPr>
            <a:ln xmlns:a="http://schemas.openxmlformats.org/drawingml/2006/main">
              <a:prstDash val="solid"/>
            </a:ln>
          </spPr>
          <cat>
            <numRef>
              <f>'Bills'!$E$5:$N$5</f>
            </numRef>
          </cat>
          <val>
            <numRef>
              <f>'Bills'!$E$10:$N$10</f>
            </numRef>
          </val>
        </ser>
        <gapWidth val="150"/>
        <axId val="10"/>
        <axId val="100"/>
      </barChart>
      <lineChart>
        <grouping val="standard"/>
        <ser>
          <idx val="1"/>
          <order val="1"/>
          <spPr>
            <a:ln xmlns:a="http://schemas.openxmlformats.org/drawingml/2006/main">
              <a:prstDash val="solid"/>
            </a:ln>
          </spPr>
          <marker>
            <symbol val="none"/>
            <spPr>
              <a:ln xmlns:a="http://schemas.openxmlformats.org/drawingml/2006/main">
                <a:prstDash val="solid"/>
              </a:ln>
            </spPr>
          </marker>
          <val>
            <numRef>
              <f>'Bills'!$E$14:$N$14</f>
            </numRef>
          </val>
        </ser>
        <axId val="10"/>
        <axId val="2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valAx>
        <axId val="200"/>
        <scaling>
          <orientation val="minMax"/>
        </scaling>
        <axPos val="l"/>
        <majorGridlines/>
        <majorTickMark val="none"/>
        <minorTickMark val="none"/>
        <crossAx val="10"/>
        <crosses val="max"/>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Sorrel Bay CFADS and debt service, $ million</a:t>
            </a:r>
          </a:p>
        </rich>
      </tx>
    </title>
    <plotArea>
      <barChart>
        <barDir val="col"/>
        <grouping val="clustered"/>
        <ser>
          <idx val="0"/>
          <order val="0"/>
          <spPr>
            <a:ln xmlns:a="http://schemas.openxmlformats.org/drawingml/2006/main">
              <a:prstDash val="solid"/>
            </a:ln>
          </spPr>
          <cat>
            <numRef>
              <f>'SB_Ops'!$G$4:$AJ$4</f>
            </numRef>
          </cat>
          <val>
            <numRef>
              <f>'SB_Ops'!$G$34:$AJ$34</f>
            </numRef>
          </val>
        </ser>
        <ser>
          <idx val="1"/>
          <order val="1"/>
          <spPr>
            <a:ln xmlns:a="http://schemas.openxmlformats.org/drawingml/2006/main">
              <a:prstDash val="solid"/>
            </a:ln>
          </spPr>
          <cat>
            <numRef>
              <f>'SB_Ops'!$G$4:$AJ$4</f>
            </numRef>
          </cat>
          <val>
            <numRef>
              <f>'SB_Ops'!$G$42:$AJ$42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a:pPr>
            <a:r>
              <a:t>Wet year: take-or-pay versus take-and-pay cash flow, $ million</a:t>
            </a:r>
          </a:p>
        </rich>
      </tx>
    </title>
    <plotArea>
      <barChart>
        <barDir val="col"/>
        <grouping val="clustered"/>
        <ser>
          <idx val="0"/>
          <order val="0"/>
          <spPr>
            <a:ln xmlns:a="http://schemas.openxmlformats.org/drawingml/2006/main">
              <a:prstDash val="solid"/>
            </a:ln>
          </spPr>
          <cat>
            <numRef>
              <f>'SB_Ops'!$B$64:$B$65</f>
            </numRef>
          </cat>
          <val>
            <numRef>
              <f>'SB_Ops'!$D$64:$D$65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8.xml><?xml version="1.0" encoding="utf-8"?>
<chartSpace xmlns="http://schemas.openxmlformats.org/drawingml/2006/chart">
  <chart>
    <title>
      <tx>
        <rich>
          <a:bodyPr xmlns:a="http://schemas.openxmlformats.org/drawingml/2006/main"/>
          <a:p xmlns:a="http://schemas.openxmlformats.org/drawingml/2006/main">
            <a:pPr>
              <a:defRPr/>
            </a:pPr>
            <a:r>
              <a:t>Sorrel Bay 2030 tariff per m3 delivered ($)</a:t>
            </a:r>
          </a:p>
        </rich>
      </tx>
    </title>
    <plotArea>
      <barChart>
        <barDir val="bar"/>
        <grouping val="stacked"/>
        <ser>
          <idx val="0"/>
          <order val="0"/>
          <spPr>
            <a:ln xmlns:a="http://schemas.openxmlformats.org/drawingml/2006/main">
              <a:prstDash val="solid"/>
            </a:ln>
          </spPr>
          <val>
            <numRef>
              <f>'SB_Authority'!$C$10</f>
            </numRef>
          </val>
        </ser>
        <ser>
          <idx val="1"/>
          <order val="1"/>
          <spPr>
            <a:ln xmlns:a="http://schemas.openxmlformats.org/drawingml/2006/main">
              <a:prstDash val="solid"/>
            </a:ln>
          </spPr>
          <val>
            <numRef>
              <f>'SB_Authority'!$C$11</f>
            </numRef>
          </val>
        </ser>
        <ser>
          <idx val="2"/>
          <order val="2"/>
          <spPr>
            <a:ln xmlns:a="http://schemas.openxmlformats.org/drawingml/2006/main">
              <a:prstDash val="solid"/>
            </a:ln>
          </spPr>
          <val>
            <numRef>
              <f>'SB_Authority'!$C$8</f>
            </numRef>
          </val>
        </ser>
        <ser>
          <idx val="3"/>
          <order val="3"/>
          <spPr>
            <a:ln xmlns:a="http://schemas.openxmlformats.org/drawingml/2006/main">
              <a:prstDash val="solid"/>
            </a:ln>
          </spPr>
          <val>
            <numRef>
              <f>'SB_Authority'!$C$9</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9.xml><?xml version="1.0" encoding="utf-8"?>
<chartSpace xmlns="http://schemas.openxmlformats.org/drawingml/2006/chart">
  <chart>
    <title>
      <tx>
        <rich>
          <a:bodyPr xmlns:a="http://schemas.openxmlformats.org/drawingml/2006/main"/>
          <a:p xmlns:a="http://schemas.openxmlformats.org/drawingml/2006/main">
            <a:pPr>
              <a:defRPr/>
            </a:pPr>
            <a:r>
              <a:t>Halcyon Ridge cash flows, $ million</a:t>
            </a:r>
          </a:p>
        </rich>
      </tx>
    </title>
    <plotArea>
      <barChart>
        <barDir val="col"/>
        <grouping val="clustered"/>
        <ser>
          <idx val="0"/>
          <order val="0"/>
          <spPr>
            <a:ln xmlns:a="http://schemas.openxmlformats.org/drawingml/2006/main">
              <a:prstDash val="solid"/>
            </a:ln>
          </spPr>
          <cat>
            <numRef>
              <f>'Halcyon'!$D$5:$Y$5</f>
            </numRef>
          </cat>
          <val>
            <numRef>
              <f>'Halcyon'!$D$10:$Y$10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 Type="http://schemas.openxmlformats.org/officeDocument/2006/relationships/chart" Target="/xl/charts/chart3.xml" Id="rId2"/></Relationships>
</file>

<file path=xl/drawings/_rels/drawing3.xml.rels><Relationships xmlns="http://schemas.openxmlformats.org/package/2006/relationships"><Relationship Type="http://schemas.openxmlformats.org/officeDocument/2006/relationships/chart" Target="/xl/charts/chart4.xml" Id="rId1"/></Relationships>
</file>

<file path=xl/drawings/_rels/drawing4.xml.rels><Relationships xmlns="http://schemas.openxmlformats.org/package/2006/relationships"><Relationship Type="http://schemas.openxmlformats.org/officeDocument/2006/relationships/chart" Target="/xl/charts/chart5.xml" Id="rId1"/></Relationships>
</file>

<file path=xl/drawings/_rels/drawing5.xml.rels><Relationships xmlns="http://schemas.openxmlformats.org/package/2006/relationships"><Relationship Type="http://schemas.openxmlformats.org/officeDocument/2006/relationships/chart" Target="/xl/charts/chart6.xml" Id="rId1"/><Relationship Type="http://schemas.openxmlformats.org/officeDocument/2006/relationships/chart" Target="/xl/charts/chart7.xml" Id="rId2"/></Relationships>
</file>

<file path=xl/drawings/_rels/drawing6.xml.rels><Relationships xmlns="http://schemas.openxmlformats.org/package/2006/relationships"><Relationship Type="http://schemas.openxmlformats.org/officeDocument/2006/relationships/chart" Target="/xl/charts/chart8.xml" Id="rId1"/></Relationships>
</file>

<file path=xl/drawings/_rels/drawing7.xml.rels><Relationships xmlns="http://schemas.openxmlformats.org/package/2006/relationships"><Relationship Type="http://schemas.openxmlformats.org/officeDocument/2006/relationships/chart" Target="/xl/charts/chart9.xml" Id="rId1"/></Relationships>
</file>

<file path=xl/drawings/drawing1.xml><?xml version="1.0" encoding="utf-8"?>
<wsDr xmlns="http://schemas.openxmlformats.org/drawingml/2006/spreadsheetDrawing">
  <oneCellAnchor>
    <from>
      <col>4</col>
      <colOff>0</colOff>
      <row>33</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15</col>
      <colOff>0</colOff>
      <row>3</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15</col>
      <colOff>0</colOff>
      <row>21</row>
      <rowOff>0</rowOff>
    </from>
    <ext cx="648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3.xml><?xml version="1.0" encoding="utf-8"?>
<wsDr xmlns="http://schemas.openxmlformats.org/drawingml/2006/spreadsheetDrawing">
  <oneCellAnchor>
    <from>
      <col>1</col>
      <colOff>0</colOff>
      <row>66</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4</col>
      <colOff>0</colOff>
      <row>29</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5</col>
      <colOff>0</colOff>
      <row>77</row>
      <rowOff>0</rowOff>
    </from>
    <ext cx="93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5</col>
      <colOff>0</colOff>
      <row>56</row>
      <rowOff>0</rowOff>
    </from>
    <ext cx="504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6.xml><?xml version="1.0" encoding="utf-8"?>
<wsDr xmlns="http://schemas.openxmlformats.org/drawingml/2006/spreadsheetDrawing">
  <oneCellAnchor>
    <from>
      <col>5</col>
      <colOff>0</colOff>
      <row>4</row>
      <rowOff>0</rowOff>
    </from>
    <ext cx="576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7.xml><?xml version="1.0" encoding="utf-8"?>
<wsDr xmlns="http://schemas.openxmlformats.org/drawingml/2006/spreadsheetDrawing">
  <oneCellAnchor>
    <from>
      <col>4</col>
      <colOff>0</colOff>
      <row>27</row>
      <rowOff>0</rowOff>
    </from>
    <ext cx="79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_rels/sheet7.xml.rels><Relationships xmlns="http://schemas.openxmlformats.org/package/2006/relationships"><Relationship Type="http://schemas.openxmlformats.org/officeDocument/2006/relationships/drawing" Target="/xl/drawings/drawing3.xml" Id="rId1"/></Relationships>
</file>

<file path=xl/worksheets/_rels/sheet10.xml.rels><Relationships xmlns="http://schemas.openxmlformats.org/package/2006/relationships"><Relationship Type="http://schemas.openxmlformats.org/officeDocument/2006/relationships/drawing" Target="/xl/drawings/drawing4.xml" Id="rId1"/></Relationships>
</file>

<file path=xl/worksheets/_rels/sheet15.xml.rels><Relationships xmlns="http://schemas.openxmlformats.org/package/2006/relationships"><Relationship Type="http://schemas.openxmlformats.org/officeDocument/2006/relationships/drawing" Target="/xl/drawings/drawing5.xml" Id="rId1"/></Relationships>
</file>

<file path=xl/worksheets/_rels/sheet17.xml.rels><Relationships xmlns="http://schemas.openxmlformats.org/package/2006/relationships"><Relationship Type="http://schemas.openxmlformats.org/officeDocument/2006/relationships/drawing" Target="/xl/drawings/drawing6.xml" Id="rId1"/></Relationships>
</file>

<file path=xl/worksheets/_rels/sheet18.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sheetPr>
  <dimension ref="B2:C36"/>
  <sheetViews>
    <sheetView showGridLines="0" workbookViewId="0">
      <selection activeCell="A1" sqref="A1"/>
    </sheetView>
  </sheetViews>
  <sheetFormatPr baseColWidth="8" defaultRowHeight="15"/>
  <cols>
    <col width="2" customWidth="1" min="1" max="1"/>
    <col width="30" customWidth="1" min="2" max="2"/>
    <col width="120" customWidth="1" min="3" max="3"/>
  </cols>
  <sheetData>
    <row r="2">
      <c r="B2" s="1" t="inlineStr">
        <is>
          <t>The Water Infrastructure Investor: companion workbook</t>
        </is>
      </c>
    </row>
    <row r="3">
      <c r="B3" s="2" t="inlineStr">
        <is>
          <t>Julian R. Sterling. Companion page: julianrsterling.com/water. Every case figure in the book is reproduced here by a live formula.</t>
        </is>
      </c>
    </row>
    <row r="5" ht="60" customHeight="1">
      <c r="B5" s="3" t="inlineStr">
        <is>
          <t>Disclaimer</t>
        </is>
      </c>
      <c r="C5" s="4" t="inlineStr">
        <is>
          <t>Fictional case. Brannock, Pell River, Corliss, Fennick, Sorrel Bay, the Authority, Kestle, Halcyon Ridge and Northvale Digital do not exist. Inputs are illustrative teaching assumptions, not market data. Regulatory mechanics are case assumptions that resemble common US practice; rules differ by state and change (see the dates in the book). Provided as is, without warranty. Not investment, legal, tax, accounting or engineering advice.</t>
        </is>
      </c>
    </row>
    <row r="6" ht="30" customHeight="1">
      <c r="B6" s="3" t="inlineStr">
        <is>
          <t>How to use</t>
        </is>
      </c>
      <c r="C6" s="4" t="inlineStr">
        <is>
          <t>Blue type is an input and lives only on Inputs. Black type is a formula. No macro, no circular reference, no external link. Change a switch on Inputs, read Deal, SB_Finance or Sensitivities, then reset it. Checks should read ALL CHECKS OK on the default inputs.</t>
        </is>
      </c>
    </row>
    <row r="7" ht="90" customHeight="1">
      <c r="B7" s="3" t="inlineStr">
        <is>
          <t>Case names</t>
        </is>
      </c>
      <c r="C7" s="4" t="inlineStr">
        <is>
          <t>buyer: Brannock Core Infrastructure Fund III ("Brannock"), a core infrastructure fund; utility: Pell River Water Company ("Pell River"), a state-regulated investor-owned water and wastewater utility; seller: Corliss Utilities Group ("Corliss"), a diversified utility holding company selling a non-core subsidiary; regulator: the state utility commission ("the commission"); town system bought at fair market value: the Town of Fennick ("Fennick"); desalination plant: Sorrel Bay Desalination Plant ("Sorrel Bay"), project company Sorrel Bay Water LLC; procuring authority and offtaker: Tidewell Regional Water Authority ("the Authority"); developer, builder and operator partner: Kestle Water Systems ("Kestle"); data center campus: Halcyon Ridge, developed by Northvale Digital; all fictional, no state or country named</t>
        </is>
      </c>
    </row>
    <row r="8" ht="60" customHeight="1">
      <c r="B8" s="3" t="inlineStr">
        <is>
          <t>Case timeline</t>
        </is>
      </c>
      <c r="C8" s="4" t="inlineStr">
        <is>
          <t>Corliss launches the sale in 2026; Brannock signs on 31 March 2027; the commission approves the change of control in November 2027; closing and valuation date 31 December 2027; hold 2028 to 2037; modeled exit 31 December 2037. Sorrel Bay: preferred bidder and financial close end of 2027, construction 2028 and 2029, commercial operation 1 January 2030, operations 2030 to 2059, transfer to the Authority at the end of 2059</t>
        </is>
      </c>
    </row>
    <row r="9" ht="30" customHeight="1">
      <c r="B9" s="3" t="inlineStr">
        <is>
          <t>Conventions</t>
        </is>
      </c>
      <c r="C9" s="4" t="inlineStr">
        <is>
          <t>year-end cash flows; valuation date 31 December 2027 (t = 0) for both assets; nominal dollars; Pell River after a 25 percent composite income tax; Sorrel Bay pre-tax; amounts at or above $100 million without decimals, below $100 million with one decimal unless shown otherwise</t>
        </is>
      </c>
    </row>
    <row r="10" ht="30" customHeight="1">
      <c r="B10" s="3" t="inlineStr">
        <is>
          <t>Units</t>
        </is>
      </c>
      <c r="C10" s="4" t="inlineStr">
        <is>
          <t>1 m3 = 264.2 gallons; 1 acre-foot = 1,233 m3 = 325,851 gallons; 1 MGD (million gallons a day) = 3,785 m3 a day; prices per 1,000 gallons ("per kgal"); Pell River works in gallons, Sorrel Bay in m3 with acre-feet for comparison</t>
        </is>
      </c>
    </row>
    <row r="11" ht="45" customHeight="1">
      <c r="B11" s="3" t="inlineStr">
        <is>
          <t>Sb contract</t>
        </is>
      </c>
      <c r="C11" s="4" t="inlineStr">
        <is>
          <t>build-operate-transfer: Sorrel Bay Water LLC designs, finances, builds and operates the plant for 30 years from 1 January 2030 under a water purchase agreement with the Authority, then transfers it at no cost at the end of 2059; Kestle builds under a fixed-price, date-certain contract and operates under a long-term O&amp;M contract; delay damages cover 70 percent of lost capacity payments</t>
        </is>
      </c>
    </row>
    <row r="13">
      <c r="B13" s="3" t="inlineStr">
        <is>
          <t>Sheet map</t>
        </is>
      </c>
    </row>
    <row r="14">
      <c r="B14" s="2" t="inlineStr">
        <is>
          <t>Inputs</t>
        </is>
      </c>
      <c r="C14" s="2" t="inlineStr">
        <is>
          <t>every assumption, the switches and the scenario definitions</t>
        </is>
      </c>
    </row>
    <row r="15">
      <c r="B15" s="2" t="inlineStr">
        <is>
          <t>System</t>
        </is>
      </c>
      <c r="C15" s="2" t="inlineStr">
        <is>
          <t>connections, mains, non-revenue water, energy (chapters 2, 13, 14)</t>
        </is>
      </c>
    </row>
    <row r="16">
      <c r="B16" s="2" t="inlineStr">
        <is>
          <t>Capex</t>
        </is>
      </c>
      <c r="C16" s="2" t="inlineStr">
        <is>
          <t>capital plan, PFAS and lead (chapters 2, 9)</t>
        </is>
      </c>
    </row>
    <row r="17">
      <c r="B17" s="2" t="inlineStr">
        <is>
          <t>RateCase</t>
        </is>
      </c>
      <c r="C17" s="2" t="inlineStr">
        <is>
          <t>the five rate cases and the tax gross-up (chapter 3)</t>
        </is>
      </c>
    </row>
    <row r="18">
      <c r="B18" s="2" t="inlineStr">
        <is>
          <t>Utility</t>
        </is>
      </c>
      <c r="C18" s="2" t="inlineStr">
        <is>
          <t>Pell River year by year: revenue, DSIC, costs, rate base, debt, earned ROE, cash (chapters 3, 11)</t>
        </is>
      </c>
    </row>
    <row r="19">
      <c r="B19" s="2" t="inlineStr">
        <is>
          <t>Deal</t>
        </is>
      </c>
      <c r="C19" s="2" t="inlineStr">
        <is>
          <t>price build, Brannock's flows, IRR, price at the target, DCF cross-check, exit table (chapters 11, 15)</t>
        </is>
      </c>
    </row>
    <row r="20">
      <c r="B20" s="2" t="inlineStr">
        <is>
          <t>Sensitivities</t>
        </is>
      </c>
      <c r="C20" s="2" t="inlineStr">
        <is>
          <t>every sensitivity of the book in one table (chapters 9, 10, 11, 14)</t>
        </is>
      </c>
    </row>
    <row r="21">
      <c r="B21" s="2" t="inlineStr">
        <is>
          <t>Credit</t>
        </is>
      </c>
      <c r="C21" s="2" t="inlineStr">
        <is>
          <t>FFO to debt and holding company cover (chapter 12)</t>
        </is>
      </c>
    </row>
    <row r="22">
      <c r="B22" s="2" t="inlineStr">
        <is>
          <t>Bills</t>
        </is>
      </c>
      <c r="C22" s="2" t="inlineStr">
        <is>
          <t>bills, income and affordability (chapter 10)</t>
        </is>
      </c>
    </row>
    <row r="23">
      <c r="B23" s="2" t="inlineStr">
        <is>
          <t>Fennick</t>
        </is>
      </c>
      <c r="C23" s="2" t="inlineStr">
        <is>
          <t>fair market value purchase and concession (chapters 3, 4, 15)</t>
        </is>
      </c>
    </row>
    <row r="24">
      <c r="B24" s="2" t="inlineStr">
        <is>
          <t>DD</t>
        </is>
      </c>
      <c r="C24" s="2" t="inlineStr">
        <is>
          <t>diligence bridge, bids and findings (chapter 14)</t>
        </is>
      </c>
    </row>
    <row r="25">
      <c r="B25" s="2" t="inlineStr">
        <is>
          <t>Exit</t>
        </is>
      </c>
      <c r="C25" s="2" t="inlineStr">
        <is>
          <t>partial and full exit (chapter 15)</t>
        </is>
      </c>
    </row>
    <row r="26">
      <c r="B26" s="2" t="inlineStr">
        <is>
          <t>SB_Capex</t>
        </is>
      </c>
      <c r="C26" s="2" t="inlineStr">
        <is>
          <t>Sorrel Bay plant and capital cost (chapters 5, 6)</t>
        </is>
      </c>
    </row>
    <row r="27">
      <c r="B27" s="2" t="inlineStr">
        <is>
          <t>SB_Ops</t>
        </is>
      </c>
      <c r="C27" s="2" t="inlineStr">
        <is>
          <t>Sorrel Bay operations, debt service, payment mechanism and wet year (chapters 6, 11)</t>
        </is>
      </c>
    </row>
    <row r="28">
      <c r="B28" s="2" t="inlineStr">
        <is>
          <t>SB_Finance</t>
        </is>
      </c>
      <c r="C28" s="2" t="inlineStr">
        <is>
          <t>debt sizing, returns, capacity charge bisection, bid, sell-down (chapters 6, 11, 12)</t>
        </is>
      </c>
    </row>
    <row r="29">
      <c r="B29" s="2" t="inlineStr">
        <is>
          <t>SB_Authority</t>
        </is>
      </c>
      <c r="C29" s="2" t="inlineStr">
        <is>
          <t>the Authority's view: tariff, levelized cost, public alternative, imported water (chapters 6, 12)</t>
        </is>
      </c>
    </row>
    <row r="30">
      <c r="B30" s="2" t="inlineStr">
        <is>
          <t>Halcyon</t>
        </is>
      </c>
      <c r="C30" s="2" t="inlineStr">
        <is>
          <t>reclaimed water contract (chapter 7)</t>
        </is>
      </c>
    </row>
    <row r="31">
      <c r="B31" s="2" t="inlineStr">
        <is>
          <t>WaterRights</t>
        </is>
      </c>
      <c r="C31" s="2" t="inlineStr">
        <is>
          <t>buy or lease (chapter 8)</t>
        </is>
      </c>
    </row>
    <row r="32">
      <c r="B32" s="2" t="inlineStr">
        <is>
          <t>CostOfCapital</t>
        </is>
      </c>
      <c r="C32" s="2" t="inlineStr">
        <is>
          <t>investor-owned versus municipal (chapters 1, 12)</t>
        </is>
      </c>
    </row>
    <row r="33">
      <c r="B33" s="2" t="inlineStr">
        <is>
          <t>Scenarios</t>
        </is>
      </c>
      <c r="C33" s="2" t="inlineStr">
        <is>
          <t>full reruns of the model behind each sensitivity (do not edit)</t>
        </is>
      </c>
    </row>
    <row r="34">
      <c r="B34" s="2" t="inlineStr">
        <is>
          <t>Checks</t>
        </is>
      </c>
      <c r="C34" s="2" t="inlineStr">
        <is>
          <t>every _FACTS figure of the book against its formula, and integrity tests</t>
        </is>
      </c>
    </row>
    <row r="36">
      <c r="B36" s="3" t="inlineStr">
        <is>
          <t>Basis and units</t>
        </is>
      </c>
      <c r="C36" s="4" t="inlineStr">
        <is>
          <t>Pell River: after a 25 percent composite income tax, gallons and MGD, $ million. Sorrel Bay: pre-tax, m3, $ million, tariffs in $ per m3 with $ per acre-foot and $ per 1,000 gallons beside them. Halcyon Ridge: before tax.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F27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66" customWidth="1" min="2" max="2"/>
    <col width="14" customWidth="1" min="3" max="3"/>
    <col width="22" customWidth="1" min="4" max="4"/>
    <col width="22" customWidth="1" min="5" max="5"/>
    <col width="26" customWidth="1" min="6" max="6"/>
  </cols>
  <sheetData>
    <row r="2">
      <c r="B2" s="1" t="inlineStr">
        <is>
          <t>Inputs: every assumption of the case (blue type = change me)</t>
        </is>
      </c>
    </row>
    <row r="3">
      <c r="B3" s="5" t="inlineStr">
        <is>
          <t>Amounts in $ million unless the unit says otherwise. Column F gives the range name used in the formulas.</t>
        </is>
      </c>
    </row>
    <row r="4">
      <c r="C4" s="3" t="inlineStr">
        <is>
          <t>Value</t>
        </is>
      </c>
      <c r="D4" s="3" t="inlineStr">
        <is>
          <t>Unit</t>
        </is>
      </c>
      <c r="F4" s="3" t="inlineStr">
        <is>
          <t>Range name</t>
        </is>
      </c>
    </row>
    <row r="6">
      <c r="B6" s="6" t="inlineStr">
        <is>
          <t>Pell River: the system (chapters 2, 13, 14)</t>
        </is>
      </c>
      <c r="C6" s="7" t="n"/>
      <c r="D6" s="7" t="n"/>
      <c r="E6" s="7" t="n"/>
      <c r="F6" s="7" t="n"/>
    </row>
    <row r="7">
      <c r="B7" s="2" t="inlineStr">
        <is>
          <t>Closing and valuation date (31 December of)</t>
        </is>
      </c>
      <c r="C7" s="8" t="n">
        <v>2027</v>
      </c>
      <c r="D7" s="5" t="inlineStr">
        <is>
          <t>year</t>
        </is>
      </c>
      <c r="F7" s="5" t="inlineStr">
        <is>
          <t>pr_close</t>
        </is>
      </c>
    </row>
    <row r="8">
      <c r="B8" s="2" t="inlineStr">
        <is>
          <t>Last year of the hold (exit on 31 December)</t>
        </is>
      </c>
      <c r="C8" s="8" t="n">
        <v>2037</v>
      </c>
      <c r="D8" s="5" t="inlineStr">
        <is>
          <t>year</t>
        </is>
      </c>
      <c r="F8" s="5" t="inlineStr">
        <is>
          <t>pr_last</t>
        </is>
      </c>
    </row>
    <row r="9">
      <c r="B9" s="2" t="inlineStr">
        <is>
          <t>Water connections at closing</t>
        </is>
      </c>
      <c r="C9" s="9" t="n">
        <v>205000</v>
      </c>
      <c r="D9" s="5" t="inlineStr">
        <is>
          <t>connections</t>
        </is>
      </c>
      <c r="F9" s="5" t="inlineStr">
        <is>
          <t>pr_water_conn</t>
        </is>
      </c>
    </row>
    <row r="10">
      <c r="B10" s="2" t="inlineStr">
        <is>
          <t>Wastewater connections at closing</t>
        </is>
      </c>
      <c r="C10" s="9" t="n">
        <v>65000</v>
      </c>
      <c r="D10" s="5" t="inlineStr">
        <is>
          <t>connections</t>
        </is>
      </c>
      <c r="F10" s="5" t="inlineStr">
        <is>
          <t>pr_ww_conn</t>
        </is>
      </c>
    </row>
    <row r="11">
      <c r="B11" s="2" t="inlineStr">
        <is>
          <t>Connection growth a year (switch)</t>
        </is>
      </c>
      <c r="C11" s="10" t="n">
        <v>0.008</v>
      </c>
      <c r="D11" s="5" t="inlineStr">
        <is>
          <t>a year</t>
        </is>
      </c>
      <c r="F11" s="5" t="inlineStr">
        <is>
          <t>pr_growth</t>
        </is>
      </c>
    </row>
    <row r="12">
      <c r="B12" s="2" t="inlineStr">
        <is>
          <t>Population served</t>
        </is>
      </c>
      <c r="C12" s="9" t="n">
        <v>610000</v>
      </c>
      <c r="D12" s="5" t="inlineStr">
        <is>
          <t>people</t>
        </is>
      </c>
      <c r="F12" s="5" t="inlineStr">
        <is>
          <t>pr_population</t>
        </is>
      </c>
    </row>
    <row r="13">
      <c r="B13" s="2" t="inlineStr">
        <is>
          <t>Miles of water main</t>
        </is>
      </c>
      <c r="C13" s="9" t="n">
        <v>3600</v>
      </c>
      <c r="D13" s="5" t="inlineStr">
        <is>
          <t>miles</t>
        </is>
      </c>
      <c r="F13" s="5" t="inlineStr">
        <is>
          <t>pr_mains_miles</t>
        </is>
      </c>
    </row>
    <row r="14">
      <c r="B14" s="2" t="inlineStr">
        <is>
          <t>Average age of mains</t>
        </is>
      </c>
      <c r="C14" s="9" t="n">
        <v>54</v>
      </c>
      <c r="D14" s="5" t="inlineStr">
        <is>
          <t>years</t>
        </is>
      </c>
      <c r="F14" s="5" t="inlineStr">
        <is>
          <t>pr_mains_age</t>
        </is>
      </c>
    </row>
    <row r="15">
      <c r="B15" s="2" t="inlineStr">
        <is>
          <t>Main breaks per 100 miles (2027)</t>
        </is>
      </c>
      <c r="C15" s="11" t="n">
        <v>21</v>
      </c>
      <c r="D15" s="5" t="inlineStr">
        <is>
          <t>per 100 miles</t>
        </is>
      </c>
      <c r="F15" s="5" t="inlineStr">
        <is>
          <t>pr_breaks</t>
        </is>
      </c>
    </row>
    <row r="16">
      <c r="B16" s="2" t="inlineStr">
        <is>
          <t>Share of mains replaced a year under Corliss (2022 to 2026)</t>
        </is>
      </c>
      <c r="C16" s="12" t="n">
        <v>0.0055</v>
      </c>
      <c r="D16" s="5" t="inlineStr">
        <is>
          <t>a year</t>
        </is>
      </c>
      <c r="F16" s="5" t="inlineStr">
        <is>
          <t>pr_hist_renewal</t>
        </is>
      </c>
    </row>
    <row r="17">
      <c r="B17" s="2" t="inlineStr">
        <is>
          <t>Groundwater wells</t>
        </is>
      </c>
      <c r="C17" s="9" t="n">
        <v>62</v>
      </c>
      <c r="D17" s="5" t="inlineStr">
        <is>
          <t>wells</t>
        </is>
      </c>
      <c r="F17" s="5" t="inlineStr">
        <is>
          <t>pr_wells</t>
        </is>
      </c>
    </row>
    <row r="18">
      <c r="B18" s="2" t="inlineStr">
        <is>
          <t>Wells above 4 ppt PFOA or PFOS</t>
        </is>
      </c>
      <c r="C18" s="9" t="n">
        <v>14</v>
      </c>
      <c r="D18" s="5" t="inlineStr">
        <is>
          <t>wells</t>
        </is>
      </c>
      <c r="F18" s="5" t="inlineStr">
        <is>
          <t>pr_wells_pfas</t>
        </is>
      </c>
    </row>
    <row r="19">
      <c r="B19" s="2" t="inlineStr">
        <is>
          <t>Water produced in 2027</t>
        </is>
      </c>
      <c r="C19" s="11" t="n">
        <v>76</v>
      </c>
      <c r="D19" s="5" t="inlineStr">
        <is>
          <t>MGD</t>
        </is>
      </c>
      <c r="F19" s="5" t="inlineStr">
        <is>
          <t>pr_produced</t>
        </is>
      </c>
    </row>
    <row r="20">
      <c r="B20" s="2" t="inlineStr">
        <is>
          <t>Non-revenue water, share of production, 2027</t>
        </is>
      </c>
      <c r="C20" s="10" t="n">
        <v>0.185</v>
      </c>
      <c r="D20" s="5" t="inlineStr">
        <is>
          <t>share</t>
        </is>
      </c>
      <c r="F20" s="5" t="inlineStr">
        <is>
          <t>pr_nrw_2027</t>
        </is>
      </c>
    </row>
    <row r="21">
      <c r="B21" s="2" t="inlineStr">
        <is>
          <t>Non-revenue water target</t>
        </is>
      </c>
      <c r="C21" s="10" t="n">
        <v>0.13</v>
      </c>
      <c r="D21" s="5" t="inlineStr">
        <is>
          <t>share</t>
        </is>
      </c>
      <c r="F21" s="5" t="inlineStr">
        <is>
          <t>pr_nrw_target</t>
        </is>
      </c>
    </row>
    <row r="22">
      <c r="B22" s="2" t="inlineStr">
        <is>
          <t>Years to reach the target (linear)</t>
        </is>
      </c>
      <c r="C22" s="9" t="n">
        <v>6</v>
      </c>
      <c r="D22" s="5" t="inlineStr">
        <is>
          <t>years</t>
        </is>
      </c>
      <c r="F22" s="5" t="inlineStr">
        <is>
          <t>pr_nrw_years</t>
        </is>
      </c>
    </row>
    <row r="23">
      <c r="B23" s="2" t="inlineStr">
        <is>
          <t>Marginal production cost, 2028</t>
        </is>
      </c>
      <c r="C23" s="13" t="n">
        <v>1.15</v>
      </c>
      <c r="D23" s="5" t="inlineStr">
        <is>
          <t>$ per 1,000 gallons</t>
        </is>
      </c>
      <c r="F23" s="5" t="inlineStr">
        <is>
          <t>pr_marg_cost</t>
        </is>
      </c>
    </row>
    <row r="24">
      <c r="B24" s="2" t="inlineStr">
        <is>
          <t>Marginal production cost escalation</t>
        </is>
      </c>
      <c r="C24" s="10" t="n">
        <v>0.025</v>
      </c>
      <c r="D24" s="5" t="inlineStr">
        <is>
          <t>a year</t>
        </is>
      </c>
      <c r="F24" s="5" t="inlineStr">
        <is>
          <t>pr_marg_esc</t>
        </is>
      </c>
    </row>
    <row r="25">
      <c r="B25" s="2" t="inlineStr">
        <is>
          <t>Energy, water side</t>
        </is>
      </c>
      <c r="C25" s="9" t="n">
        <v>2400</v>
      </c>
      <c r="D25" s="5" t="inlineStr">
        <is>
          <t>kWh per million gallons</t>
        </is>
      </c>
      <c r="F25" s="5" t="inlineStr">
        <is>
          <t>pr_kwh_mg</t>
        </is>
      </c>
    </row>
    <row r="26">
      <c r="B26" s="2" t="inlineStr">
        <is>
          <t>Grid emission factor (case)</t>
        </is>
      </c>
      <c r="C26" s="13" t="n">
        <v>0.37</v>
      </c>
      <c r="D26" s="5" t="inlineStr">
        <is>
          <t>t CO2 per MWh</t>
        </is>
      </c>
      <c r="F26" s="5" t="inlineStr">
        <is>
          <t>pr_grid</t>
        </is>
      </c>
    </row>
    <row r="28">
      <c r="B28" s="6" t="inlineStr">
        <is>
          <t>Pell River: rate base and regulation (chapter 3)</t>
        </is>
      </c>
      <c r="C28" s="7" t="n"/>
      <c r="D28" s="7" t="n"/>
      <c r="E28" s="7" t="n"/>
      <c r="F28" s="7" t="n"/>
    </row>
    <row r="29">
      <c r="B29" s="2" t="inlineStr">
        <is>
          <t>Rate base at 31 December 2027</t>
        </is>
      </c>
      <c r="C29" s="11" t="n">
        <v>1150</v>
      </c>
      <c r="D29" s="5" t="inlineStr">
        <is>
          <t>$ million</t>
        </is>
      </c>
      <c r="F29" s="5" t="inlineStr">
        <is>
          <t>pr_rb0</t>
        </is>
      </c>
    </row>
    <row r="30">
      <c r="B30" s="2" t="inlineStr">
        <is>
          <t>Authorized equity share of capital structure</t>
        </is>
      </c>
      <c r="C30" s="10" t="n">
        <v>0.5</v>
      </c>
      <c r="D30" s="5" t="inlineStr">
        <is>
          <t>share</t>
        </is>
      </c>
      <c r="F30" s="5" t="inlineStr">
        <is>
          <t>pr_eq</t>
        </is>
      </c>
    </row>
    <row r="31">
      <c r="B31" s="2" t="inlineStr">
        <is>
          <t>Authorized return on equity (switch)</t>
        </is>
      </c>
      <c r="C31" s="12" t="n">
        <v>0.096</v>
      </c>
      <c r="D31" s="5" t="inlineStr">
        <is>
          <t>after tax</t>
        </is>
      </c>
      <c r="F31" s="5" t="inlineStr">
        <is>
          <t>pr_roe</t>
        </is>
      </c>
    </row>
    <row r="32">
      <c r="B32" s="2" t="inlineStr">
        <is>
          <t>Return on equity requested in each rate case</t>
        </is>
      </c>
      <c r="C32" s="12" t="n">
        <v>0.1025</v>
      </c>
      <c r="D32" s="5" t="inlineStr">
        <is>
          <t>after tax</t>
        </is>
      </c>
      <c r="F32" s="5" t="inlineStr">
        <is>
          <t>pr_roe_ask</t>
        </is>
      </c>
    </row>
    <row r="33">
      <c r="B33" s="2" t="inlineStr">
        <is>
          <t>Embedded cost of existing debt at closing</t>
        </is>
      </c>
      <c r="C33" s="12" t="n">
        <v>0.046</v>
      </c>
      <c r="D33" s="5" t="inlineStr">
        <is>
          <t>a year</t>
        </is>
      </c>
      <c r="F33" s="5" t="inlineStr">
        <is>
          <t>pr_kd_old</t>
        </is>
      </c>
    </row>
    <row r="34">
      <c r="B34" s="2" t="inlineStr">
        <is>
          <t>Coupon on new bonds (switch)</t>
        </is>
      </c>
      <c r="C34" s="12" t="n">
        <v>0.056</v>
      </c>
      <c r="D34" s="5" t="inlineStr">
        <is>
          <t>a year</t>
        </is>
      </c>
      <c r="F34" s="5" t="inlineStr">
        <is>
          <t>pr_kd_new</t>
        </is>
      </c>
    </row>
    <row r="35">
      <c r="B35" s="2" t="inlineStr">
        <is>
          <t>Share of the original bonds maturing each year</t>
        </is>
      </c>
      <c r="C35" s="10" t="n">
        <v>0.04</v>
      </c>
      <c r="D35" s="5" t="inlineStr">
        <is>
          <t>a year</t>
        </is>
      </c>
      <c r="F35" s="5" t="inlineStr">
        <is>
          <t>pr_amort</t>
        </is>
      </c>
    </row>
    <row r="36">
      <c r="B36" s="2" t="inlineStr">
        <is>
          <t>Composite federal and state income tax rate</t>
        </is>
      </c>
      <c r="C36" s="10" t="n">
        <v>0.25</v>
      </c>
      <c r="D36" s="5" t="inlineStr">
        <is>
          <t>share</t>
        </is>
      </c>
      <c r="F36" s="5" t="inlineStr">
        <is>
          <t>pr_tax</t>
        </is>
      </c>
    </row>
    <row r="37">
      <c r="B37" s="2" t="inlineStr">
        <is>
          <t>Regulatory depreciation, share of opening rate base</t>
        </is>
      </c>
      <c r="C37" s="10" t="n">
        <v>0.03</v>
      </c>
      <c r="D37" s="5" t="inlineStr">
        <is>
          <t>a year</t>
        </is>
      </c>
      <c r="F37" s="5" t="inlineStr">
        <is>
          <t>pr_dep</t>
        </is>
      </c>
    </row>
    <row r="38">
      <c r="B38" s="2" t="inlineStr">
        <is>
          <t>Property and other taxes, share of opening rate base</t>
        </is>
      </c>
      <c r="C38" s="10" t="n">
        <v>0.012</v>
      </c>
      <c r="D38" s="5" t="inlineStr">
        <is>
          <t>a year</t>
        </is>
      </c>
      <c r="F38" s="5" t="inlineStr">
        <is>
          <t>pr_ptax</t>
        </is>
      </c>
    </row>
    <row r="39">
      <c r="B39" s="2" t="inlineStr">
        <is>
          <t>Operation and maintenance, 2028 (base system)</t>
        </is>
      </c>
      <c r="C39" s="11" t="n">
        <v>96</v>
      </c>
      <c r="D39" s="5" t="inlineStr">
        <is>
          <t>$ million</t>
        </is>
      </c>
      <c r="F39" s="5" t="inlineStr">
        <is>
          <t>pr_om_2028</t>
        </is>
      </c>
    </row>
    <row r="40">
      <c r="B40" s="2" t="inlineStr">
        <is>
          <t>O&amp;M inflation per connection (switch)</t>
        </is>
      </c>
      <c r="C40" s="10" t="n">
        <v>0.03</v>
      </c>
      <c r="D40" s="5" t="inlineStr">
        <is>
          <t>a year</t>
        </is>
      </c>
      <c r="F40" s="5" t="inlineStr">
        <is>
          <t>pr_om_infl</t>
        </is>
      </c>
    </row>
    <row r="41">
      <c r="B41" s="2" t="inlineStr">
        <is>
          <t>Revenue at the rates in effect at closing (2028 volumes)</t>
        </is>
      </c>
      <c r="C41" s="11" t="n">
        <v>243</v>
      </c>
      <c r="D41" s="5" t="inlineStr">
        <is>
          <t>$ million</t>
        </is>
      </c>
      <c r="F41" s="5" t="inlineStr">
        <is>
          <t>pr_rev_2028</t>
        </is>
      </c>
    </row>
    <row r="42">
      <c r="B42" s="2" t="inlineStr">
        <is>
          <t>Volumetric share of revenue</t>
        </is>
      </c>
      <c r="C42" s="10" t="n">
        <v>0.6</v>
      </c>
      <c r="D42" s="5" t="inlineStr">
        <is>
          <t>share</t>
        </is>
      </c>
      <c r="F42" s="5" t="inlineStr">
        <is>
          <t>pr_vol_share</t>
        </is>
      </c>
    </row>
    <row r="43">
      <c r="B43" s="2" t="inlineStr">
        <is>
          <t>Fall in use per connection a year (switch)</t>
        </is>
      </c>
      <c r="C43" s="10" t="n">
        <v>0.01</v>
      </c>
      <c r="D43" s="5" t="inlineStr">
        <is>
          <t>a year</t>
        </is>
      </c>
      <c r="F43" s="5" t="inlineStr">
        <is>
          <t>pr_usage</t>
        </is>
      </c>
    </row>
    <row r="44">
      <c r="B44" s="2" t="inlineStr">
        <is>
          <t>Decoupling: 1 = volumes trued up, 0 = none (switch)</t>
        </is>
      </c>
      <c r="C44" s="8" t="n">
        <v>0</v>
      </c>
      <c r="D44" s="5" t="inlineStr">
        <is>
          <t>1 or 0</t>
        </is>
      </c>
      <c r="F44" s="5" t="inlineStr">
        <is>
          <t>pr_decoupling</t>
        </is>
      </c>
    </row>
    <row r="45">
      <c r="B45" s="2" t="inlineStr">
        <is>
          <t>First rate case: rates effective 1 January of</t>
        </is>
      </c>
      <c r="C45" s="8" t="n">
        <v>2029</v>
      </c>
      <c r="D45" s="5" t="inlineStr">
        <is>
          <t>year</t>
        </is>
      </c>
      <c r="F45" s="5" t="inlineStr">
        <is>
          <t>pr_rc_first</t>
        </is>
      </c>
    </row>
    <row r="46">
      <c r="B46" s="2" t="inlineStr">
        <is>
          <t>Rate case cycle (switch: 2 base, 3 slow, 1 annual)</t>
        </is>
      </c>
      <c r="C46" s="8" t="n">
        <v>2</v>
      </c>
      <c r="D46" s="5" t="inlineStr">
        <is>
          <t>years</t>
        </is>
      </c>
      <c r="F46" s="5" t="inlineStr">
        <is>
          <t>pr_rc_cycle</t>
        </is>
      </c>
    </row>
    <row r="47">
      <c r="B47" s="2" t="inlineStr">
        <is>
          <t>Test year = effective year minus (switch: 1 base, 2 old test year)</t>
        </is>
      </c>
      <c r="C47" s="8" t="n">
        <v>1</v>
      </c>
      <c r="D47" s="5" t="inlineStr">
        <is>
          <t>years</t>
        </is>
      </c>
      <c r="F47" s="5" t="inlineStr">
        <is>
          <t>pr_test_lag</t>
        </is>
      </c>
    </row>
    <row r="48">
      <c r="B48" s="2" t="inlineStr">
        <is>
          <t>DSIC: 1 = on, 0 = off (switch)</t>
        </is>
      </c>
      <c r="C48" s="8" t="n">
        <v>1</v>
      </c>
      <c r="D48" s="5" t="inlineStr">
        <is>
          <t>1 or 0</t>
        </is>
      </c>
      <c r="F48" s="5" t="inlineStr">
        <is>
          <t>pr_dsic</t>
        </is>
      </c>
    </row>
    <row r="49">
      <c r="B49" s="2" t="inlineStr">
        <is>
          <t>DSIC cap, share of base revenue (switch)</t>
        </is>
      </c>
      <c r="C49" s="10" t="n">
        <v>0.075</v>
      </c>
      <c r="D49" s="5" t="inlineStr">
        <is>
          <t>share</t>
        </is>
      </c>
      <c r="F49" s="5" t="inlineStr">
        <is>
          <t>pr_dsic_cap</t>
        </is>
      </c>
    </row>
    <row r="51">
      <c r="B51" s="6" t="inlineStr">
        <is>
          <t>Pell River: capital plan, PFAS and lead (chapters 2, 9)</t>
        </is>
      </c>
      <c r="C51" s="7" t="n"/>
      <c r="D51" s="7" t="n"/>
      <c r="E51" s="7" t="n"/>
      <c r="F51" s="7" t="n"/>
    </row>
    <row r="52">
      <c r="B52" s="2" t="inlineStr">
        <is>
          <t>Capital cost escalation from 2028</t>
        </is>
      </c>
      <c r="C52" s="10" t="n">
        <v>0.03</v>
      </c>
      <c r="D52" s="5" t="inlineStr">
        <is>
          <t>a year</t>
        </is>
      </c>
      <c r="F52" s="5" t="inlineStr">
        <is>
          <t>pr_capex_esc</t>
        </is>
      </c>
    </row>
    <row r="53">
      <c r="B53" s="2" t="inlineStr">
        <is>
          <t>Mains replaced a year, share of the network</t>
        </is>
      </c>
      <c r="C53" s="10" t="n">
        <v>0.01</v>
      </c>
      <c r="D53" s="5" t="inlineStr">
        <is>
          <t>a year</t>
        </is>
      </c>
      <c r="F53" s="5" t="inlineStr">
        <is>
          <t>pr_renewal</t>
        </is>
      </c>
    </row>
    <row r="54">
      <c r="B54" s="2" t="inlineStr">
        <is>
          <t>Cost per mile of main, 2028</t>
        </is>
      </c>
      <c r="C54" s="13" t="n">
        <v>1.9</v>
      </c>
      <c r="D54" s="5" t="inlineStr">
        <is>
          <t>$ million</t>
        </is>
      </c>
      <c r="F54" s="5" t="inlineStr">
        <is>
          <t>pr_cost_mile</t>
        </is>
      </c>
    </row>
    <row r="55">
      <c r="B55" s="2" t="inlineStr">
        <is>
          <t>Treatment, storage, meters, IT and growth, 2028</t>
        </is>
      </c>
      <c r="C55" s="11" t="n">
        <v>24</v>
      </c>
      <c r="D55" s="5" t="inlineStr">
        <is>
          <t>$ million</t>
        </is>
      </c>
      <c r="F55" s="5" t="inlineStr">
        <is>
          <t>pr_other_capex</t>
        </is>
      </c>
    </row>
    <row r="56">
      <c r="B56" s="2" t="inlineStr">
        <is>
          <t>First year of PFAS treatment spending</t>
        </is>
      </c>
      <c r="C56" s="8" t="n">
        <v>2028</v>
      </c>
      <c r="D56" s="5" t="inlineStr">
        <is>
          <t>year</t>
        </is>
      </c>
      <c r="F56" s="5" t="inlineStr">
        <is>
          <t>pr_pfas_y1</t>
        </is>
      </c>
    </row>
    <row r="57">
      <c r="B57" s="2" t="inlineStr">
        <is>
          <t>PFAS treatment spending, first year</t>
        </is>
      </c>
      <c r="C57" s="11" t="n">
        <v>20</v>
      </c>
      <c r="D57" s="5" t="inlineStr">
        <is>
          <t>$ million, nominal</t>
        </is>
      </c>
      <c r="F57" s="5" t="inlineStr">
        <is>
          <t>pr_pfas_1</t>
        </is>
      </c>
    </row>
    <row r="58">
      <c r="B58" s="2" t="inlineStr">
        <is>
          <t>PFAS treatment spending, second year</t>
        </is>
      </c>
      <c r="C58" s="11" t="n">
        <v>28</v>
      </c>
      <c r="D58" s="5" t="inlineStr">
        <is>
          <t>$ million, nominal</t>
        </is>
      </c>
      <c r="F58" s="5" t="inlineStr">
        <is>
          <t>pr_pfas_2</t>
        </is>
      </c>
    </row>
    <row r="59">
      <c r="B59" s="2" t="inlineStr">
        <is>
          <t>PFAS treatment spending, third year</t>
        </is>
      </c>
      <c r="C59" s="11" t="n">
        <v>16</v>
      </c>
      <c r="D59" s="5" t="inlineStr">
        <is>
          <t>$ million, nominal</t>
        </is>
      </c>
      <c r="F59" s="5" t="inlineStr">
        <is>
          <t>pr_pfas_3</t>
        </is>
      </c>
    </row>
    <row r="60">
      <c r="B60" s="2" t="inlineStr">
        <is>
          <t>PFAS media replacement and monitoring (2030 dollars)</t>
        </is>
      </c>
      <c r="C60" s="11" t="n">
        <v>3.2</v>
      </c>
      <c r="D60" s="5" t="inlineStr">
        <is>
          <t>$ million a year</t>
        </is>
      </c>
      <c r="F60" s="5" t="inlineStr">
        <is>
          <t>pr_pfas_om</t>
        </is>
      </c>
    </row>
    <row r="61">
      <c r="B61" s="2" t="inlineStr">
        <is>
          <t>PFAS operating cost starts in</t>
        </is>
      </c>
      <c r="C61" s="8" t="n">
        <v>2030</v>
      </c>
      <c r="D61" s="5" t="inlineStr">
        <is>
          <t>year</t>
        </is>
      </c>
      <c r="F61" s="5" t="inlineStr">
        <is>
          <t>pr_pfas_om_y</t>
        </is>
      </c>
    </row>
    <row r="62">
      <c r="B62" s="2" t="inlineStr">
        <is>
          <t>PFAS operating cost escalation</t>
        </is>
      </c>
      <c r="C62" s="10" t="n">
        <v>0.03</v>
      </c>
      <c r="D62" s="5" t="inlineStr">
        <is>
          <t>a year</t>
        </is>
      </c>
      <c r="F62" s="5" t="inlineStr">
        <is>
          <t>pr_pfas_om_esc</t>
        </is>
      </c>
    </row>
    <row r="63">
      <c r="B63" s="2" t="inlineStr">
        <is>
          <t>Manufacturer settlement credited against rate base</t>
        </is>
      </c>
      <c r="C63" s="11" t="n">
        <v>9</v>
      </c>
      <c r="D63" s="5" t="inlineStr">
        <is>
          <t>$ million</t>
        </is>
      </c>
      <c r="F63" s="5" t="inlineStr">
        <is>
          <t>pr_settle</t>
        </is>
      </c>
    </row>
    <row r="64">
      <c r="B64" s="2" t="inlineStr">
        <is>
          <t>Settlement received in</t>
        </is>
      </c>
      <c r="C64" s="8" t="n">
        <v>2029</v>
      </c>
      <c r="D64" s="5" t="inlineStr">
        <is>
          <t>year</t>
        </is>
      </c>
      <c r="F64" s="5" t="inlineStr">
        <is>
          <t>pr_settle_y</t>
        </is>
      </c>
    </row>
    <row r="65">
      <c r="B65" s="2" t="inlineStr">
        <is>
          <t>Lead and galvanized service lines to replace</t>
        </is>
      </c>
      <c r="C65" s="9" t="n">
        <v>11500</v>
      </c>
      <c r="D65" s="5" t="inlineStr">
        <is>
          <t>lines</t>
        </is>
      </c>
      <c r="F65" s="5" t="inlineStr">
        <is>
          <t>pr_lead_lines</t>
        </is>
      </c>
    </row>
    <row r="66">
      <c r="B66" s="2" t="inlineStr">
        <is>
          <t>Cost per line, 2028</t>
        </is>
      </c>
      <c r="C66" s="9" t="n">
        <v>11000</v>
      </c>
      <c r="D66" s="5" t="inlineStr">
        <is>
          <t>$ per line</t>
        </is>
      </c>
      <c r="F66" s="5" t="inlineStr">
        <is>
          <t>pr_lead_cost</t>
        </is>
      </c>
    </row>
    <row r="67">
      <c r="B67" s="2" t="inlineStr">
        <is>
          <t>Replacement program length (from 2028)</t>
        </is>
      </c>
      <c r="C67" s="9" t="n">
        <v>10</v>
      </c>
      <c r="D67" s="5" t="inlineStr">
        <is>
          <t>years</t>
        </is>
      </c>
      <c r="F67" s="5" t="inlineStr">
        <is>
          <t>pr_lead_years</t>
        </is>
      </c>
    </row>
    <row r="68">
      <c r="B68" s="2" t="inlineStr">
        <is>
          <t>Share of the cost on the customer side</t>
        </is>
      </c>
      <c r="C68" s="10" t="n">
        <v>0.55</v>
      </c>
      <c r="D68" s="5" t="inlineStr">
        <is>
          <t>share</t>
        </is>
      </c>
      <c r="F68" s="5" t="inlineStr">
        <is>
          <t>pr_lead_cust</t>
        </is>
      </c>
    </row>
    <row r="70">
      <c r="B70" s="6" t="inlineStr">
        <is>
          <t>Pell River: Fennick (chapters 3, 4, 15)</t>
        </is>
      </c>
      <c r="C70" s="7" t="n"/>
      <c r="D70" s="7" t="n"/>
      <c r="E70" s="7" t="n"/>
      <c r="F70" s="7" t="n"/>
    </row>
    <row r="71">
      <c r="B71" s="2" t="inlineStr">
        <is>
          <t>Fennick purchase: 1 = yes, 0 = no (switch)</t>
        </is>
      </c>
      <c r="C71" s="8" t="n">
        <v>1</v>
      </c>
      <c r="D71" s="5" t="inlineStr">
        <is>
          <t>1 or 0</t>
        </is>
      </c>
      <c r="F71" s="5" t="inlineStr">
        <is>
          <t>pr_fen_on</t>
        </is>
      </c>
    </row>
    <row r="72">
      <c r="B72" s="2" t="inlineStr">
        <is>
          <t>Fennick connections</t>
        </is>
      </c>
      <c r="C72" s="9" t="n">
        <v>12000</v>
      </c>
      <c r="D72" s="5" t="inlineStr">
        <is>
          <t>connections</t>
        </is>
      </c>
      <c r="F72" s="5" t="inlineStr">
        <is>
          <t>pr_fen_conn</t>
        </is>
      </c>
    </row>
    <row r="73">
      <c r="B73" s="2" t="inlineStr">
        <is>
          <t>Fair market value price</t>
        </is>
      </c>
      <c r="C73" s="11" t="n">
        <v>46</v>
      </c>
      <c r="D73" s="5" t="inlineStr">
        <is>
          <t>$ million</t>
        </is>
      </c>
      <c r="F73" s="5" t="inlineStr">
        <is>
          <t>pr_fen_price</t>
        </is>
      </c>
    </row>
    <row r="74">
      <c r="B74" s="2" t="inlineStr">
        <is>
          <t>Depreciated original cost</t>
        </is>
      </c>
      <c r="C74" s="11" t="n">
        <v>27.5</v>
      </c>
      <c r="D74" s="5" t="inlineStr">
        <is>
          <t>$ million</t>
        </is>
      </c>
      <c r="F74" s="5" t="inlineStr">
        <is>
          <t>pr_fen_doc</t>
        </is>
      </c>
    </row>
    <row r="75">
      <c r="B75" s="2" t="inlineStr">
        <is>
          <t>Purchase closes on 31 December of</t>
        </is>
      </c>
      <c r="C75" s="8" t="n">
        <v>2029</v>
      </c>
      <c r="D75" s="5" t="inlineStr">
        <is>
          <t>year</t>
        </is>
      </c>
      <c r="F75" s="5" t="inlineStr">
        <is>
          <t>pr_fen_year</t>
        </is>
      </c>
    </row>
    <row r="76">
      <c r="B76" s="2" t="inlineStr">
        <is>
          <t>Fennick revenue at its old rates (2030)</t>
        </is>
      </c>
      <c r="C76" s="11" t="n">
        <v>8.4</v>
      </c>
      <c r="D76" s="5" t="inlineStr">
        <is>
          <t>$ million</t>
        </is>
      </c>
      <c r="F76" s="5" t="inlineStr">
        <is>
          <t>pr_fen_rev</t>
        </is>
      </c>
    </row>
    <row r="77">
      <c r="B77" s="2" t="inlineStr">
        <is>
          <t>Fennick operating cost (2030)</t>
        </is>
      </c>
      <c r="C77" s="11" t="n">
        <v>3.9</v>
      </c>
      <c r="D77" s="5" t="inlineStr">
        <is>
          <t>$ million</t>
        </is>
      </c>
      <c r="F77" s="5" t="inlineStr">
        <is>
          <t>pr_fen_om</t>
        </is>
      </c>
    </row>
    <row r="78">
      <c r="B78" s="2" t="inlineStr">
        <is>
          <t>Fennick capital spending (2030)</t>
        </is>
      </c>
      <c r="C78" s="11" t="n">
        <v>2.6</v>
      </c>
      <c r="D78" s="5" t="inlineStr">
        <is>
          <t>$ million</t>
        </is>
      </c>
      <c r="F78" s="5" t="inlineStr">
        <is>
          <t>pr_fen_capex</t>
        </is>
      </c>
    </row>
    <row r="79">
      <c r="B79" s="2" t="inlineStr">
        <is>
          <t>Fennick cost escalation</t>
        </is>
      </c>
      <c r="C79" s="10" t="n">
        <v>0.03</v>
      </c>
      <c r="D79" s="5" t="inlineStr">
        <is>
          <t>a year</t>
        </is>
      </c>
      <c r="F79" s="5" t="inlineStr">
        <is>
          <t>pr_fen_esc</t>
        </is>
      </c>
    </row>
    <row r="80">
      <c r="B80" s="2" t="inlineStr">
        <is>
          <t>Concession alternative: term</t>
        </is>
      </c>
      <c r="C80" s="9" t="n">
        <v>40</v>
      </c>
      <c r="D80" s="5" t="inlineStr">
        <is>
          <t>years</t>
        </is>
      </c>
      <c r="F80" s="5" t="inlineStr">
        <is>
          <t>fen_conc_years</t>
        </is>
      </c>
    </row>
    <row r="81">
      <c r="B81" s="2" t="inlineStr">
        <is>
          <t>Concession: inflation</t>
        </is>
      </c>
      <c r="C81" s="10" t="n">
        <v>0.03</v>
      </c>
      <c r="D81" s="5" t="inlineStr">
        <is>
          <t>a year</t>
        </is>
      </c>
      <c r="F81" s="5" t="inlineStr">
        <is>
          <t>fen_conc_infl</t>
        </is>
      </c>
    </row>
    <row r="82">
      <c r="B82" s="2" t="inlineStr">
        <is>
          <t>Concession: real tariff increase</t>
        </is>
      </c>
      <c r="C82" s="10" t="n">
        <v>0.01</v>
      </c>
      <c r="D82" s="5" t="inlineStr">
        <is>
          <t>a year</t>
        </is>
      </c>
      <c r="F82" s="5" t="inlineStr">
        <is>
          <t>fen_conc_real</t>
        </is>
      </c>
    </row>
    <row r="83">
      <c r="B83" s="2" t="inlineStr">
        <is>
          <t>Concessionaire's target return</t>
        </is>
      </c>
      <c r="C83" s="10" t="n">
        <v>0.08500000000000001</v>
      </c>
      <c r="D83" s="5" t="inlineStr">
        <is>
          <t>a year</t>
        </is>
      </c>
      <c r="F83" s="5" t="inlineStr">
        <is>
          <t>fen_conc_irr</t>
        </is>
      </c>
    </row>
    <row r="84">
      <c r="B84" s="2" t="inlineStr">
        <is>
          <t>Concession starts in</t>
        </is>
      </c>
      <c r="C84" s="8" t="n">
        <v>2030</v>
      </c>
      <c r="D84" s="5" t="inlineStr">
        <is>
          <t>year</t>
        </is>
      </c>
      <c r="F84" s="5" t="inlineStr">
        <is>
          <t>fen_conc_start</t>
        </is>
      </c>
    </row>
    <row r="86">
      <c r="B86" s="6" t="inlineStr">
        <is>
          <t>Pell River: the transaction (chapters 11, 15)</t>
        </is>
      </c>
      <c r="C86" s="7" t="n"/>
      <c r="D86" s="7" t="n"/>
      <c r="E86" s="7" t="n"/>
      <c r="F86" s="7" t="n"/>
    </row>
    <row r="87">
      <c r="B87" s="2" t="inlineStr">
        <is>
          <t>Price, multiple of rate base at closing</t>
        </is>
      </c>
      <c r="C87" s="14" t="n">
        <v>1.6</v>
      </c>
      <c r="D87" s="5" t="inlineStr">
        <is>
          <t>x</t>
        </is>
      </c>
      <c r="F87" s="5" t="inlineStr">
        <is>
          <t>pr_ev_mult</t>
        </is>
      </c>
    </row>
    <row r="88">
      <c r="B88" s="2" t="inlineStr">
        <is>
          <t>Deal costs (advisers, financing fees, transfer taxes)</t>
        </is>
      </c>
      <c r="C88" s="11" t="n">
        <v>18</v>
      </c>
      <c r="D88" s="5" t="inlineStr">
        <is>
          <t>$ million</t>
        </is>
      </c>
      <c r="F88" s="5" t="inlineStr">
        <is>
          <t>pr_costs</t>
        </is>
      </c>
    </row>
    <row r="89">
      <c r="B89" s="2" t="inlineStr">
        <is>
          <t>Holding company term loan (switch)</t>
        </is>
      </c>
      <c r="C89" s="11" t="n">
        <v>375</v>
      </c>
      <c r="D89" s="5" t="inlineStr">
        <is>
          <t>$ million</t>
        </is>
      </c>
      <c r="F89" s="5" t="inlineStr">
        <is>
          <t>pr_holdco</t>
        </is>
      </c>
    </row>
    <row r="90">
      <c r="B90" s="2" t="inlineStr">
        <is>
          <t>Holding company loan rate</t>
        </is>
      </c>
      <c r="C90" s="10" t="n">
        <v>0.064</v>
      </c>
      <c r="D90" s="5" t="inlineStr">
        <is>
          <t>a year</t>
        </is>
      </c>
      <c r="F90" s="5" t="inlineStr">
        <is>
          <t>pr_kd_holdco</t>
        </is>
      </c>
    </row>
    <row r="91">
      <c r="B91" s="2" t="inlineStr">
        <is>
          <t>Exit multiple of rate base, 31 December 2037 (switch)</t>
        </is>
      </c>
      <c r="C91" s="14" t="n">
        <v>1.6</v>
      </c>
      <c r="D91" s="5" t="inlineStr">
        <is>
          <t>x</t>
        </is>
      </c>
      <c r="F91" s="5" t="inlineStr">
        <is>
          <t>pr_exit_mult</t>
        </is>
      </c>
    </row>
    <row r="92">
      <c r="B92" s="2" t="inlineStr">
        <is>
          <t>Brannock's levered target return</t>
        </is>
      </c>
      <c r="C92" s="10" t="n">
        <v>0.08</v>
      </c>
      <c r="D92" s="5" t="inlineStr">
        <is>
          <t>a year</t>
        </is>
      </c>
      <c r="F92" s="5" t="inlineStr">
        <is>
          <t>pr_target</t>
        </is>
      </c>
    </row>
    <row r="93">
      <c r="B93" s="2" t="inlineStr">
        <is>
          <t>Walk-away minimum return</t>
        </is>
      </c>
      <c r="C93" s="10" t="n">
        <v>0.075</v>
      </c>
      <c r="D93" s="5" t="inlineStr">
        <is>
          <t>a year</t>
        </is>
      </c>
      <c r="F93" s="5" t="inlineStr">
        <is>
          <t>pr_hurdle</t>
        </is>
      </c>
    </row>
    <row r="94">
      <c r="B94" s="2" t="inlineStr">
        <is>
          <t>Brannock's cost of equity (DCF cross-check)</t>
        </is>
      </c>
      <c r="C94" s="10" t="n">
        <v>0.08</v>
      </c>
      <c r="D94" s="5" t="inlineStr">
        <is>
          <t>a year</t>
        </is>
      </c>
      <c r="F94" s="5" t="inlineStr">
        <is>
          <t>pr_ke</t>
        </is>
      </c>
    </row>
    <row r="95">
      <c r="B95" s="2" t="inlineStr">
        <is>
          <t>Exit table: multiple 1</t>
        </is>
      </c>
      <c r="C95" s="14" t="n">
        <v>1.4</v>
      </c>
      <c r="D95" s="5" t="inlineStr">
        <is>
          <t>x</t>
        </is>
      </c>
      <c r="F95" s="5" t="inlineStr">
        <is>
          <t>pr_em1</t>
        </is>
      </c>
    </row>
    <row r="96">
      <c r="B96" s="2" t="inlineStr">
        <is>
          <t>Exit table: multiple 2</t>
        </is>
      </c>
      <c r="C96" s="14" t="n">
        <v>1.5</v>
      </c>
      <c r="D96" s="5" t="inlineStr">
        <is>
          <t>x</t>
        </is>
      </c>
      <c r="F96" s="5" t="inlineStr">
        <is>
          <t>pr_em2</t>
        </is>
      </c>
    </row>
    <row r="97">
      <c r="B97" s="2" t="inlineStr">
        <is>
          <t>Exit table: multiple 3</t>
        </is>
      </c>
      <c r="C97" s="14" t="n">
        <v>1.6</v>
      </c>
      <c r="D97" s="5" t="inlineStr">
        <is>
          <t>x</t>
        </is>
      </c>
      <c r="F97" s="5" t="inlineStr">
        <is>
          <t>pr_em3</t>
        </is>
      </c>
    </row>
    <row r="98">
      <c r="B98" s="2" t="inlineStr">
        <is>
          <t>Exit table: multiple 4</t>
        </is>
      </c>
      <c r="C98" s="14" t="n">
        <v>1.7</v>
      </c>
      <c r="D98" s="5" t="inlineStr">
        <is>
          <t>x</t>
        </is>
      </c>
      <c r="F98" s="5" t="inlineStr">
        <is>
          <t>pr_em4</t>
        </is>
      </c>
    </row>
    <row r="99">
      <c r="B99" s="2" t="inlineStr">
        <is>
          <t>Exit table: multiple 5</t>
        </is>
      </c>
      <c r="C99" s="14" t="n">
        <v>1.8</v>
      </c>
      <c r="D99" s="5" t="inlineStr">
        <is>
          <t>x</t>
        </is>
      </c>
      <c r="F99" s="5" t="inlineStr">
        <is>
          <t>pr_em5</t>
        </is>
      </c>
    </row>
    <row r="100">
      <c r="B100" s="2" t="inlineStr">
        <is>
          <t>Partial exit: sale at the end of</t>
        </is>
      </c>
      <c r="C100" s="8" t="n">
        <v>2032</v>
      </c>
      <c r="D100" s="5" t="inlineStr">
        <is>
          <t>year</t>
        </is>
      </c>
      <c r="F100" s="5" t="inlineStr">
        <is>
          <t>pr_min_year</t>
        </is>
      </c>
    </row>
    <row r="101">
      <c r="B101" s="2" t="inlineStr">
        <is>
          <t>Partial exit: stake sold</t>
        </is>
      </c>
      <c r="C101" s="10" t="n">
        <v>0.49</v>
      </c>
      <c r="D101" s="5" t="inlineStr">
        <is>
          <t>share</t>
        </is>
      </c>
      <c r="F101" s="5" t="inlineStr">
        <is>
          <t>pr_min_share</t>
        </is>
      </c>
    </row>
    <row r="102">
      <c r="B102" s="2" t="inlineStr">
        <is>
          <t>Partial exit: multiple of rate base</t>
        </is>
      </c>
      <c r="C102" s="14" t="n">
        <v>1.6</v>
      </c>
      <c r="D102" s="5" t="inlineStr">
        <is>
          <t>x</t>
        </is>
      </c>
      <c r="F102" s="5" t="inlineStr">
        <is>
          <t>pr_min_mult</t>
        </is>
      </c>
    </row>
    <row r="104">
      <c r="B104" s="6" t="inlineStr">
        <is>
          <t>Seller's plan (Corliss, chapter 14)</t>
        </is>
      </c>
      <c r="C104" s="7" t="n"/>
      <c r="D104" s="7" t="n"/>
      <c r="E104" s="7" t="n"/>
      <c r="F104" s="7" t="n"/>
    </row>
    <row r="105">
      <c r="B105" s="2" t="inlineStr">
        <is>
          <t>Seller's return on equity</t>
        </is>
      </c>
      <c r="C105" s="12" t="n">
        <v>0.098</v>
      </c>
      <c r="D105" s="5" t="inlineStr">
        <is>
          <t>after tax</t>
        </is>
      </c>
      <c r="F105" s="5" t="inlineStr">
        <is>
          <t>sel_roe</t>
        </is>
      </c>
    </row>
    <row r="106">
      <c r="B106" s="2" t="inlineStr">
        <is>
          <t>Seller's O&amp;M inflation</t>
        </is>
      </c>
      <c r="C106" s="10" t="n">
        <v>0.025</v>
      </c>
      <c r="D106" s="5" t="inlineStr">
        <is>
          <t>a year</t>
        </is>
      </c>
      <c r="F106" s="5" t="inlineStr">
        <is>
          <t>sel_om_infl</t>
        </is>
      </c>
    </row>
    <row r="107">
      <c r="B107" s="2" t="inlineStr">
        <is>
          <t>Mains renewal held by contractor capacity</t>
        </is>
      </c>
      <c r="C107" s="10" t="n">
        <v>0.008</v>
      </c>
      <c r="D107" s="5" t="inlineStr">
        <is>
          <t>a year</t>
        </is>
      </c>
      <c r="F107" s="5" t="inlineStr">
        <is>
          <t>sel_renewal</t>
        </is>
      </c>
    </row>
    <row r="108">
      <c r="B108" s="2" t="inlineStr">
        <is>
          <t>Non-revenue water in the seller's data room</t>
        </is>
      </c>
      <c r="C108" s="10" t="n">
        <v>0.165</v>
      </c>
      <c r="D108" s="5" t="inlineStr">
        <is>
          <t>share</t>
        </is>
      </c>
      <c r="F108" s="5" t="inlineStr">
        <is>
          <t>sel_nrw</t>
        </is>
      </c>
    </row>
    <row r="110">
      <c r="B110" s="6" t="inlineStr">
        <is>
          <t>Pell River: affordability and credit (chapters 10, 12)</t>
        </is>
      </c>
      <c r="C110" s="7" t="n"/>
      <c r="D110" s="7" t="n"/>
      <c r="E110" s="7" t="n"/>
      <c r="F110" s="7" t="n"/>
    </row>
    <row r="111">
      <c r="B111" s="2" t="inlineStr">
        <is>
          <t>Typical residential water bill, 2028 (5,000 gallons a month)</t>
        </is>
      </c>
      <c r="C111" s="13" t="n">
        <v>58.4</v>
      </c>
      <c r="D111" s="5" t="inlineStr">
        <is>
          <t>$ a month</t>
        </is>
      </c>
      <c r="F111" s="5" t="inlineStr">
        <is>
          <t>pr_bill_w</t>
        </is>
      </c>
    </row>
    <row r="112">
      <c r="B112" s="2" t="inlineStr">
        <is>
          <t>Typical residential wastewater bill, 2028</t>
        </is>
      </c>
      <c r="C112" s="13" t="n">
        <v>49.1</v>
      </c>
      <c r="D112" s="5" t="inlineStr">
        <is>
          <t>$ a month</t>
        </is>
      </c>
      <c r="F112" s="5" t="inlineStr">
        <is>
          <t>pr_bill_ww</t>
        </is>
      </c>
    </row>
    <row r="113">
      <c r="B113" s="2" t="inlineStr">
        <is>
          <t>Median household income, service area, 2028</t>
        </is>
      </c>
      <c r="C113" s="9" t="n">
        <v>74000</v>
      </c>
      <c r="D113" s="5" t="inlineStr">
        <is>
          <t>$ a year</t>
        </is>
      </c>
      <c r="F113" s="5" t="inlineStr">
        <is>
          <t>pr_mhi</t>
        </is>
      </c>
    </row>
    <row r="114">
      <c r="B114" s="2" t="inlineStr">
        <is>
          <t>Median household income, lowest-income tract, 2028</t>
        </is>
      </c>
      <c r="C114" s="9" t="n">
        <v>38500</v>
      </c>
      <c r="D114" s="5" t="inlineStr">
        <is>
          <t>$ a year</t>
        </is>
      </c>
      <c r="F114" s="5" t="inlineStr">
        <is>
          <t>pr_mhi_low</t>
        </is>
      </c>
    </row>
    <row r="115">
      <c r="B115" s="2" t="inlineStr">
        <is>
          <t>Income growth</t>
        </is>
      </c>
      <c r="C115" s="10" t="n">
        <v>0.03</v>
      </c>
      <c r="D115" s="5" t="inlineStr">
        <is>
          <t>a year</t>
        </is>
      </c>
      <c r="F115" s="5" t="inlineStr">
        <is>
          <t>pr_mhi_growth</t>
        </is>
      </c>
    </row>
    <row r="116">
      <c r="B116" s="2" t="inlineStr">
        <is>
          <t>Brannock's affordability screen (case, not a legal standard)</t>
        </is>
      </c>
      <c r="C116" s="10" t="n">
        <v>0.045</v>
      </c>
      <c r="D116" s="5" t="inlineStr">
        <is>
          <t>bill / income</t>
        </is>
      </c>
      <c r="F116" s="5" t="inlineStr">
        <is>
          <t>pr_screen</t>
        </is>
      </c>
    </row>
    <row r="117">
      <c r="B117" s="2" t="inlineStr">
        <is>
          <t>Low-income program: share of residential customers</t>
        </is>
      </c>
      <c r="C117" s="10" t="n">
        <v>0.09</v>
      </c>
      <c r="D117" s="5" t="inlineStr">
        <is>
          <t>share</t>
        </is>
      </c>
      <c r="F117" s="5" t="inlineStr">
        <is>
          <t>pr_lic_share</t>
        </is>
      </c>
    </row>
    <row r="118">
      <c r="B118" s="2" t="inlineStr">
        <is>
          <t>Low-income program: discount</t>
        </is>
      </c>
      <c r="C118" s="10" t="n">
        <v>0.3</v>
      </c>
      <c r="D118" s="5" t="inlineStr">
        <is>
          <t>share</t>
        </is>
      </c>
      <c r="F118" s="5" t="inlineStr">
        <is>
          <t>pr_lic_disc</t>
        </is>
      </c>
    </row>
    <row r="119">
      <c r="B119" s="2" t="inlineStr">
        <is>
          <t>Residential share of revenue</t>
        </is>
      </c>
      <c r="C119" s="10" t="n">
        <v>0.66</v>
      </c>
      <c r="D119" s="5" t="inlineStr">
        <is>
          <t>share</t>
        </is>
      </c>
      <c r="F119" s="5" t="inlineStr">
        <is>
          <t>pr_resid</t>
        </is>
      </c>
    </row>
    <row r="120">
      <c r="B120" s="2" t="inlineStr">
        <is>
          <t>FFO to debt floor, operating company (case)</t>
        </is>
      </c>
      <c r="C120" s="10" t="n">
        <v>0.11</v>
      </c>
      <c r="D120" s="5" t="inlineStr">
        <is>
          <t>ratio</t>
        </is>
      </c>
      <c r="F120" s="5" t="inlineStr">
        <is>
          <t>pr_ffo_opco</t>
        </is>
      </c>
    </row>
    <row r="121">
      <c r="B121" s="2" t="inlineStr">
        <is>
          <t>FFO to debt floor, consolidated (case)</t>
        </is>
      </c>
      <c r="C121" s="10" t="n">
        <v>0.08</v>
      </c>
      <c r="D121" s="5" t="inlineStr">
        <is>
          <t>ratio</t>
        </is>
      </c>
      <c r="F121" s="5" t="inlineStr">
        <is>
          <t>pr_ffo_cons</t>
        </is>
      </c>
    </row>
    <row r="123">
      <c r="B123" s="6" t="inlineStr">
        <is>
          <t>Pell River: switches that are not inputs above (chapter 11). Reset to 0 after use</t>
        </is>
      </c>
      <c r="C123" s="7" t="n"/>
      <c r="D123" s="7" t="n"/>
      <c r="E123" s="7" t="n"/>
      <c r="F123" s="7" t="n"/>
    </row>
    <row r="124">
      <c r="B124" s="2" t="inlineStr">
        <is>
          <t>Change in capital spending, fully recovered</t>
        </is>
      </c>
      <c r="C124" s="10" t="n">
        <v>0</v>
      </c>
      <c r="D124" s="5" t="inlineStr">
        <is>
          <t>share</t>
        </is>
      </c>
      <c r="F124" s="5" t="inlineStr">
        <is>
          <t>pr_capex_shift</t>
        </is>
      </c>
    </row>
    <row r="125">
      <c r="B125" s="2" t="inlineStr">
        <is>
          <t>PFAS compliance delay (0 or 2)</t>
        </is>
      </c>
      <c r="C125" s="8" t="n">
        <v>0</v>
      </c>
      <c r="D125" s="5" t="inlineStr">
        <is>
          <t>years</t>
        </is>
      </c>
      <c r="F125" s="5" t="inlineStr">
        <is>
          <t>pr_pfas_delay</t>
        </is>
      </c>
    </row>
    <row r="126">
      <c r="B126" s="2" t="inlineStr">
        <is>
          <t>Share of PFAS and lead spending disallowed</t>
        </is>
      </c>
      <c r="C126" s="10" t="n">
        <v>0</v>
      </c>
      <c r="D126" s="5" t="inlineStr">
        <is>
          <t>share</t>
        </is>
      </c>
      <c r="F126" s="5" t="inlineStr">
        <is>
          <t>pr_disallow</t>
        </is>
      </c>
    </row>
    <row r="127">
      <c r="B127" s="2" t="inlineStr">
        <is>
          <t>Customer-side lead cost expensed: 1 = yes, 0 = no</t>
        </is>
      </c>
      <c r="C127" s="8" t="n">
        <v>0</v>
      </c>
      <c r="D127" s="5" t="inlineStr">
        <is>
          <t>1 or 0</t>
        </is>
      </c>
      <c r="F127" s="5" t="inlineStr">
        <is>
          <t>pr_lead_exp</t>
        </is>
      </c>
    </row>
    <row r="129">
      <c r="B129" s="6" t="inlineStr">
        <is>
          <t>Sorrel Bay: plant and contract (chapters 5, 6)</t>
        </is>
      </c>
      <c r="C129" s="7" t="n"/>
      <c r="D129" s="7" t="n"/>
      <c r="E129" s="7" t="n"/>
      <c r="F129" s="7" t="n"/>
    </row>
    <row r="130">
      <c r="B130" s="2" t="inlineStr">
        <is>
          <t>Valuation date (31 December of)</t>
        </is>
      </c>
      <c r="C130" s="8" t="n">
        <v>2027</v>
      </c>
      <c r="D130" s="5" t="inlineStr">
        <is>
          <t>year</t>
        </is>
      </c>
      <c r="F130" s="5" t="inlineStr">
        <is>
          <t>sb_start</t>
        </is>
      </c>
    </row>
    <row r="131">
      <c r="B131" s="2" t="inlineStr">
        <is>
          <t>Commercial operation: 1 January of</t>
        </is>
      </c>
      <c r="C131" s="8" t="n">
        <v>2030</v>
      </c>
      <c r="D131" s="5" t="inlineStr">
        <is>
          <t>year</t>
        </is>
      </c>
      <c r="F131" s="5" t="inlineStr">
        <is>
          <t>sb_cod</t>
        </is>
      </c>
    </row>
    <row r="132">
      <c r="B132" s="2" t="inlineStr">
        <is>
          <t>Operating term</t>
        </is>
      </c>
      <c r="C132" s="9" t="n">
        <v>30</v>
      </c>
      <c r="D132" s="5" t="inlineStr">
        <is>
          <t>years</t>
        </is>
      </c>
      <c r="F132" s="5" t="inlineStr">
        <is>
          <t>sb_term</t>
        </is>
      </c>
    </row>
    <row r="133">
      <c r="B133" s="2" t="inlineStr">
        <is>
          <t>Design capacity</t>
        </is>
      </c>
      <c r="C133" s="9" t="n">
        <v>150000</v>
      </c>
      <c r="D133" s="5" t="inlineStr">
        <is>
          <t>m3 a day</t>
        </is>
      </c>
      <c r="F133" s="5" t="inlineStr">
        <is>
          <t>sb_cap</t>
        </is>
      </c>
    </row>
    <row r="134">
      <c r="B134" s="2" t="inlineStr">
        <is>
          <t>Recovery (product water / seawater intake)</t>
        </is>
      </c>
      <c r="C134" s="10" t="n">
        <v>0.45</v>
      </c>
      <c r="D134" s="5" t="inlineStr">
        <is>
          <t>share</t>
        </is>
      </c>
      <c r="F134" s="5" t="inlineStr">
        <is>
          <t>sb_recovery</t>
        </is>
      </c>
    </row>
    <row r="135">
      <c r="B135" s="2" t="inlineStr">
        <is>
          <t>Guaranteed availability</t>
        </is>
      </c>
      <c r="C135" s="10" t="n">
        <v>0.95</v>
      </c>
      <c r="D135" s="5" t="inlineStr">
        <is>
          <t>share</t>
        </is>
      </c>
      <c r="F135" s="5" t="inlineStr">
        <is>
          <t>sb_guar</t>
        </is>
      </c>
    </row>
    <row r="136">
      <c r="B136" s="2" t="inlineStr">
        <is>
          <t>Expected availability (switch)</t>
        </is>
      </c>
      <c r="C136" s="10" t="n">
        <v>0.96</v>
      </c>
      <c r="D136" s="5" t="inlineStr">
        <is>
          <t>share</t>
        </is>
      </c>
      <c r="F136" s="5" t="inlineStr">
        <is>
          <t>sb_avail</t>
        </is>
      </c>
    </row>
    <row r="137">
      <c r="B137" s="2" t="inlineStr">
        <is>
          <t>Availability used to illustrate the payment factor</t>
        </is>
      </c>
      <c r="C137" s="10" t="n">
        <v>0.92</v>
      </c>
      <c r="D137" s="5" t="inlineStr">
        <is>
          <t>share</t>
        </is>
      </c>
      <c r="F137" s="5" t="inlineStr">
        <is>
          <t>sb_avail_test</t>
        </is>
      </c>
    </row>
    <row r="138">
      <c r="B138" s="2" t="inlineStr">
        <is>
          <t>Offtake: share of available water the Authority takes (switch)</t>
        </is>
      </c>
      <c r="C138" s="10" t="n">
        <v>0.85</v>
      </c>
      <c r="D138" s="5" t="inlineStr">
        <is>
          <t>share</t>
        </is>
      </c>
      <c r="F138" s="5" t="inlineStr">
        <is>
          <t>sb_dispatch</t>
        </is>
      </c>
    </row>
    <row r="139">
      <c r="B139" s="2" t="inlineStr">
        <is>
          <t>RO plant, pretreatment and post-treatment</t>
        </is>
      </c>
      <c r="C139" s="11" t="n">
        <v>300</v>
      </c>
      <c r="D139" s="5" t="inlineStr">
        <is>
          <t>$ million</t>
        </is>
      </c>
      <c r="F139" s="5" t="inlineStr">
        <is>
          <t>sb_cx_plant</t>
        </is>
      </c>
    </row>
    <row r="140">
      <c r="B140" s="2" t="inlineStr">
        <is>
          <t>Marine works (intake and outfall tunnels)</t>
        </is>
      </c>
      <c r="C140" s="11" t="n">
        <v>95</v>
      </c>
      <c r="D140" s="5" t="inlineStr">
        <is>
          <t>$ million</t>
        </is>
      </c>
      <c r="F140" s="5" t="inlineStr">
        <is>
          <t>sb_cx_marine</t>
        </is>
      </c>
    </row>
    <row r="141">
      <c r="B141" s="2" t="inlineStr">
        <is>
          <t>Conveyance pipeline and pump station</t>
        </is>
      </c>
      <c r="C141" s="11" t="n">
        <v>62</v>
      </c>
      <c r="D141" s="5" t="inlineStr">
        <is>
          <t>$ million</t>
        </is>
      </c>
      <c r="F141" s="5" t="inlineStr">
        <is>
          <t>sb_cx_conv</t>
        </is>
      </c>
    </row>
    <row r="142">
      <c r="B142" s="2" t="inlineStr">
        <is>
          <t>Grid connection</t>
        </is>
      </c>
      <c r="C142" s="11" t="n">
        <v>15</v>
      </c>
      <c r="D142" s="5" t="inlineStr">
        <is>
          <t>$ million</t>
        </is>
      </c>
      <c r="F142" s="5" t="inlineStr">
        <is>
          <t>sb_cx_grid</t>
        </is>
      </c>
    </row>
    <row r="143">
      <c r="B143" s="2" t="inlineStr">
        <is>
          <t>Development, permits and owner's costs</t>
        </is>
      </c>
      <c r="C143" s="11" t="n">
        <v>30</v>
      </c>
      <c r="D143" s="5" t="inlineStr">
        <is>
          <t>$ million</t>
        </is>
      </c>
      <c r="F143" s="5" t="inlineStr">
        <is>
          <t>sb_cx_dev</t>
        </is>
      </c>
    </row>
    <row r="144">
      <c r="B144" s="2" t="inlineStr">
        <is>
          <t>Financing costs and interest during construction</t>
        </is>
      </c>
      <c r="C144" s="11" t="n">
        <v>48</v>
      </c>
      <c r="D144" s="5" t="inlineStr">
        <is>
          <t>$ million</t>
        </is>
      </c>
      <c r="F144" s="5" t="inlineStr">
        <is>
          <t>sb_cx_fin</t>
        </is>
      </c>
    </row>
    <row r="145">
      <c r="B145" s="2" t="inlineStr">
        <is>
          <t>Share of capital cost paid at the end of 2028 (rest end of 2029)</t>
        </is>
      </c>
      <c r="C145" s="10" t="n">
        <v>0.45</v>
      </c>
      <c r="D145" s="5" t="inlineStr">
        <is>
          <t>share</t>
        </is>
      </c>
      <c r="F145" s="5" t="inlineStr">
        <is>
          <t>sb_phase1</t>
        </is>
      </c>
    </row>
    <row r="146">
      <c r="B146" s="2" t="inlineStr">
        <is>
          <t>Guaranteed energy use</t>
        </is>
      </c>
      <c r="C146" s="13" t="n">
        <v>3.6</v>
      </c>
      <c r="D146" s="5" t="inlineStr">
        <is>
          <t>kWh per m3</t>
        </is>
      </c>
      <c r="F146" s="5" t="inlineStr">
        <is>
          <t>sb_sec</t>
        </is>
      </c>
    </row>
    <row r="147">
      <c r="B147" s="2" t="inlineStr">
        <is>
          <t>Actual energy use (switch)</t>
        </is>
      </c>
      <c r="C147" s="13" t="n">
        <v>3.6</v>
      </c>
      <c r="D147" s="5" t="inlineStr">
        <is>
          <t>kWh per m3</t>
        </is>
      </c>
      <c r="F147" s="5" t="inlineStr">
        <is>
          <t>sb_sec_act</t>
        </is>
      </c>
    </row>
    <row r="148">
      <c r="B148" s="2" t="inlineStr">
        <is>
          <t>Power price, 2030</t>
        </is>
      </c>
      <c r="C148" s="13" t="n">
        <v>70</v>
      </c>
      <c r="D148" s="5" t="inlineStr">
        <is>
          <t>$ per MWh</t>
        </is>
      </c>
      <c r="F148" s="5" t="inlineStr">
        <is>
          <t>sb_power</t>
        </is>
      </c>
    </row>
    <row r="149">
      <c r="B149" s="2" t="inlineStr">
        <is>
          <t>Power price escalation</t>
        </is>
      </c>
      <c r="C149" s="10" t="n">
        <v>0.02</v>
      </c>
      <c r="D149" s="5" t="inlineStr">
        <is>
          <t>a year</t>
        </is>
      </c>
      <c r="F149" s="5" t="inlineStr">
        <is>
          <t>sb_power_esc</t>
        </is>
      </c>
    </row>
    <row r="150">
      <c r="B150" s="2" t="inlineStr">
        <is>
          <t>Chemicals and consumables, 2030</t>
        </is>
      </c>
      <c r="C150" s="15" t="n">
        <v>0.07000000000000001</v>
      </c>
      <c r="D150" s="5" t="inlineStr">
        <is>
          <t>$ per m3</t>
        </is>
      </c>
      <c r="F150" s="5" t="inlineStr">
        <is>
          <t>sb_chem</t>
        </is>
      </c>
    </row>
    <row r="151">
      <c r="B151" s="2" t="inlineStr">
        <is>
          <t>Fixed O&amp;M, 2030</t>
        </is>
      </c>
      <c r="C151" s="11" t="n">
        <v>13.5</v>
      </c>
      <c r="D151" s="5" t="inlineStr">
        <is>
          <t>$ million a year</t>
        </is>
      </c>
      <c r="F151" s="5" t="inlineStr">
        <is>
          <t>sb_fom</t>
        </is>
      </c>
    </row>
    <row r="152">
      <c r="B152" s="2" t="inlineStr">
        <is>
          <t>Major overhaul (2030 dollars)</t>
        </is>
      </c>
      <c r="C152" s="11" t="n">
        <v>12</v>
      </c>
      <c r="D152" s="5" t="inlineStr">
        <is>
          <t>$ million</t>
        </is>
      </c>
      <c r="F152" s="5" t="inlineStr">
        <is>
          <t>sb_major</t>
        </is>
      </c>
    </row>
    <row r="153">
      <c r="B153" s="2" t="inlineStr">
        <is>
          <t>First major overhaul in</t>
        </is>
      </c>
      <c r="C153" s="8" t="n">
        <v>2040</v>
      </c>
      <c r="D153" s="5" t="inlineStr">
        <is>
          <t>year</t>
        </is>
      </c>
      <c r="F153" s="5" t="inlineStr">
        <is>
          <t>sb_major_y1</t>
        </is>
      </c>
    </row>
    <row r="154">
      <c r="B154" s="2" t="inlineStr">
        <is>
          <t>Second major overhaul in</t>
        </is>
      </c>
      <c r="C154" s="8" t="n">
        <v>2050</v>
      </c>
      <c r="D154" s="5" t="inlineStr">
        <is>
          <t>year</t>
        </is>
      </c>
      <c r="F154" s="5" t="inlineStr">
        <is>
          <t>sb_major_y2</t>
        </is>
      </c>
    </row>
    <row r="155">
      <c r="B155" s="2" t="inlineStr">
        <is>
          <t>Indexation (fixed O&amp;M charge, chemicals, costs)</t>
        </is>
      </c>
      <c r="C155" s="10" t="n">
        <v>0.025</v>
      </c>
      <c r="D155" s="5" t="inlineStr">
        <is>
          <t>a year</t>
        </is>
      </c>
      <c r="F155" s="5" t="inlineStr">
        <is>
          <t>sb_cpi</t>
        </is>
      </c>
    </row>
    <row r="156">
      <c r="B156" s="2" t="inlineStr">
        <is>
          <t>Share of lost capacity payments covered by delay damages</t>
        </is>
      </c>
      <c r="C156" s="10" t="n">
        <v>0.7</v>
      </c>
      <c r="D156" s="5" t="inlineStr">
        <is>
          <t>share</t>
        </is>
      </c>
      <c r="F156" s="5" t="inlineStr">
        <is>
          <t>sb_ld</t>
        </is>
      </c>
    </row>
    <row r="157">
      <c r="B157" s="2" t="inlineStr">
        <is>
          <t>Offtake in the wet year</t>
        </is>
      </c>
      <c r="C157" s="10" t="n">
        <v>0.55</v>
      </c>
      <c r="D157" s="5" t="inlineStr">
        <is>
          <t>share</t>
        </is>
      </c>
      <c r="F157" s="5" t="inlineStr">
        <is>
          <t>sb_wet_disp</t>
        </is>
      </c>
    </row>
    <row r="158">
      <c r="B158" s="2" t="inlineStr">
        <is>
          <t>Wet year studied</t>
        </is>
      </c>
      <c r="C158" s="8" t="n">
        <v>2031</v>
      </c>
      <c r="D158" s="5" t="inlineStr">
        <is>
          <t>year</t>
        </is>
      </c>
      <c r="F158" s="5" t="inlineStr">
        <is>
          <t>sb_wet_year</t>
        </is>
      </c>
    </row>
    <row r="160">
      <c r="B160" s="6" t="inlineStr">
        <is>
          <t>Sorrel Bay: financing, bid and alternatives (chapters 6, 11, 12)</t>
        </is>
      </c>
      <c r="C160" s="7" t="n"/>
      <c r="D160" s="7" t="n"/>
      <c r="E160" s="7" t="n"/>
      <c r="F160" s="7" t="n"/>
    </row>
    <row r="161">
      <c r="B161" s="2" t="inlineStr">
        <is>
          <t>Equity return the bid is solved for (pre-tax)</t>
        </is>
      </c>
      <c r="C161" s="10" t="n">
        <v>0.11</v>
      </c>
      <c r="D161" s="5" t="inlineStr">
        <is>
          <t>a year</t>
        </is>
      </c>
      <c r="F161" s="5" t="inlineStr">
        <is>
          <t>sb_target</t>
        </is>
      </c>
    </row>
    <row r="162">
      <c r="B162" s="2" t="inlineStr">
        <is>
          <t>Senior debt all-in rate (switch)</t>
        </is>
      </c>
      <c r="C162" s="10" t="n">
        <v>0.06</v>
      </c>
      <c r="D162" s="5" t="inlineStr">
        <is>
          <t>a year</t>
        </is>
      </c>
      <c r="F162" s="5" t="inlineStr">
        <is>
          <t>sb_kd</t>
        </is>
      </c>
    </row>
    <row r="163">
      <c r="B163" s="2" t="inlineStr">
        <is>
          <t>Debt tenor after operation</t>
        </is>
      </c>
      <c r="C163" s="9" t="n">
        <v>25</v>
      </c>
      <c r="D163" s="5" t="inlineStr">
        <is>
          <t>years</t>
        </is>
      </c>
      <c r="F163" s="5" t="inlineStr">
        <is>
          <t>sb_tenor</t>
        </is>
      </c>
    </row>
    <row r="164">
      <c r="B164" s="2" t="inlineStr">
        <is>
          <t>Sizing debt service cover</t>
        </is>
      </c>
      <c r="C164" s="13" t="n">
        <v>1.3</v>
      </c>
      <c r="D164" s="5" t="inlineStr">
        <is>
          <t>x</t>
        </is>
      </c>
      <c r="F164" s="5" t="inlineStr">
        <is>
          <t>sb_dscr</t>
        </is>
      </c>
    </row>
    <row r="165">
      <c r="B165" s="2" t="inlineStr">
        <is>
          <t>Maximum gearing</t>
        </is>
      </c>
      <c r="C165" s="10" t="n">
        <v>0.75</v>
      </c>
      <c r="D165" s="5" t="inlineStr">
        <is>
          <t>share of capital cost</t>
        </is>
      </c>
      <c r="F165" s="5" t="inlineStr">
        <is>
          <t>sb_gear</t>
        </is>
      </c>
    </row>
    <row r="166">
      <c r="B166" s="2" t="inlineStr">
        <is>
          <t>Brannock's share (Kestle the rest)</t>
        </is>
      </c>
      <c r="C166" s="10" t="n">
        <v>0.7</v>
      </c>
      <c r="D166" s="5" t="inlineStr">
        <is>
          <t>share</t>
        </is>
      </c>
      <c r="F166" s="5" t="inlineStr">
        <is>
          <t>sb_owner</t>
        </is>
      </c>
    </row>
    <row r="167">
      <c r="B167" s="2" t="inlineStr">
        <is>
          <t>Capacity charge: 1 = solved for the target, 0 = typed below (switch)</t>
        </is>
      </c>
      <c r="C167" s="8" t="n">
        <v>1</v>
      </c>
      <c r="D167" s="5" t="inlineStr">
        <is>
          <t>1 or 0</t>
        </is>
      </c>
      <c r="F167" s="5" t="inlineStr">
        <is>
          <t>sb_cc_mode</t>
        </is>
      </c>
    </row>
    <row r="168">
      <c r="B168" s="2" t="inlineStr">
        <is>
          <t>Capacity charge typed (used when the switch is 0)</t>
        </is>
      </c>
      <c r="C168" s="15" t="n">
        <v>0.9388</v>
      </c>
      <c r="D168" s="5" t="inlineStr">
        <is>
          <t>$ per m3 of capacity</t>
        </is>
      </c>
      <c r="F168" s="5" t="inlineStr">
        <is>
          <t>sb_cc_typed</t>
        </is>
      </c>
    </row>
    <row r="169">
      <c r="B169" s="2" t="inlineStr">
        <is>
          <t>Bisection: lowest capacity charge tried</t>
        </is>
      </c>
      <c r="C169" s="13" t="n">
        <v>0.1</v>
      </c>
      <c r="D169" s="5" t="inlineStr">
        <is>
          <t>$ per m3</t>
        </is>
      </c>
      <c r="F169" s="5" t="inlineStr">
        <is>
          <t>sb_bis_lo</t>
        </is>
      </c>
    </row>
    <row r="170">
      <c r="B170" s="2" t="inlineStr">
        <is>
          <t>Bisection: highest capacity charge tried</t>
        </is>
      </c>
      <c r="C170" s="13" t="n">
        <v>5</v>
      </c>
      <c r="D170" s="5" t="inlineStr">
        <is>
          <t>$ per m3</t>
        </is>
      </c>
      <c r="F170" s="5" t="inlineStr">
        <is>
          <t>sb_bis_hi</t>
        </is>
      </c>
    </row>
    <row r="171">
      <c r="B171" s="2" t="inlineStr">
        <is>
          <t>Bid sensitivity: capacity charge cut</t>
        </is>
      </c>
      <c r="C171" s="10" t="n">
        <v>0.05</v>
      </c>
      <c r="D171" s="5" t="inlineStr">
        <is>
          <t>share</t>
        </is>
      </c>
      <c r="F171" s="5" t="inlineStr">
        <is>
          <t>sb_bid_cut</t>
        </is>
      </c>
    </row>
    <row r="172">
      <c r="B172" s="2" t="inlineStr">
        <is>
          <t>Bid sensitivity: debt cost increase</t>
        </is>
      </c>
      <c r="C172" s="10" t="n">
        <v>0.01</v>
      </c>
      <c r="D172" s="5" t="inlineStr">
        <is>
          <t>points</t>
        </is>
      </c>
      <c r="F172" s="5" t="inlineStr">
        <is>
          <t>sb_kd_step</t>
        </is>
      </c>
    </row>
    <row r="173">
      <c r="B173" s="2" t="inlineStr">
        <is>
          <t>Authority's discount rate (levelized cost)</t>
        </is>
      </c>
      <c r="C173" s="10" t="n">
        <v>0.045</v>
      </c>
      <c r="D173" s="5" t="inlineStr">
        <is>
          <t>a year</t>
        </is>
      </c>
      <c r="F173" s="5" t="inlineStr">
        <is>
          <t>sb_auth_rate</t>
        </is>
      </c>
    </row>
    <row r="174">
      <c r="B174" s="2" t="inlineStr">
        <is>
          <t>Public alternative: WIFIA share</t>
        </is>
      </c>
      <c r="C174" s="10" t="n">
        <v>0.49</v>
      </c>
      <c r="D174" s="5" t="inlineStr">
        <is>
          <t>share</t>
        </is>
      </c>
      <c r="F174" s="5" t="inlineStr">
        <is>
          <t>sb_pub_wifia</t>
        </is>
      </c>
    </row>
    <row r="175">
      <c r="B175" s="2" t="inlineStr">
        <is>
          <t>Public alternative: WIFIA rate</t>
        </is>
      </c>
      <c r="C175" s="10" t="n">
        <v>0.046</v>
      </c>
      <c r="D175" s="5" t="inlineStr">
        <is>
          <t>a year</t>
        </is>
      </c>
      <c r="F175" s="5" t="inlineStr">
        <is>
          <t>sb_pub_kw</t>
        </is>
      </c>
    </row>
    <row r="176">
      <c r="B176" s="2" t="inlineStr">
        <is>
          <t>Public alternative: WIFIA tenor</t>
        </is>
      </c>
      <c r="C176" s="9" t="n">
        <v>35</v>
      </c>
      <c r="D176" s="5" t="inlineStr">
        <is>
          <t>years</t>
        </is>
      </c>
      <c r="F176" s="5" t="inlineStr">
        <is>
          <t>sb_pub_nw</t>
        </is>
      </c>
    </row>
    <row r="177">
      <c r="B177" s="2" t="inlineStr">
        <is>
          <t>Public alternative: tax-exempt bond rate</t>
        </is>
      </c>
      <c r="C177" s="10" t="n">
        <v>0.043</v>
      </c>
      <c r="D177" s="5" t="inlineStr">
        <is>
          <t>a year</t>
        </is>
      </c>
      <c r="F177" s="5" t="inlineStr">
        <is>
          <t>sb_pub_km</t>
        </is>
      </c>
    </row>
    <row r="178">
      <c r="B178" s="2" t="inlineStr">
        <is>
          <t>Public alternative: bond tenor</t>
        </is>
      </c>
      <c r="C178" s="9" t="n">
        <v>30</v>
      </c>
      <c r="D178" s="5" t="inlineStr">
        <is>
          <t>years</t>
        </is>
      </c>
      <c r="F178" s="5" t="inlineStr">
        <is>
          <t>sb_pub_nm</t>
        </is>
      </c>
    </row>
    <row r="179">
      <c r="B179" s="2" t="inlineStr">
        <is>
          <t>Public alternative: share of the financing cost line avoided</t>
        </is>
      </c>
      <c r="C179" s="10" t="n">
        <v>0.5</v>
      </c>
      <c r="D179" s="5" t="inlineStr">
        <is>
          <t>share</t>
        </is>
      </c>
      <c r="F179" s="5" t="inlineStr">
        <is>
          <t>sb_pub_avoid</t>
        </is>
      </c>
    </row>
    <row r="180">
      <c r="B180" s="2" t="inlineStr">
        <is>
          <t>Sell-down at operation: share of the project sold</t>
        </is>
      </c>
      <c r="C180" s="10" t="n">
        <v>0.35</v>
      </c>
      <c r="D180" s="5" t="inlineStr">
        <is>
          <t>share</t>
        </is>
      </c>
      <c r="F180" s="5" t="inlineStr">
        <is>
          <t>sb_sell_share</t>
        </is>
      </c>
    </row>
    <row r="181">
      <c r="B181" s="2" t="inlineStr">
        <is>
          <t>Buyer's rate for operating equity</t>
        </is>
      </c>
      <c r="C181" s="10" t="n">
        <v>0.08</v>
      </c>
      <c r="D181" s="5" t="inlineStr">
        <is>
          <t>a year</t>
        </is>
      </c>
      <c r="F181" s="5" t="inlineStr">
        <is>
          <t>sb_sell_rate</t>
        </is>
      </c>
    </row>
    <row r="182">
      <c r="B182" s="2" t="inlineStr">
        <is>
          <t>Imported water alternative, 2030</t>
        </is>
      </c>
      <c r="C182" s="9" t="n">
        <v>1450</v>
      </c>
      <c r="D182" s="5" t="inlineStr">
        <is>
          <t>$ per acre-foot</t>
        </is>
      </c>
      <c r="F182" s="5" t="inlineStr">
        <is>
          <t>sb_alt_af</t>
        </is>
      </c>
    </row>
    <row r="183">
      <c r="B183" s="2" t="inlineStr">
        <is>
          <t>Imported water escalation</t>
        </is>
      </c>
      <c r="C183" s="10" t="n">
        <v>0.04</v>
      </c>
      <c r="D183" s="5" t="inlineStr">
        <is>
          <t>a year</t>
        </is>
      </c>
      <c r="F183" s="5" t="inlineStr">
        <is>
          <t>sb_alt_esc</t>
        </is>
      </c>
    </row>
    <row r="185">
      <c r="B185" s="6" t="inlineStr">
        <is>
          <t>Sorrel Bay: switches that are not inputs above. Reset to 0 (pass-through to 1) after use</t>
        </is>
      </c>
      <c r="C185" s="7" t="n"/>
      <c r="D185" s="7" t="n"/>
      <c r="E185" s="7" t="n"/>
      <c r="F185" s="7" t="n"/>
    </row>
    <row r="186">
      <c r="B186" s="2" t="inlineStr">
        <is>
          <t>Change in capital cost</t>
        </is>
      </c>
      <c r="C186" s="10" t="n">
        <v>0</v>
      </c>
      <c r="D186" s="5" t="inlineStr">
        <is>
          <t>share</t>
        </is>
      </c>
      <c r="F186" s="5" t="inlineStr">
        <is>
          <t>sb_capex_shift</t>
        </is>
      </c>
    </row>
    <row r="187">
      <c r="B187" s="2" t="inlineStr">
        <is>
          <t>Delay to commercial operation</t>
        </is>
      </c>
      <c r="C187" s="13" t="n">
        <v>0</v>
      </c>
      <c r="D187" s="5" t="inlineStr">
        <is>
          <t>years</t>
        </is>
      </c>
      <c r="F187" s="5" t="inlineStr">
        <is>
          <t>sb_delay</t>
        </is>
      </c>
    </row>
    <row r="188">
      <c r="B188" s="2" t="inlineStr">
        <is>
          <t>Change in the power price</t>
        </is>
      </c>
      <c r="C188" s="13" t="n">
        <v>0</v>
      </c>
      <c r="D188" s="5" t="inlineStr">
        <is>
          <t>$ per MWh</t>
        </is>
      </c>
      <c r="F188" s="5" t="inlineStr">
        <is>
          <t>sb_power_shift</t>
        </is>
      </c>
    </row>
    <row r="189">
      <c r="B189" s="2" t="inlineStr">
        <is>
          <t>Power price passed through: 1 = yes, 0 = no</t>
        </is>
      </c>
      <c r="C189" s="8" t="n">
        <v>1</v>
      </c>
      <c r="D189" s="5" t="inlineStr">
        <is>
          <t>1 or 0</t>
        </is>
      </c>
      <c r="F189" s="5" t="inlineStr">
        <is>
          <t>sb_pass</t>
        </is>
      </c>
    </row>
    <row r="191">
      <c r="B191" s="6" t="inlineStr">
        <is>
          <t>Units</t>
        </is>
      </c>
      <c r="C191" s="7" t="n"/>
      <c r="D191" s="7" t="n"/>
      <c r="E191" s="7" t="n"/>
      <c r="F191" s="7" t="n"/>
    </row>
    <row r="192">
      <c r="B192" s="2" t="inlineStr">
        <is>
          <t>m3 per acre-foot</t>
        </is>
      </c>
      <c r="C192" s="13" t="n">
        <v>1233.48</v>
      </c>
      <c r="D192" s="5" t="inlineStr">
        <is>
          <t>m3</t>
        </is>
      </c>
      <c r="F192" s="5" t="inlineStr">
        <is>
          <t>u_af</t>
        </is>
      </c>
    </row>
    <row r="193">
      <c r="B193" s="2" t="inlineStr">
        <is>
          <t>Gallons per m3</t>
        </is>
      </c>
      <c r="C193" s="16" t="n">
        <v>264.172</v>
      </c>
      <c r="D193" s="5" t="inlineStr">
        <is>
          <t>gallons</t>
        </is>
      </c>
      <c r="F193" s="5" t="inlineStr">
        <is>
          <t>u_gal</t>
        </is>
      </c>
    </row>
    <row r="194">
      <c r="B194" s="2" t="inlineStr">
        <is>
          <t>m3 a day per MGD</t>
        </is>
      </c>
      <c r="C194" s="13" t="n">
        <v>3785.41</v>
      </c>
      <c r="D194" s="5" t="inlineStr">
        <is>
          <t>m3 a day</t>
        </is>
      </c>
      <c r="F194" s="5" t="inlineStr">
        <is>
          <t>u_mgd</t>
        </is>
      </c>
    </row>
    <row r="196">
      <c r="B196" s="6" t="inlineStr">
        <is>
          <t>Halcyon Ridge reclaimed water contract (chapter 7)</t>
        </is>
      </c>
      <c r="C196" s="7" t="n"/>
      <c r="D196" s="7" t="n"/>
      <c r="E196" s="7" t="n"/>
      <c r="F196" s="7" t="n"/>
    </row>
    <row r="197">
      <c r="B197" s="2" t="inlineStr">
        <is>
          <t>Capital cost, 2028</t>
        </is>
      </c>
      <c r="C197" s="11" t="n">
        <v>20</v>
      </c>
      <c r="D197" s="5" t="inlineStr">
        <is>
          <t>$ million</t>
        </is>
      </c>
      <c r="F197" s="5" t="inlineStr">
        <is>
          <t>hal_cx1</t>
        </is>
      </c>
    </row>
    <row r="198">
      <c r="B198" s="2" t="inlineStr">
        <is>
          <t>Capital cost, 2029</t>
        </is>
      </c>
      <c r="C198" s="11" t="n">
        <v>26</v>
      </c>
      <c r="D198" s="5" t="inlineStr">
        <is>
          <t>$ million</t>
        </is>
      </c>
      <c r="F198" s="5" t="inlineStr">
        <is>
          <t>hal_cx2</t>
        </is>
      </c>
    </row>
    <row r="199">
      <c r="B199" s="2" t="inlineStr">
        <is>
          <t>Contract starts in</t>
        </is>
      </c>
      <c r="C199" s="8" t="n">
        <v>2030</v>
      </c>
      <c r="D199" s="5" t="inlineStr">
        <is>
          <t>year</t>
        </is>
      </c>
      <c r="F199" s="5" t="inlineStr">
        <is>
          <t>hal_start</t>
        </is>
      </c>
    </row>
    <row r="200">
      <c r="B200" s="2" t="inlineStr">
        <is>
          <t>Contract term</t>
        </is>
      </c>
      <c r="C200" s="9" t="n">
        <v>20</v>
      </c>
      <c r="D200" s="5" t="inlineStr">
        <is>
          <t>years</t>
        </is>
      </c>
      <c r="F200" s="5" t="inlineStr">
        <is>
          <t>hal_years</t>
        </is>
      </c>
    </row>
    <row r="201">
      <c r="B201" s="2" t="inlineStr">
        <is>
          <t>Average volume</t>
        </is>
      </c>
      <c r="C201" s="11" t="n">
        <v>2</v>
      </c>
      <c r="D201" s="5" t="inlineStr">
        <is>
          <t>MGD</t>
        </is>
      </c>
      <c r="F201" s="5" t="inlineStr">
        <is>
          <t>hal_avg</t>
        </is>
      </c>
    </row>
    <row r="202">
      <c r="B202" s="2" t="inlineStr">
        <is>
          <t>Take-or-pay minimum</t>
        </is>
      </c>
      <c r="C202" s="11" t="n">
        <v>1.5</v>
      </c>
      <c r="D202" s="5" t="inlineStr">
        <is>
          <t>MGD</t>
        </is>
      </c>
      <c r="F202" s="5" t="inlineStr">
        <is>
          <t>hal_min</t>
        </is>
      </c>
    </row>
    <row r="203">
      <c r="B203" s="2" t="inlineStr">
        <is>
          <t>Peak volume</t>
        </is>
      </c>
      <c r="C203" s="11" t="n">
        <v>3.5</v>
      </c>
      <c r="D203" s="5" t="inlineStr">
        <is>
          <t>MGD</t>
        </is>
      </c>
      <c r="F203" s="5" t="inlineStr">
        <is>
          <t>hal_peak</t>
        </is>
      </c>
    </row>
    <row r="204">
      <c r="B204" s="2" t="inlineStr">
        <is>
          <t>Price, 2030</t>
        </is>
      </c>
      <c r="C204" s="13" t="n">
        <v>6.5</v>
      </c>
      <c r="D204" s="5" t="inlineStr">
        <is>
          <t>$ per 1,000 gallons</t>
        </is>
      </c>
      <c r="F204" s="5" t="inlineStr">
        <is>
          <t>hal_price</t>
        </is>
      </c>
    </row>
    <row r="205">
      <c r="B205" s="2" t="inlineStr">
        <is>
          <t>Price escalation</t>
        </is>
      </c>
      <c r="C205" s="10" t="n">
        <v>0.025</v>
      </c>
      <c r="D205" s="5" t="inlineStr">
        <is>
          <t>a year</t>
        </is>
      </c>
      <c r="F205" s="5" t="inlineStr">
        <is>
          <t>hal_price_esc</t>
        </is>
      </c>
    </row>
    <row r="206">
      <c r="B206" s="2" t="inlineStr">
        <is>
          <t>Capacity reservation fee</t>
        </is>
      </c>
      <c r="C206" s="11" t="n">
        <v>1.8</v>
      </c>
      <c r="D206" s="5" t="inlineStr">
        <is>
          <t>$ million a year</t>
        </is>
      </c>
      <c r="F206" s="5" t="inlineStr">
        <is>
          <t>hal_fee</t>
        </is>
      </c>
    </row>
    <row r="207">
      <c r="B207" s="2" t="inlineStr">
        <is>
          <t>Fixed O&amp;M, 2030</t>
        </is>
      </c>
      <c r="C207" s="13" t="n">
        <v>1.3</v>
      </c>
      <c r="D207" s="5" t="inlineStr">
        <is>
          <t>$ million a year</t>
        </is>
      </c>
      <c r="F207" s="5" t="inlineStr">
        <is>
          <t>hal_fom</t>
        </is>
      </c>
    </row>
    <row r="208">
      <c r="B208" s="2" t="inlineStr">
        <is>
          <t>Variable cost, 2030</t>
        </is>
      </c>
      <c r="C208" s="13" t="n">
        <v>0.55</v>
      </c>
      <c r="D208" s="5" t="inlineStr">
        <is>
          <t>$ per 1,000 gallons</t>
        </is>
      </c>
      <c r="F208" s="5" t="inlineStr">
        <is>
          <t>hal_var</t>
        </is>
      </c>
    </row>
    <row r="209">
      <c r="B209" s="2" t="inlineStr">
        <is>
          <t>Cost escalation</t>
        </is>
      </c>
      <c r="C209" s="10" t="n">
        <v>0.025</v>
      </c>
      <c r="D209" s="5" t="inlineStr">
        <is>
          <t>a year</t>
        </is>
      </c>
      <c r="F209" s="5" t="inlineStr">
        <is>
          <t>hal_cost_esc</t>
        </is>
      </c>
    </row>
    <row r="210">
      <c r="B210" s="2" t="inlineStr">
        <is>
          <t>Brannock's rate for a contracted unregulated asset</t>
        </is>
      </c>
      <c r="C210" s="10" t="n">
        <v>0.08</v>
      </c>
      <c r="D210" s="5" t="inlineStr">
        <is>
          <t>a year</t>
        </is>
      </c>
      <c r="F210" s="5" t="inlineStr">
        <is>
          <t>hal_rate</t>
        </is>
      </c>
    </row>
    <row r="211">
      <c r="B211" s="2" t="inlineStr">
        <is>
          <t>Pell River's commercial potable rate, 2030 (case)</t>
        </is>
      </c>
      <c r="C211" s="13" t="n">
        <v>9.800000000000001</v>
      </c>
      <c r="D211" s="5" t="inlineStr">
        <is>
          <t>$ per 1,000 gallons</t>
        </is>
      </c>
      <c r="F211" s="5" t="inlineStr">
        <is>
          <t>hal_potable</t>
        </is>
      </c>
    </row>
    <row r="213">
      <c r="B213" s="6" t="inlineStr">
        <is>
          <t>Water rights (chapter 8)</t>
        </is>
      </c>
      <c r="C213" s="7" t="n"/>
      <c r="D213" s="7" t="n"/>
      <c r="E213" s="7" t="n"/>
      <c r="F213" s="7" t="n"/>
    </row>
    <row r="214">
      <c r="B214" s="2" t="inlineStr">
        <is>
          <t>New supply needed by 2035</t>
        </is>
      </c>
      <c r="C214" s="9" t="n">
        <v>6000</v>
      </c>
      <c r="D214" s="5" t="inlineStr">
        <is>
          <t>acre-feet a year</t>
        </is>
      </c>
      <c r="F214" s="5" t="inlineStr">
        <is>
          <t>wr_need</t>
        </is>
      </c>
    </row>
    <row r="215">
      <c r="B215" s="2" t="inlineStr">
        <is>
          <t>Dry-year yield of senior surface rights</t>
        </is>
      </c>
      <c r="C215" s="10" t="n">
        <v>0.75</v>
      </c>
      <c r="D215" s="5" t="inlineStr">
        <is>
          <t>share of paper</t>
        </is>
      </c>
      <c r="F215" s="5" t="inlineStr">
        <is>
          <t>wr_dry</t>
        </is>
      </c>
    </row>
    <row r="216">
      <c r="B216" s="2" t="inlineStr">
        <is>
          <t>Purchase price of a paper right (case)</t>
        </is>
      </c>
      <c r="C216" s="9" t="n">
        <v>14000</v>
      </c>
      <c r="D216" s="5" t="inlineStr">
        <is>
          <t>$ per acre-foot</t>
        </is>
      </c>
      <c r="F216" s="5" t="inlineStr">
        <is>
          <t>wr_price</t>
        </is>
      </c>
    </row>
    <row r="217">
      <c r="B217" s="2" t="inlineStr">
        <is>
          <t>Lease price, first year</t>
        </is>
      </c>
      <c r="C217" s="9" t="n">
        <v>650</v>
      </c>
      <c r="D217" s="5" t="inlineStr">
        <is>
          <t>$ per acre-foot</t>
        </is>
      </c>
      <c r="F217" s="5" t="inlineStr">
        <is>
          <t>wr_lease</t>
        </is>
      </c>
    </row>
    <row r="218">
      <c r="B218" s="2" t="inlineStr">
        <is>
          <t>Lease escalation</t>
        </is>
      </c>
      <c r="C218" s="10" t="n">
        <v>0.03</v>
      </c>
      <c r="D218" s="5" t="inlineStr">
        <is>
          <t>a year</t>
        </is>
      </c>
      <c r="F218" s="5" t="inlineStr">
        <is>
          <t>wr_lease_esc</t>
        </is>
      </c>
    </row>
    <row r="219">
      <c r="B219" s="2" t="inlineStr">
        <is>
          <t>Lease term</t>
        </is>
      </c>
      <c r="C219" s="9" t="n">
        <v>20</v>
      </c>
      <c r="D219" s="5" t="inlineStr">
        <is>
          <t>years</t>
        </is>
      </c>
      <c r="F219" s="5" t="inlineStr">
        <is>
          <t>wr_years</t>
        </is>
      </c>
    </row>
    <row r="220">
      <c r="B220" s="2" t="inlineStr">
        <is>
          <t>Discount rate</t>
        </is>
      </c>
      <c r="C220" s="10" t="n">
        <v>0.065</v>
      </c>
      <c r="D220" s="5" t="inlineStr">
        <is>
          <t>a year</t>
        </is>
      </c>
      <c r="F220" s="5" t="inlineStr">
        <is>
          <t>wr_rate</t>
        </is>
      </c>
    </row>
    <row r="222">
      <c r="B222" s="6" t="inlineStr">
        <is>
          <t>Public borrowing terms (chapters 1, 12)</t>
        </is>
      </c>
      <c r="C222" s="7" t="n"/>
      <c r="D222" s="7" t="n"/>
      <c r="E222" s="7" t="n"/>
      <c r="F222" s="7" t="n"/>
    </row>
    <row r="223">
      <c r="B223" s="2" t="inlineStr">
        <is>
          <t>Tax-exempt revenue bonds</t>
        </is>
      </c>
      <c r="C223" s="10" t="n">
        <v>0.042</v>
      </c>
      <c r="D223" s="5" t="inlineStr">
        <is>
          <t>a year</t>
        </is>
      </c>
      <c r="F223" s="5" t="inlineStr">
        <is>
          <t>mu_kd</t>
        </is>
      </c>
    </row>
    <row r="224">
      <c r="B224" s="2" t="inlineStr">
        <is>
          <t>Debt service coverage covenant</t>
        </is>
      </c>
      <c r="C224" s="13" t="n">
        <v>1.25</v>
      </c>
      <c r="D224" s="5" t="inlineStr">
        <is>
          <t>x</t>
        </is>
      </c>
      <c r="F224" s="5" t="inlineStr">
        <is>
          <t>mu_cov</t>
        </is>
      </c>
    </row>
    <row r="225">
      <c r="B225" s="2" t="inlineStr">
        <is>
          <t>WIFIA rate</t>
        </is>
      </c>
      <c r="C225" s="10" t="n">
        <v>0.046</v>
      </c>
      <c r="D225" s="5" t="inlineStr">
        <is>
          <t>a year</t>
        </is>
      </c>
      <c r="F225" s="5" t="inlineStr">
        <is>
          <t>mu_wifia</t>
        </is>
      </c>
    </row>
    <row r="228">
      <c r="B228" s="6" t="inlineStr">
        <is>
          <t>Scenario definitions (read by the Scenarios sheet; each row overrides the inputs named in column D)</t>
        </is>
      </c>
      <c r="C228" s="7" t="n"/>
      <c r="D228" s="7" t="n"/>
      <c r="E228" s="7" t="n"/>
      <c r="F228" s="7" t="n"/>
    </row>
    <row r="229">
      <c r="B229" s="3" t="inlineStr">
        <is>
          <t>Scenario</t>
        </is>
      </c>
      <c r="C229" s="3" t="inlineStr">
        <is>
          <t>Value</t>
        </is>
      </c>
      <c r="D229" s="3" t="inlineStr">
        <is>
          <t>Overrides</t>
        </is>
      </c>
      <c r="E229" s="3" t="inlineStr">
        <is>
          <t>Id</t>
        </is>
      </c>
    </row>
    <row r="230">
      <c r="B230" s="2" t="inlineStr">
        <is>
          <t>Authorized return on equity 9.10 percent</t>
        </is>
      </c>
      <c r="C230" s="17" t="n">
        <v>0.091</v>
      </c>
      <c r="D230" s="5" t="inlineStr">
        <is>
          <t>pr_roe</t>
        </is>
      </c>
      <c r="E230" s="5" t="inlineStr">
        <is>
          <t>S1</t>
        </is>
      </c>
    </row>
    <row r="231">
      <c r="B231" s="2" t="inlineStr">
        <is>
          <t>Authorized return on equity 10.10 percent</t>
        </is>
      </c>
      <c r="C231" s="17" t="n">
        <v>0.101</v>
      </c>
      <c r="D231" s="5" t="inlineStr">
        <is>
          <t>pr_roe</t>
        </is>
      </c>
      <c r="E231" s="5" t="inlineStr">
        <is>
          <t>S2</t>
        </is>
      </c>
    </row>
    <row r="232">
      <c r="B232" s="2" t="inlineStr">
        <is>
          <t>No DSIC</t>
        </is>
      </c>
      <c r="C232" s="8" t="n">
        <v>0</v>
      </c>
      <c r="D232" s="5" t="inlineStr">
        <is>
          <t>pr_dsic</t>
        </is>
      </c>
      <c r="E232" s="5" t="inlineStr">
        <is>
          <t>S3</t>
        </is>
      </c>
    </row>
    <row r="233">
      <c r="B233" s="2" t="inlineStr">
        <is>
          <t>Three-year rate cycle, test year two years old</t>
        </is>
      </c>
      <c r="C233" s="8" t="n">
        <v>3</v>
      </c>
      <c r="D233" s="5" t="inlineStr">
        <is>
          <t>pr_rc_cycle</t>
        </is>
      </c>
      <c r="E233" s="5" t="inlineStr">
        <is>
          <t>S4</t>
        </is>
      </c>
    </row>
    <row r="234">
      <c r="B234" s="2" t="inlineStr"/>
      <c r="C234" s="8" t="n">
        <v>2</v>
      </c>
      <c r="D234" s="5" t="inlineStr">
        <is>
          <t>pr_test_lag</t>
        </is>
      </c>
      <c r="E234" s="5" t="inlineStr">
        <is>
          <t>S4</t>
        </is>
      </c>
    </row>
    <row r="235">
      <c r="B235" s="2" t="inlineStr">
        <is>
          <t>O&amp;M inflation 4.0 percent</t>
        </is>
      </c>
      <c r="C235" s="17" t="n">
        <v>0.04</v>
      </c>
      <c r="D235" s="5" t="inlineStr">
        <is>
          <t>pr_om_infl</t>
        </is>
      </c>
      <c r="E235" s="5" t="inlineStr">
        <is>
          <t>S5</t>
        </is>
      </c>
    </row>
    <row r="236">
      <c r="B236" s="2" t="inlineStr">
        <is>
          <t>Capital spending +20 percent, fully recovered</t>
        </is>
      </c>
      <c r="C236" s="17" t="n">
        <v>0.2</v>
      </c>
      <c r="D236" s="5" t="inlineStr">
        <is>
          <t>pr_capex_shift</t>
        </is>
      </c>
      <c r="E236" s="5" t="inlineStr">
        <is>
          <t>S6</t>
        </is>
      </c>
    </row>
    <row r="237">
      <c r="B237" s="2" t="inlineStr">
        <is>
          <t>10 percent of PFAS and lead spending disallowed</t>
        </is>
      </c>
      <c r="C237" s="17" t="n">
        <v>0.1</v>
      </c>
      <c r="D237" s="5" t="inlineStr">
        <is>
          <t>pr_disallow</t>
        </is>
      </c>
      <c r="E237" s="5" t="inlineStr">
        <is>
          <t>S7</t>
        </is>
      </c>
    </row>
    <row r="238">
      <c r="B238" s="2" t="inlineStr">
        <is>
          <t>Customer-side lead cost expensed</t>
        </is>
      </c>
      <c r="C238" s="8" t="n">
        <v>1</v>
      </c>
      <c r="D238" s="5" t="inlineStr">
        <is>
          <t>pr_lead_exp</t>
        </is>
      </c>
      <c r="E238" s="5" t="inlineStr">
        <is>
          <t>S8</t>
        </is>
      </c>
    </row>
    <row r="239">
      <c r="B239" s="2" t="inlineStr">
        <is>
          <t>New bond coupon 6.60 percent</t>
        </is>
      </c>
      <c r="C239" s="17" t="n">
        <v>0.066</v>
      </c>
      <c r="D239" s="5" t="inlineStr">
        <is>
          <t>pr_kd_new</t>
        </is>
      </c>
      <c r="E239" s="5" t="inlineStr">
        <is>
          <t>S9</t>
        </is>
      </c>
    </row>
    <row r="240">
      <c r="B240" s="2" t="inlineStr">
        <is>
          <t>No connection growth</t>
        </is>
      </c>
      <c r="C240" s="17" t="n">
        <v>0</v>
      </c>
      <c r="D240" s="5" t="inlineStr">
        <is>
          <t>pr_growth</t>
        </is>
      </c>
      <c r="E240" s="5" t="inlineStr">
        <is>
          <t>S10</t>
        </is>
      </c>
    </row>
    <row r="241">
      <c r="B241" s="2" t="inlineStr">
        <is>
          <t>PFAS built two years later (compliance extension)</t>
        </is>
      </c>
      <c r="C241" s="8" t="n">
        <v>2</v>
      </c>
      <c r="D241" s="5" t="inlineStr">
        <is>
          <t>pr_pfas_delay</t>
        </is>
      </c>
      <c r="E241" s="5" t="inlineStr">
        <is>
          <t>P1</t>
        </is>
      </c>
    </row>
    <row r="242">
      <c r="B242" s="2" t="inlineStr">
        <is>
          <t>Full decoupling</t>
        </is>
      </c>
      <c r="C242" s="8" t="n">
        <v>1</v>
      </c>
      <c r="D242" s="5" t="inlineStr">
        <is>
          <t>pr_decoupling</t>
        </is>
      </c>
      <c r="E242" s="5" t="inlineStr">
        <is>
          <t>D1</t>
        </is>
      </c>
    </row>
    <row r="243">
      <c r="B243" s="2" t="inlineStr">
        <is>
          <t>Use per connection falls 2 percent a year, no decoupling</t>
        </is>
      </c>
      <c r="C243" s="17" t="n">
        <v>0.02</v>
      </c>
      <c r="D243" s="5" t="inlineStr">
        <is>
          <t>pr_usage</t>
        </is>
      </c>
      <c r="E243" s="5" t="inlineStr">
        <is>
          <t>D2</t>
        </is>
      </c>
    </row>
    <row r="244">
      <c r="B244" s="2" t="inlineStr">
        <is>
          <t>Diligence bridge step 1: seller's plan</t>
        </is>
      </c>
      <c r="C244" s="17" t="n">
        <v>0.098</v>
      </c>
      <c r="D244" s="5" t="inlineStr">
        <is>
          <t>pr_roe</t>
        </is>
      </c>
      <c r="E244" s="5" t="inlineStr">
        <is>
          <t>B1</t>
        </is>
      </c>
    </row>
    <row r="245">
      <c r="B245" s="2" t="inlineStr"/>
      <c r="C245" s="8" t="n">
        <v>1</v>
      </c>
      <c r="D245" s="5" t="inlineStr">
        <is>
          <t>pr_rc_cycle</t>
        </is>
      </c>
      <c r="E245" s="5" t="inlineStr">
        <is>
          <t>B1</t>
        </is>
      </c>
    </row>
    <row r="246">
      <c r="B246" s="2" t="inlineStr"/>
      <c r="C246" s="8" t="n">
        <v>1</v>
      </c>
      <c r="D246" s="5" t="inlineStr">
        <is>
          <t>pr_test_lag</t>
        </is>
      </c>
      <c r="E246" s="5" t="inlineStr">
        <is>
          <t>B1</t>
        </is>
      </c>
    </row>
    <row r="247">
      <c r="B247" s="2" t="inlineStr"/>
      <c r="C247" s="17" t="n">
        <v>0.025</v>
      </c>
      <c r="D247" s="5" t="inlineStr">
        <is>
          <t>pr_om_infl</t>
        </is>
      </c>
      <c r="E247" s="5" t="inlineStr">
        <is>
          <t>B1</t>
        </is>
      </c>
    </row>
    <row r="248">
      <c r="B248" s="2" t="inlineStr"/>
      <c r="C248" s="17" t="n">
        <v>0</v>
      </c>
      <c r="D248" s="5" t="inlineStr">
        <is>
          <t>pr_pfas_om</t>
        </is>
      </c>
      <c r="E248" s="5" t="inlineStr">
        <is>
          <t>B1</t>
        </is>
      </c>
    </row>
    <row r="249">
      <c r="B249" s="2" t="inlineStr">
        <is>
          <t>Bridge step 2: return on equity 9.60 percent</t>
        </is>
      </c>
      <c r="C249" s="17" t="n">
        <v>0.096</v>
      </c>
      <c r="D249" s="5" t="inlineStr">
        <is>
          <t>pr_roe</t>
        </is>
      </c>
      <c r="E249" s="5" t="inlineStr">
        <is>
          <t>B2</t>
        </is>
      </c>
    </row>
    <row r="250">
      <c r="B250" s="2" t="inlineStr"/>
      <c r="C250" s="8" t="n">
        <v>1</v>
      </c>
      <c r="D250" s="5" t="inlineStr">
        <is>
          <t>pr_rc_cycle</t>
        </is>
      </c>
      <c r="E250" s="5" t="inlineStr">
        <is>
          <t>B2</t>
        </is>
      </c>
    </row>
    <row r="251">
      <c r="B251" s="2" t="inlineStr"/>
      <c r="C251" s="8" t="n">
        <v>1</v>
      </c>
      <c r="D251" s="5" t="inlineStr">
        <is>
          <t>pr_test_lag</t>
        </is>
      </c>
      <c r="E251" s="5" t="inlineStr">
        <is>
          <t>B2</t>
        </is>
      </c>
    </row>
    <row r="252">
      <c r="B252" s="2" t="inlineStr"/>
      <c r="C252" s="17" t="n">
        <v>0.025</v>
      </c>
      <c r="D252" s="5" t="inlineStr">
        <is>
          <t>pr_om_infl</t>
        </is>
      </c>
      <c r="E252" s="5" t="inlineStr">
        <is>
          <t>B2</t>
        </is>
      </c>
    </row>
    <row r="253">
      <c r="B253" s="2" t="inlineStr"/>
      <c r="C253" s="17" t="n">
        <v>0</v>
      </c>
      <c r="D253" s="5" t="inlineStr">
        <is>
          <t>pr_pfas_om</t>
        </is>
      </c>
      <c r="E253" s="5" t="inlineStr">
        <is>
          <t>B2</t>
        </is>
      </c>
    </row>
    <row r="254">
      <c r="B254" s="2" t="inlineStr">
        <is>
          <t>Bridge step 3: rate cases every two years</t>
        </is>
      </c>
      <c r="C254" s="17" t="n">
        <v>0.096</v>
      </c>
      <c r="D254" s="5" t="inlineStr">
        <is>
          <t>pr_roe</t>
        </is>
      </c>
      <c r="E254" s="5" t="inlineStr">
        <is>
          <t>B3</t>
        </is>
      </c>
    </row>
    <row r="255">
      <c r="B255" s="2" t="inlineStr"/>
      <c r="C255" s="8" t="n">
        <v>2</v>
      </c>
      <c r="D255" s="5" t="inlineStr">
        <is>
          <t>pr_rc_cycle</t>
        </is>
      </c>
      <c r="E255" s="5" t="inlineStr">
        <is>
          <t>B3</t>
        </is>
      </c>
    </row>
    <row r="256">
      <c r="B256" s="2" t="inlineStr"/>
      <c r="C256" s="8" t="n">
        <v>1</v>
      </c>
      <c r="D256" s="5" t="inlineStr">
        <is>
          <t>pr_test_lag</t>
        </is>
      </c>
      <c r="E256" s="5" t="inlineStr">
        <is>
          <t>B3</t>
        </is>
      </c>
    </row>
    <row r="257">
      <c r="B257" s="2" t="inlineStr"/>
      <c r="C257" s="17" t="n">
        <v>0.025</v>
      </c>
      <c r="D257" s="5" t="inlineStr">
        <is>
          <t>pr_om_infl</t>
        </is>
      </c>
      <c r="E257" s="5" t="inlineStr">
        <is>
          <t>B3</t>
        </is>
      </c>
    </row>
    <row r="258">
      <c r="B258" s="2" t="inlineStr"/>
      <c r="C258" s="17" t="n">
        <v>0</v>
      </c>
      <c r="D258" s="5" t="inlineStr">
        <is>
          <t>pr_pfas_om</t>
        </is>
      </c>
      <c r="E258" s="5" t="inlineStr">
        <is>
          <t>B3</t>
        </is>
      </c>
    </row>
    <row r="259">
      <c r="B259" s="2" t="inlineStr">
        <is>
          <t>Bridge step 4: O&amp;M inflation 3.0 percent</t>
        </is>
      </c>
      <c r="C259" s="17" t="n">
        <v>0.096</v>
      </c>
      <c r="D259" s="5" t="inlineStr">
        <is>
          <t>pr_roe</t>
        </is>
      </c>
      <c r="E259" s="5" t="inlineStr">
        <is>
          <t>B4</t>
        </is>
      </c>
    </row>
    <row r="260">
      <c r="B260" s="2" t="inlineStr"/>
      <c r="C260" s="8" t="n">
        <v>2</v>
      </c>
      <c r="D260" s="5" t="inlineStr">
        <is>
          <t>pr_rc_cycle</t>
        </is>
      </c>
      <c r="E260" s="5" t="inlineStr">
        <is>
          <t>B4</t>
        </is>
      </c>
    </row>
    <row r="261">
      <c r="B261" s="2" t="inlineStr"/>
      <c r="C261" s="8" t="n">
        <v>1</v>
      </c>
      <c r="D261" s="5" t="inlineStr">
        <is>
          <t>pr_test_lag</t>
        </is>
      </c>
      <c r="E261" s="5" t="inlineStr">
        <is>
          <t>B4</t>
        </is>
      </c>
    </row>
    <row r="262">
      <c r="B262" s="2" t="inlineStr"/>
      <c r="C262" s="17" t="n">
        <v>0.03</v>
      </c>
      <c r="D262" s="5" t="inlineStr">
        <is>
          <t>pr_om_infl</t>
        </is>
      </c>
      <c r="E262" s="5" t="inlineStr">
        <is>
          <t>B4</t>
        </is>
      </c>
    </row>
    <row r="263">
      <c r="B263" s="2" t="inlineStr"/>
      <c r="C263" s="17" t="n">
        <v>0</v>
      </c>
      <c r="D263" s="5" t="inlineStr">
        <is>
          <t>pr_pfas_om</t>
        </is>
      </c>
      <c r="E263" s="5" t="inlineStr">
        <is>
          <t>B4</t>
        </is>
      </c>
    </row>
    <row r="264">
      <c r="B264" s="2" t="inlineStr">
        <is>
          <t>Mains renewal held to 0.8 percent a year</t>
        </is>
      </c>
      <c r="C264" s="17" t="n">
        <v>0.008</v>
      </c>
      <c r="D264" s="5" t="inlineStr">
        <is>
          <t>pr_renewal</t>
        </is>
      </c>
      <c r="E264" s="5" t="inlineStr">
        <is>
          <t>MR</t>
        </is>
      </c>
    </row>
    <row r="265">
      <c r="B265" s="2" t="inlineStr">
        <is>
          <t>Without the Fennick purchase</t>
        </is>
      </c>
      <c r="C265" s="8" t="n">
        <v>0</v>
      </c>
      <c r="D265" s="5" t="inlineStr">
        <is>
          <t>pr_fen_on</t>
        </is>
      </c>
      <c r="E265" s="5" t="inlineStr">
        <is>
          <t>F0</t>
        </is>
      </c>
    </row>
    <row r="266">
      <c r="B266" s="2" t="inlineStr">
        <is>
          <t>Capital cost +10 percent (same tariff)</t>
        </is>
      </c>
      <c r="C266" s="17" t="n">
        <v>0.1</v>
      </c>
      <c r="D266" s="5" t="inlineStr">
        <is>
          <t>sb_capex_shift</t>
        </is>
      </c>
      <c r="E266" s="5" t="inlineStr">
        <is>
          <t>C1</t>
        </is>
      </c>
    </row>
    <row r="267">
      <c r="B267" s="2" t="inlineStr">
        <is>
          <t>Six-month delay (70 percent covered by delay damages)</t>
        </is>
      </c>
      <c r="C267" s="17" t="n">
        <v>0.5</v>
      </c>
      <c r="D267" s="5" t="inlineStr">
        <is>
          <t>sb_delay</t>
        </is>
      </c>
      <c r="E267" s="5" t="inlineStr">
        <is>
          <t>C2</t>
        </is>
      </c>
    </row>
    <row r="268">
      <c r="B268" s="2" t="inlineStr">
        <is>
          <t>Availability 92 percent</t>
        </is>
      </c>
      <c r="C268" s="17" t="n">
        <v>0.92</v>
      </c>
      <c r="D268" s="5" t="inlineStr">
        <is>
          <t>sb_avail</t>
        </is>
      </c>
      <c r="E268" s="5" t="inlineStr">
        <is>
          <t>C3</t>
        </is>
      </c>
    </row>
    <row r="269">
      <c r="B269" s="2" t="inlineStr">
        <is>
          <t>Power price +$20 per MWh, passed through</t>
        </is>
      </c>
      <c r="C269" s="17" t="n">
        <v>20</v>
      </c>
      <c r="D269" s="5" t="inlineStr">
        <is>
          <t>sb_power_shift</t>
        </is>
      </c>
      <c r="E269" s="5" t="inlineStr">
        <is>
          <t>C4</t>
        </is>
      </c>
    </row>
    <row r="270">
      <c r="B270" s="2" t="inlineStr"/>
      <c r="C270" s="8" t="n">
        <v>1</v>
      </c>
      <c r="D270" s="5" t="inlineStr">
        <is>
          <t>sb_pass</t>
        </is>
      </c>
      <c r="E270" s="5" t="inlineStr">
        <is>
          <t>C4</t>
        </is>
      </c>
    </row>
    <row r="271">
      <c r="B271" s="2" t="inlineStr">
        <is>
          <t>Power price +$20 per MWh, not passed through</t>
        </is>
      </c>
      <c r="C271" s="17" t="n">
        <v>20</v>
      </c>
      <c r="D271" s="5" t="inlineStr">
        <is>
          <t>sb_power_shift</t>
        </is>
      </c>
      <c r="E271" s="5" t="inlineStr">
        <is>
          <t>C5</t>
        </is>
      </c>
    </row>
    <row r="272">
      <c r="B272" s="2" t="inlineStr"/>
      <c r="C272" s="8" t="n">
        <v>0</v>
      </c>
      <c r="D272" s="5" t="inlineStr">
        <is>
          <t>sb_pass</t>
        </is>
      </c>
      <c r="E272" s="5" t="inlineStr">
        <is>
          <t>C5</t>
        </is>
      </c>
    </row>
    <row r="273">
      <c r="B273" s="2" t="inlineStr">
        <is>
          <t>Energy use 3.9 kWh per m3 instead of 3.6</t>
        </is>
      </c>
      <c r="C273" s="17" t="n">
        <v>3.9</v>
      </c>
      <c r="D273" s="5" t="inlineStr">
        <is>
          <t>sb_sec_act</t>
        </is>
      </c>
      <c r="E273" s="5" t="inlineStr">
        <is>
          <t>C6</t>
        </is>
      </c>
    </row>
    <row r="274">
      <c r="B274" s="2" t="inlineStr">
        <is>
          <t>Offtake 65 percent instead of 85</t>
        </is>
      </c>
      <c r="C274" s="17" t="n">
        <v>0.65</v>
      </c>
      <c r="D274" s="5" t="inlineStr">
        <is>
          <t>sb_dispatch</t>
        </is>
      </c>
      <c r="E274" s="5" t="inlineStr">
        <is>
          <t>C7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N27"/>
  <sheetViews>
    <sheetView showGridLines="0" workbookViewId="0">
      <selection activeCell="A1" sqref="A1"/>
    </sheetView>
  </sheetViews>
  <sheetFormatPr baseColWidth="8" defaultRowHeight="15"/>
  <cols>
    <col width="2" customWidth="1" min="1" max="1"/>
    <col width="58"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s>
  <sheetData>
    <row r="2">
      <c r="B2" s="1" t="inlineStr">
        <is>
          <t>Pell River: the system (connections, mains, non-revenue water, energy)</t>
        </is>
      </c>
    </row>
    <row r="3">
      <c r="B3" s="5" t="inlineStr">
        <is>
          <t>Basis: physical quantities; values in $ million. Columns 2027 to 2037.</t>
        </is>
      </c>
    </row>
    <row r="5">
      <c r="B5" s="3" t="inlineStr">
        <is>
          <t>Year</t>
        </is>
      </c>
      <c r="D5" s="18">
        <f>Utility!D4</f>
        <v/>
      </c>
      <c r="E5" s="18">
        <f>Utility!E4</f>
        <v/>
      </c>
      <c r="F5" s="18">
        <f>Utility!F4</f>
        <v/>
      </c>
      <c r="G5" s="18">
        <f>Utility!G4</f>
        <v/>
      </c>
      <c r="H5" s="18">
        <f>Utility!H4</f>
        <v/>
      </c>
      <c r="I5" s="18">
        <f>Utility!I4</f>
        <v/>
      </c>
      <c r="J5" s="18">
        <f>Utility!J4</f>
        <v/>
      </c>
      <c r="K5" s="18">
        <f>Utility!K4</f>
        <v/>
      </c>
      <c r="L5" s="18">
        <f>Utility!L4</f>
        <v/>
      </c>
      <c r="M5" s="18">
        <f>Utility!M4</f>
        <v/>
      </c>
      <c r="N5" s="18">
        <f>Utility!N4</f>
        <v/>
      </c>
    </row>
    <row r="6">
      <c r="B6" s="2" t="inlineStr">
        <is>
          <t>Connections (from Utility)</t>
        </is>
      </c>
      <c r="D6" s="19">
        <f>Utility!D6</f>
        <v/>
      </c>
      <c r="E6" s="19">
        <f>Utility!E6</f>
        <v/>
      </c>
      <c r="F6" s="19">
        <f>Utility!F6</f>
        <v/>
      </c>
      <c r="G6" s="19">
        <f>Utility!G6</f>
        <v/>
      </c>
      <c r="H6" s="19">
        <f>Utility!H6</f>
        <v/>
      </c>
      <c r="I6" s="19">
        <f>Utility!I6</f>
        <v/>
      </c>
      <c r="J6" s="19">
        <f>Utility!J6</f>
        <v/>
      </c>
      <c r="K6" s="19">
        <f>Utility!K6</f>
        <v/>
      </c>
      <c r="L6" s="19">
        <f>Utility!L6</f>
        <v/>
      </c>
      <c r="M6" s="19">
        <f>Utility!M6</f>
        <v/>
      </c>
      <c r="N6" s="19">
        <f>Utility!N6</f>
        <v/>
      </c>
    </row>
    <row r="7">
      <c r="B7" s="2" t="inlineStr">
        <is>
          <t>Non-revenue water, share of production</t>
        </is>
      </c>
      <c r="D7" s="20">
        <f>pr_nrw_2027-(pr_nrw_2027-pr_nrw_target)*MIN(D$5-pr_close,pr_nrw_years)/pr_nrw_years</f>
        <v/>
      </c>
      <c r="E7" s="20">
        <f>pr_nrw_2027-(pr_nrw_2027-pr_nrw_target)*MIN(E$5-pr_close,pr_nrw_years)/pr_nrw_years</f>
        <v/>
      </c>
      <c r="F7" s="20">
        <f>pr_nrw_2027-(pr_nrw_2027-pr_nrw_target)*MIN(F$5-pr_close,pr_nrw_years)/pr_nrw_years</f>
        <v/>
      </c>
      <c r="G7" s="20">
        <f>pr_nrw_2027-(pr_nrw_2027-pr_nrw_target)*MIN(G$5-pr_close,pr_nrw_years)/pr_nrw_years</f>
        <v/>
      </c>
      <c r="H7" s="20">
        <f>pr_nrw_2027-(pr_nrw_2027-pr_nrw_target)*MIN(H$5-pr_close,pr_nrw_years)/pr_nrw_years</f>
        <v/>
      </c>
      <c r="I7" s="20">
        <f>pr_nrw_2027-(pr_nrw_2027-pr_nrw_target)*MIN(I$5-pr_close,pr_nrw_years)/pr_nrw_years</f>
        <v/>
      </c>
      <c r="J7" s="20">
        <f>pr_nrw_2027-(pr_nrw_2027-pr_nrw_target)*MIN(J$5-pr_close,pr_nrw_years)/pr_nrw_years</f>
        <v/>
      </c>
      <c r="K7" s="20">
        <f>pr_nrw_2027-(pr_nrw_2027-pr_nrw_target)*MIN(K$5-pr_close,pr_nrw_years)/pr_nrw_years</f>
        <v/>
      </c>
      <c r="L7" s="20">
        <f>pr_nrw_2027-(pr_nrw_2027-pr_nrw_target)*MIN(L$5-pr_close,pr_nrw_years)/pr_nrw_years</f>
        <v/>
      </c>
      <c r="M7" s="20">
        <f>pr_nrw_2027-(pr_nrw_2027-pr_nrw_target)*MIN(M$5-pr_close,pr_nrw_years)/pr_nrw_years</f>
        <v/>
      </c>
      <c r="N7" s="20">
        <f>pr_nrw_2027-(pr_nrw_2027-pr_nrw_target)*MIN(N$5-pr_close,pr_nrw_years)/pr_nrw_years</f>
        <v/>
      </c>
    </row>
    <row r="8">
      <c r="B8" s="2" t="inlineStr">
        <is>
          <t>Billed water (MGD)</t>
        </is>
      </c>
      <c r="D8" s="21">
        <f>pr_produced*(1-pr_nrw_2027)*(1+pr_growth)^(D$5-pr_close)*(1-pr_usage)^(D$5-pr_close)</f>
        <v/>
      </c>
      <c r="E8" s="21">
        <f>pr_produced*(1-pr_nrw_2027)*(1+pr_growth)^(E$5-pr_close)*(1-pr_usage)^(E$5-pr_close)</f>
        <v/>
      </c>
      <c r="F8" s="21">
        <f>pr_produced*(1-pr_nrw_2027)*(1+pr_growth)^(F$5-pr_close)*(1-pr_usage)^(F$5-pr_close)</f>
        <v/>
      </c>
      <c r="G8" s="21">
        <f>pr_produced*(1-pr_nrw_2027)*(1+pr_growth)^(G$5-pr_close)*(1-pr_usage)^(G$5-pr_close)</f>
        <v/>
      </c>
      <c r="H8" s="21">
        <f>pr_produced*(1-pr_nrw_2027)*(1+pr_growth)^(H$5-pr_close)*(1-pr_usage)^(H$5-pr_close)</f>
        <v/>
      </c>
      <c r="I8" s="21">
        <f>pr_produced*(1-pr_nrw_2027)*(1+pr_growth)^(I$5-pr_close)*(1-pr_usage)^(I$5-pr_close)</f>
        <v/>
      </c>
      <c r="J8" s="21">
        <f>pr_produced*(1-pr_nrw_2027)*(1+pr_growth)^(J$5-pr_close)*(1-pr_usage)^(J$5-pr_close)</f>
        <v/>
      </c>
      <c r="K8" s="21">
        <f>pr_produced*(1-pr_nrw_2027)*(1+pr_growth)^(K$5-pr_close)*(1-pr_usage)^(K$5-pr_close)</f>
        <v/>
      </c>
      <c r="L8" s="21">
        <f>pr_produced*(1-pr_nrw_2027)*(1+pr_growth)^(L$5-pr_close)*(1-pr_usage)^(L$5-pr_close)</f>
        <v/>
      </c>
      <c r="M8" s="21">
        <f>pr_produced*(1-pr_nrw_2027)*(1+pr_growth)^(M$5-pr_close)*(1-pr_usage)^(M$5-pr_close)</f>
        <v/>
      </c>
      <c r="N8" s="21">
        <f>pr_produced*(1-pr_nrw_2027)*(1+pr_growth)^(N$5-pr_close)*(1-pr_usage)^(N$5-pr_close)</f>
        <v/>
      </c>
    </row>
    <row r="9">
      <c r="B9" s="2" t="inlineStr">
        <is>
          <t>Water produced (MGD)</t>
        </is>
      </c>
      <c r="D9" s="21">
        <f>D8/(1-D7)</f>
        <v/>
      </c>
      <c r="E9" s="21">
        <f>E8/(1-E7)</f>
        <v/>
      </c>
      <c r="F9" s="21">
        <f>F8/(1-F7)</f>
        <v/>
      </c>
      <c r="G9" s="21">
        <f>G8/(1-G7)</f>
        <v/>
      </c>
      <c r="H9" s="21">
        <f>H8/(1-H7)</f>
        <v/>
      </c>
      <c r="I9" s="21">
        <f>I8/(1-I7)</f>
        <v/>
      </c>
      <c r="J9" s="21">
        <f>J8/(1-J7)</f>
        <v/>
      </c>
      <c r="K9" s="21">
        <f>K8/(1-K7)</f>
        <v/>
      </c>
      <c r="L9" s="21">
        <f>L8/(1-L7)</f>
        <v/>
      </c>
      <c r="M9" s="21">
        <f>M8/(1-M7)</f>
        <v/>
      </c>
      <c r="N9" s="21">
        <f>N8/(1-N7)</f>
        <v/>
      </c>
    </row>
    <row r="10">
      <c r="B10" s="2" t="inlineStr">
        <is>
          <t>Water lost (MGD)</t>
        </is>
      </c>
      <c r="D10" s="21">
        <f>D9-D8</f>
        <v/>
      </c>
      <c r="E10" s="21">
        <f>E9-E8</f>
        <v/>
      </c>
      <c r="F10" s="21">
        <f>F9-F8</f>
        <v/>
      </c>
      <c r="G10" s="21">
        <f>G9-G8</f>
        <v/>
      </c>
      <c r="H10" s="21">
        <f>H9-H8</f>
        <v/>
      </c>
      <c r="I10" s="21">
        <f>I9-I8</f>
        <v/>
      </c>
      <c r="J10" s="21">
        <f>J9-J8</f>
        <v/>
      </c>
      <c r="K10" s="21">
        <f>K9-K8</f>
        <v/>
      </c>
      <c r="L10" s="21">
        <f>L9-L8</f>
        <v/>
      </c>
      <c r="M10" s="21">
        <f>M9-M8</f>
        <v/>
      </c>
      <c r="N10" s="21">
        <f>N9-N8</f>
        <v/>
      </c>
    </row>
    <row r="11">
      <c r="B11" s="2" t="inlineStr">
        <is>
          <t>Production if non-revenue water stayed at the 2027 rate (MGD)</t>
        </is>
      </c>
      <c r="D11" s="21">
        <f>D8/(1-pr_nrw_2027)</f>
        <v/>
      </c>
      <c r="E11" s="21">
        <f>E8/(1-pr_nrw_2027)</f>
        <v/>
      </c>
      <c r="F11" s="21">
        <f>F8/(1-pr_nrw_2027)</f>
        <v/>
      </c>
      <c r="G11" s="21">
        <f>G8/(1-pr_nrw_2027)</f>
        <v/>
      </c>
      <c r="H11" s="21">
        <f>H8/(1-pr_nrw_2027)</f>
        <v/>
      </c>
      <c r="I11" s="21">
        <f>I8/(1-pr_nrw_2027)</f>
        <v/>
      </c>
      <c r="J11" s="21">
        <f>J8/(1-pr_nrw_2027)</f>
        <v/>
      </c>
      <c r="K11" s="21">
        <f>K8/(1-pr_nrw_2027)</f>
        <v/>
      </c>
      <c r="L11" s="21">
        <f>L8/(1-pr_nrw_2027)</f>
        <v/>
      </c>
      <c r="M11" s="21">
        <f>M8/(1-pr_nrw_2027)</f>
        <v/>
      </c>
      <c r="N11" s="21">
        <f>N8/(1-pr_nrw_2027)</f>
        <v/>
      </c>
    </row>
    <row r="12">
      <c r="B12" s="2" t="inlineStr">
        <is>
          <t>Water saved (MGD)</t>
        </is>
      </c>
      <c r="D12" s="21">
        <f>D11-D9</f>
        <v/>
      </c>
      <c r="E12" s="21">
        <f>E11-E9</f>
        <v/>
      </c>
      <c r="F12" s="21">
        <f>F11-F9</f>
        <v/>
      </c>
      <c r="G12" s="21">
        <f>G11-G9</f>
        <v/>
      </c>
      <c r="H12" s="21">
        <f>H11-H9</f>
        <v/>
      </c>
      <c r="I12" s="21">
        <f>I11-I9</f>
        <v/>
      </c>
      <c r="J12" s="21">
        <f>J11-J9</f>
        <v/>
      </c>
      <c r="K12" s="21">
        <f>K11-K9</f>
        <v/>
      </c>
      <c r="L12" s="21">
        <f>L11-L9</f>
        <v/>
      </c>
      <c r="M12" s="21">
        <f>M11-M9</f>
        <v/>
      </c>
      <c r="N12" s="21">
        <f>N11-N9</f>
        <v/>
      </c>
    </row>
    <row r="13">
      <c r="B13" s="2" t="inlineStr">
        <is>
          <t>Marginal production cost ($ per 1,000 gallons)</t>
        </is>
      </c>
      <c r="D13" s="22">
        <f>pr_marg_cost*(1+pr_marg_esc)^(D$5-pr_close-1)</f>
        <v/>
      </c>
      <c r="E13" s="22">
        <f>pr_marg_cost*(1+pr_marg_esc)^(E$5-pr_close-1)</f>
        <v/>
      </c>
      <c r="F13" s="22">
        <f>pr_marg_cost*(1+pr_marg_esc)^(F$5-pr_close-1)</f>
        <v/>
      </c>
      <c r="G13" s="22">
        <f>pr_marg_cost*(1+pr_marg_esc)^(G$5-pr_close-1)</f>
        <v/>
      </c>
      <c r="H13" s="22">
        <f>pr_marg_cost*(1+pr_marg_esc)^(H$5-pr_close-1)</f>
        <v/>
      </c>
      <c r="I13" s="22">
        <f>pr_marg_cost*(1+pr_marg_esc)^(I$5-pr_close-1)</f>
        <v/>
      </c>
      <c r="J13" s="22">
        <f>pr_marg_cost*(1+pr_marg_esc)^(J$5-pr_close-1)</f>
        <v/>
      </c>
      <c r="K13" s="22">
        <f>pr_marg_cost*(1+pr_marg_esc)^(K$5-pr_close-1)</f>
        <v/>
      </c>
      <c r="L13" s="22">
        <f>pr_marg_cost*(1+pr_marg_esc)^(L$5-pr_close-1)</f>
        <v/>
      </c>
      <c r="M13" s="22">
        <f>pr_marg_cost*(1+pr_marg_esc)^(M$5-pr_close-1)</f>
        <v/>
      </c>
      <c r="N13" s="22">
        <f>pr_marg_cost*(1+pr_marg_esc)^(N$5-pr_close-1)</f>
        <v/>
      </c>
    </row>
    <row r="14">
      <c r="B14" s="2" t="inlineStr">
        <is>
          <t>Value of water saved ($ million a year)</t>
        </is>
      </c>
      <c r="D14" s="22">
        <f>D12*1000*365*D13/1000000</f>
        <v/>
      </c>
      <c r="E14" s="22">
        <f>E12*1000*365*E13/1000000</f>
        <v/>
      </c>
      <c r="F14" s="22">
        <f>F12*1000*365*F13/1000000</f>
        <v/>
      </c>
      <c r="G14" s="22">
        <f>G12*1000*365*G13/1000000</f>
        <v/>
      </c>
      <c r="H14" s="22">
        <f>H12*1000*365*H13/1000000</f>
        <v/>
      </c>
      <c r="I14" s="22">
        <f>I12*1000*365*I13/1000000</f>
        <v/>
      </c>
      <c r="J14" s="22">
        <f>J12*1000*365*J13/1000000</f>
        <v/>
      </c>
      <c r="K14" s="22">
        <f>K12*1000*365*K13/1000000</f>
        <v/>
      </c>
      <c r="L14" s="22">
        <f>L12*1000*365*L13/1000000</f>
        <v/>
      </c>
      <c r="M14" s="22">
        <f>M12*1000*365*M13/1000000</f>
        <v/>
      </c>
      <c r="N14" s="22">
        <f>N12*1000*365*N13/1000000</f>
        <v/>
      </c>
    </row>
    <row r="15">
      <c r="B15" s="2" t="inlineStr">
        <is>
          <t>Water-side energy (MWh)</t>
        </is>
      </c>
      <c r="D15" s="19">
        <f>D9*365*pr_kwh_mg/1000</f>
        <v/>
      </c>
      <c r="E15" s="19">
        <f>E9*365*pr_kwh_mg/1000</f>
        <v/>
      </c>
      <c r="F15" s="19">
        <f>F9*365*pr_kwh_mg/1000</f>
        <v/>
      </c>
      <c r="G15" s="19">
        <f>G9*365*pr_kwh_mg/1000</f>
        <v/>
      </c>
      <c r="H15" s="19">
        <f>H9*365*pr_kwh_mg/1000</f>
        <v/>
      </c>
      <c r="I15" s="19">
        <f>I9*365*pr_kwh_mg/1000</f>
        <v/>
      </c>
      <c r="J15" s="19">
        <f>J9*365*pr_kwh_mg/1000</f>
        <v/>
      </c>
      <c r="K15" s="19">
        <f>K9*365*pr_kwh_mg/1000</f>
        <v/>
      </c>
      <c r="L15" s="19">
        <f>L9*365*pr_kwh_mg/1000</f>
        <v/>
      </c>
      <c r="M15" s="19">
        <f>M9*365*pr_kwh_mg/1000</f>
        <v/>
      </c>
      <c r="N15" s="19">
        <f>N9*365*pr_kwh_mg/1000</f>
        <v/>
      </c>
    </row>
    <row r="16">
      <c r="B16" s="2" t="inlineStr">
        <is>
          <t>Emissions (tonnes of CO2)</t>
        </is>
      </c>
      <c r="D16" s="19">
        <f>D15*pr_grid</f>
        <v/>
      </c>
      <c r="E16" s="19">
        <f>E15*pr_grid</f>
        <v/>
      </c>
      <c r="F16" s="19">
        <f>F15*pr_grid</f>
        <v/>
      </c>
      <c r="G16" s="19">
        <f>G15*pr_grid</f>
        <v/>
      </c>
      <c r="H16" s="19">
        <f>H15*pr_grid</f>
        <v/>
      </c>
      <c r="I16" s="19">
        <f>I15*pr_grid</f>
        <v/>
      </c>
      <c r="J16" s="19">
        <f>J15*pr_grid</f>
        <v/>
      </c>
      <c r="K16" s="19">
        <f>K15*pr_grid</f>
        <v/>
      </c>
      <c r="L16" s="19">
        <f>L15*pr_grid</f>
        <v/>
      </c>
      <c r="M16" s="19">
        <f>M15*pr_grid</f>
        <v/>
      </c>
      <c r="N16" s="19">
        <f>N15*pr_grid</f>
        <v/>
      </c>
    </row>
    <row r="17">
      <c r="B17" s="2" t="inlineStr">
        <is>
          <t>Energy avoided by the leakage program (MWh)</t>
        </is>
      </c>
      <c r="D17" s="19">
        <f>D12*365*pr_kwh_mg/1000</f>
        <v/>
      </c>
      <c r="E17" s="19">
        <f>E12*365*pr_kwh_mg/1000</f>
        <v/>
      </c>
      <c r="F17" s="19">
        <f>F12*365*pr_kwh_mg/1000</f>
        <v/>
      </c>
      <c r="G17" s="19">
        <f>G12*365*pr_kwh_mg/1000</f>
        <v/>
      </c>
      <c r="H17" s="19">
        <f>H12*365*pr_kwh_mg/1000</f>
        <v/>
      </c>
      <c r="I17" s="19">
        <f>I12*365*pr_kwh_mg/1000</f>
        <v/>
      </c>
      <c r="J17" s="19">
        <f>J12*365*pr_kwh_mg/1000</f>
        <v/>
      </c>
      <c r="K17" s="19">
        <f>K12*365*pr_kwh_mg/1000</f>
        <v/>
      </c>
      <c r="L17" s="19">
        <f>L12*365*pr_kwh_mg/1000</f>
        <v/>
      </c>
      <c r="M17" s="19">
        <f>M12*365*pr_kwh_mg/1000</f>
        <v/>
      </c>
      <c r="N17" s="19">
        <f>N12*365*pr_kwh_mg/1000</f>
        <v/>
      </c>
    </row>
    <row r="20">
      <c r="B20" s="6" t="inlineStr">
        <is>
          <t>Mains and diligence</t>
        </is>
      </c>
    </row>
    <row r="21">
      <c r="B21" s="2" t="inlineStr">
        <is>
          <t>Brannock's plan: miles replaced a year</t>
        </is>
      </c>
      <c r="C21" s="19">
        <f>pr_renewal*pr_mains_miles</f>
        <v/>
      </c>
    </row>
    <row r="22">
      <c r="B22" s="2" t="inlineStr">
        <is>
          <t>Brannock's plan: replacement cycle (years)</t>
        </is>
      </c>
      <c r="C22" s="19">
        <f>1/pr_renewal</f>
        <v/>
      </c>
    </row>
    <row r="23">
      <c r="B23" s="2" t="inlineStr">
        <is>
          <t>Corliss: miles replaced a year</t>
        </is>
      </c>
      <c r="C23" s="19">
        <f>pr_hist_renewal*pr_mains_miles</f>
        <v/>
      </c>
    </row>
    <row r="24">
      <c r="B24" s="2" t="inlineStr">
        <is>
          <t>Corliss: replacement cycle (years)</t>
        </is>
      </c>
      <c r="C24" s="19">
        <f>1/pr_hist_renewal</f>
        <v/>
      </c>
    </row>
    <row r="25">
      <c r="B25" s="2" t="inlineStr">
        <is>
          <t>Cost of the gap between true and data-room non-revenue water ($ million a year, 2028 cost)</t>
        </is>
      </c>
      <c r="C25" s="22">
        <f>(pr_nrw_2027-sel_nrw)*pr_produced*365*1000*pr_marg_cost/1000000</f>
        <v/>
      </c>
    </row>
    <row r="26">
      <c r="B26" s="2" t="inlineStr">
        <is>
          <t>Water-side energy per m3</t>
        </is>
      </c>
      <c r="C26" s="22">
        <f>pr_kwh_mg/1000000*u_gal</f>
        <v/>
      </c>
    </row>
    <row r="27">
      <c r="B27" s="2" t="inlineStr">
        <is>
          <t>Emissions avoided by the leakage program in 2033 (tonnes)</t>
        </is>
      </c>
      <c r="C27" s="19">
        <f>System!$J$17*pr_grid</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O31"/>
  <sheetViews>
    <sheetView showGridLines="0" workbookViewId="0">
      <selection activeCell="A1" sqref="A1"/>
    </sheetView>
  </sheetViews>
  <sheetFormatPr baseColWidth="8" defaultRowHeight="15"/>
  <cols>
    <col width="2" customWidth="1" min="1" max="1"/>
    <col width="66"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s>
  <sheetData>
    <row r="2">
      <c r="B2" s="1" t="inlineStr">
        <is>
          <t>Pell River: the capital plan, PFAS and lead ($ million)</t>
        </is>
      </c>
    </row>
    <row r="3">
      <c r="B3" s="5" t="inlineStr">
        <is>
          <t>Basis: nominal dollars; costs rise with the escalation input from 2028. Lines come from Utility.</t>
        </is>
      </c>
    </row>
    <row r="5">
      <c r="B5" s="3" t="inlineStr">
        <is>
          <t>Year</t>
        </is>
      </c>
      <c r="E5" s="18">
        <f>Utility!E4</f>
        <v/>
      </c>
      <c r="F5" s="18">
        <f>Utility!F4</f>
        <v/>
      </c>
      <c r="G5" s="18">
        <f>Utility!G4</f>
        <v/>
      </c>
      <c r="H5" s="18">
        <f>Utility!H4</f>
        <v/>
      </c>
      <c r="I5" s="18">
        <f>Utility!I4</f>
        <v/>
      </c>
      <c r="J5" s="18">
        <f>Utility!J4</f>
        <v/>
      </c>
      <c r="K5" s="18">
        <f>Utility!K4</f>
        <v/>
      </c>
      <c r="L5" s="18">
        <f>Utility!L4</f>
        <v/>
      </c>
      <c r="M5" s="18">
        <f>Utility!M4</f>
        <v/>
      </c>
      <c r="N5" s="18">
        <f>Utility!N4</f>
        <v/>
      </c>
      <c r="O5" s="3" t="inlineStr">
        <is>
          <t>2028 to 2037</t>
        </is>
      </c>
    </row>
    <row r="6">
      <c r="B6" s="2" t="inlineStr">
        <is>
          <t>Main renewal</t>
        </is>
      </c>
      <c r="E6" s="23">
        <f>Utility!E10</f>
        <v/>
      </c>
      <c r="F6" s="23">
        <f>Utility!F10</f>
        <v/>
      </c>
      <c r="G6" s="23">
        <f>Utility!G10</f>
        <v/>
      </c>
      <c r="H6" s="23">
        <f>Utility!H10</f>
        <v/>
      </c>
      <c r="I6" s="23">
        <f>Utility!I10</f>
        <v/>
      </c>
      <c r="J6" s="23">
        <f>Utility!J10</f>
        <v/>
      </c>
      <c r="K6" s="23">
        <f>Utility!K10</f>
        <v/>
      </c>
      <c r="L6" s="23">
        <f>Utility!L10</f>
        <v/>
      </c>
      <c r="M6" s="23">
        <f>Utility!M10</f>
        <v/>
      </c>
      <c r="N6" s="23">
        <f>Utility!N10</f>
        <v/>
      </c>
      <c r="O6" s="24">
        <f>SUM(E6:N6)</f>
        <v/>
      </c>
    </row>
    <row r="7">
      <c r="B7" s="2" t="inlineStr">
        <is>
          <t>Treatment, storage, meters, IT and growth</t>
        </is>
      </c>
      <c r="E7" s="23">
        <f>Utility!E11</f>
        <v/>
      </c>
      <c r="F7" s="23">
        <f>Utility!F11</f>
        <v/>
      </c>
      <c r="G7" s="23">
        <f>Utility!G11</f>
        <v/>
      </c>
      <c r="H7" s="23">
        <f>Utility!H11</f>
        <v/>
      </c>
      <c r="I7" s="23">
        <f>Utility!I11</f>
        <v/>
      </c>
      <c r="J7" s="23">
        <f>Utility!J11</f>
        <v/>
      </c>
      <c r="K7" s="23">
        <f>Utility!K11</f>
        <v/>
      </c>
      <c r="L7" s="23">
        <f>Utility!L11</f>
        <v/>
      </c>
      <c r="M7" s="23">
        <f>Utility!M11</f>
        <v/>
      </c>
      <c r="N7" s="23">
        <f>Utility!N11</f>
        <v/>
      </c>
      <c r="O7" s="24">
        <f>SUM(E7:N7)</f>
        <v/>
      </c>
    </row>
    <row r="8">
      <c r="B8" s="2" t="inlineStr">
        <is>
          <t>PFAS treatment</t>
        </is>
      </c>
      <c r="E8" s="23">
        <f>Utility!E12</f>
        <v/>
      </c>
      <c r="F8" s="23">
        <f>Utility!F12</f>
        <v/>
      </c>
      <c r="G8" s="23">
        <f>Utility!G12</f>
        <v/>
      </c>
      <c r="H8" s="23">
        <f>Utility!H12</f>
        <v/>
      </c>
      <c r="I8" s="23">
        <f>Utility!I12</f>
        <v/>
      </c>
      <c r="J8" s="23">
        <f>Utility!J12</f>
        <v/>
      </c>
      <c r="K8" s="23">
        <f>Utility!K12</f>
        <v/>
      </c>
      <c r="L8" s="23">
        <f>Utility!L12</f>
        <v/>
      </c>
      <c r="M8" s="23">
        <f>Utility!M12</f>
        <v/>
      </c>
      <c r="N8" s="23">
        <f>Utility!N12</f>
        <v/>
      </c>
      <c r="O8" s="24">
        <f>SUM(E8:N8)</f>
        <v/>
      </c>
    </row>
    <row r="9">
      <c r="B9" s="2" t="inlineStr">
        <is>
          <t>Lead service lines</t>
        </is>
      </c>
      <c r="E9" s="23">
        <f>Utility!E13</f>
        <v/>
      </c>
      <c r="F9" s="23">
        <f>Utility!F13</f>
        <v/>
      </c>
      <c r="G9" s="23">
        <f>Utility!G13</f>
        <v/>
      </c>
      <c r="H9" s="23">
        <f>Utility!H13</f>
        <v/>
      </c>
      <c r="I9" s="23">
        <f>Utility!I13</f>
        <v/>
      </c>
      <c r="J9" s="23">
        <f>Utility!J13</f>
        <v/>
      </c>
      <c r="K9" s="23">
        <f>Utility!K13</f>
        <v/>
      </c>
      <c r="L9" s="23">
        <f>Utility!L13</f>
        <v/>
      </c>
      <c r="M9" s="23">
        <f>Utility!M13</f>
        <v/>
      </c>
      <c r="N9" s="23">
        <f>Utility!N13</f>
        <v/>
      </c>
      <c r="O9" s="24">
        <f>SUM(E9:N9)</f>
        <v/>
      </c>
    </row>
    <row r="10">
      <c r="B10" s="2" t="inlineStr">
        <is>
          <t>Fennick system</t>
        </is>
      </c>
      <c r="E10" s="23">
        <f>Utility!E14</f>
        <v/>
      </c>
      <c r="F10" s="23">
        <f>Utility!F14</f>
        <v/>
      </c>
      <c r="G10" s="23">
        <f>Utility!G14</f>
        <v/>
      </c>
      <c r="H10" s="23">
        <f>Utility!H14</f>
        <v/>
      </c>
      <c r="I10" s="23">
        <f>Utility!I14</f>
        <v/>
      </c>
      <c r="J10" s="23">
        <f>Utility!J14</f>
        <v/>
      </c>
      <c r="K10" s="23">
        <f>Utility!K14</f>
        <v/>
      </c>
      <c r="L10" s="23">
        <f>Utility!L14</f>
        <v/>
      </c>
      <c r="M10" s="23">
        <f>Utility!M14</f>
        <v/>
      </c>
      <c r="N10" s="23">
        <f>Utility!N14</f>
        <v/>
      </c>
      <c r="O10" s="24">
        <f>SUM(E10:N10)</f>
        <v/>
      </c>
    </row>
    <row r="11">
      <c r="B11" s="3" t="inlineStr">
        <is>
          <t>Total capital spending</t>
        </is>
      </c>
      <c r="E11" s="24">
        <f>Utility!E15</f>
        <v/>
      </c>
      <c r="F11" s="24">
        <f>Utility!F15</f>
        <v/>
      </c>
      <c r="G11" s="24">
        <f>Utility!G15</f>
        <v/>
      </c>
      <c r="H11" s="24">
        <f>Utility!H15</f>
        <v/>
      </c>
      <c r="I11" s="24">
        <f>Utility!I15</f>
        <v/>
      </c>
      <c r="J11" s="24">
        <f>Utility!J15</f>
        <v/>
      </c>
      <c r="K11" s="24">
        <f>Utility!K15</f>
        <v/>
      </c>
      <c r="L11" s="24">
        <f>Utility!L15</f>
        <v/>
      </c>
      <c r="M11" s="24">
        <f>Utility!M15</f>
        <v/>
      </c>
      <c r="N11" s="24">
        <f>Utility!N15</f>
        <v/>
      </c>
      <c r="O11" s="24">
        <f>SUM(E11:N11)</f>
        <v/>
      </c>
    </row>
    <row r="12">
      <c r="B12" s="2" t="inlineStr">
        <is>
          <t>DSIC-eligible spending</t>
        </is>
      </c>
      <c r="E12" s="23">
        <f>Utility!E16</f>
        <v/>
      </c>
      <c r="F12" s="23">
        <f>Utility!F16</f>
        <v/>
      </c>
      <c r="G12" s="23">
        <f>Utility!G16</f>
        <v/>
      </c>
      <c r="H12" s="23">
        <f>Utility!H16</f>
        <v/>
      </c>
      <c r="I12" s="23">
        <f>Utility!I16</f>
        <v/>
      </c>
      <c r="J12" s="23">
        <f>Utility!J16</f>
        <v/>
      </c>
      <c r="K12" s="23">
        <f>Utility!K16</f>
        <v/>
      </c>
      <c r="L12" s="23">
        <f>Utility!L16</f>
        <v/>
      </c>
      <c r="M12" s="23">
        <f>Utility!M16</f>
        <v/>
      </c>
      <c r="N12" s="23">
        <f>Utility!N16</f>
        <v/>
      </c>
      <c r="O12" s="24">
        <f>SUM(E12:N12)</f>
        <v/>
      </c>
    </row>
    <row r="13">
      <c r="B13" s="2" t="inlineStr">
        <is>
          <t>Depreciation</t>
        </is>
      </c>
      <c r="E13" s="23">
        <f>Utility!E50</f>
        <v/>
      </c>
      <c r="F13" s="23">
        <f>Utility!F50</f>
        <v/>
      </c>
      <c r="G13" s="23">
        <f>Utility!G50</f>
        <v/>
      </c>
      <c r="H13" s="23">
        <f>Utility!H50</f>
        <v/>
      </c>
      <c r="I13" s="23">
        <f>Utility!I50</f>
        <v/>
      </c>
      <c r="J13" s="23">
        <f>Utility!J50</f>
        <v/>
      </c>
      <c r="K13" s="23">
        <f>Utility!K50</f>
        <v/>
      </c>
      <c r="L13" s="23">
        <f>Utility!L50</f>
        <v/>
      </c>
      <c r="M13" s="23">
        <f>Utility!M50</f>
        <v/>
      </c>
      <c r="N13" s="23">
        <f>Utility!N50</f>
        <v/>
      </c>
      <c r="O13" s="24">
        <f>SUM(E13:N13)</f>
        <v/>
      </c>
    </row>
    <row r="14">
      <c r="B14" s="2" t="inlineStr">
        <is>
          <t>Acquisitions (Fennick)</t>
        </is>
      </c>
      <c r="E14" s="23">
        <f>Utility!E59</f>
        <v/>
      </c>
      <c r="F14" s="23">
        <f>Utility!F59</f>
        <v/>
      </c>
      <c r="G14" s="23">
        <f>Utility!G59</f>
        <v/>
      </c>
      <c r="H14" s="23">
        <f>Utility!H59</f>
        <v/>
      </c>
      <c r="I14" s="23">
        <f>Utility!I59</f>
        <v/>
      </c>
      <c r="J14" s="23">
        <f>Utility!J59</f>
        <v/>
      </c>
      <c r="K14" s="23">
        <f>Utility!K59</f>
        <v/>
      </c>
      <c r="L14" s="23">
        <f>Utility!L59</f>
        <v/>
      </c>
      <c r="M14" s="23">
        <f>Utility!M59</f>
        <v/>
      </c>
      <c r="N14" s="23">
        <f>Utility!N59</f>
        <v/>
      </c>
      <c r="O14" s="24">
        <f>SUM(E14:N14)</f>
        <v/>
      </c>
    </row>
    <row r="15">
      <c r="B15" s="5" t="inlineStr">
        <is>
          <t>Check: lines add up to the total</t>
        </is>
      </c>
      <c r="O15" s="3">
        <f>IF(ABS(SUM(O6:O10)-O11)&lt;0.000001,"OK","ERROR")</f>
        <v/>
      </c>
    </row>
    <row r="17">
      <c r="B17" s="6" t="inlineStr">
        <is>
          <t>Totals, PFAS and lead</t>
        </is>
      </c>
    </row>
    <row r="18">
      <c r="B18" s="2" t="inlineStr">
        <is>
          <t>Capital spending 2028 to 2037</t>
        </is>
      </c>
      <c r="C18" s="23">
        <f>O11</f>
        <v/>
      </c>
    </row>
    <row r="19">
      <c r="B19" s="2" t="inlineStr">
        <is>
          <t>Depreciation 2028 to 2037</t>
        </is>
      </c>
      <c r="C19" s="23">
        <f>O13</f>
        <v/>
      </c>
    </row>
    <row r="20">
      <c r="B20" s="2" t="inlineStr">
        <is>
          <t>Capital spending / depreciation</t>
        </is>
      </c>
      <c r="C20" s="25">
        <f>C18/C19</f>
        <v/>
      </c>
    </row>
    <row r="21">
      <c r="B21" s="2" t="inlineStr">
        <is>
          <t>PFAS treatment capital cost</t>
        </is>
      </c>
      <c r="C21" s="23">
        <f>pr_pfas_1+pr_pfas_2+pr_pfas_3</f>
        <v/>
      </c>
    </row>
    <row r="22">
      <c r="B22" s="2" t="inlineStr">
        <is>
          <t>Net of the settlement credited</t>
        </is>
      </c>
      <c r="C22" s="23">
        <f>C21-pr_settle</f>
        <v/>
      </c>
    </row>
    <row r="23">
      <c r="B23" s="2" t="inlineStr">
        <is>
          <t>PFAS capital cost per treated well</t>
        </is>
      </c>
      <c r="C23" s="22">
        <f>C21/pr_wells_pfas</f>
        <v/>
      </c>
    </row>
    <row r="24">
      <c r="B24" s="2" t="inlineStr">
        <is>
          <t>Carrying charge: return, tax, depreciation and other taxes</t>
        </is>
      </c>
      <c r="C24" s="20">
        <f>pr_eq*pr_roe+(1-pr_eq)*pr_kd_old+pr_eq*pr_roe*pr_tax/(1-pr_tax)+pr_dep+pr_ptax</f>
        <v/>
      </c>
    </row>
    <row r="25">
      <c r="B25" s="2" t="inlineStr">
        <is>
          <t>PFAS revenue requirement a year (net capital x carrying charge + operating cost)</t>
        </is>
      </c>
      <c r="C25" s="23">
        <f>C22*C24+pr_pfas_om</f>
        <v/>
      </c>
    </row>
    <row r="26">
      <c r="B26" s="2" t="inlineStr">
        <is>
          <t>Per water connection a month ($)</t>
        </is>
      </c>
      <c r="C26" s="22">
        <f>C25*1000000/pr_water_conn/12</f>
        <v/>
      </c>
    </row>
    <row r="27">
      <c r="B27" s="2" t="inlineStr">
        <is>
          <t>Lead lines replaced a year</t>
        </is>
      </c>
      <c r="C27" s="19">
        <f>pr_lead_lines/pr_lead_years</f>
        <v/>
      </c>
    </row>
    <row r="28">
      <c r="B28" s="2" t="inlineStr">
        <is>
          <t>Lead program, 2028</t>
        </is>
      </c>
      <c r="C28" s="23">
        <f>C27*pr_lead_cost/1000000</f>
        <v/>
      </c>
    </row>
    <row r="29">
      <c r="B29" s="2" t="inlineStr">
        <is>
          <t>Lead program over its life</t>
        </is>
      </c>
      <c r="C29" s="23">
        <f>C28*((1+pr_capex_esc)^pr_lead_years-1)/pr_capex_esc</f>
        <v/>
      </c>
    </row>
    <row r="30">
      <c r="B30" s="2" t="inlineStr">
        <is>
          <t>Of which customer side</t>
        </is>
      </c>
      <c r="C30" s="23">
        <f>C29*pr_lead_cust</f>
        <v/>
      </c>
    </row>
    <row r="31">
      <c r="B31" s="2" t="inlineStr">
        <is>
          <t>Capital spending 2028 / revenue 2028</t>
        </is>
      </c>
      <c r="C31" s="20">
        <f>Utility!$E$15/Utility!$E$43</f>
        <v/>
      </c>
    </row>
  </sheetData>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B2:M36"/>
  <sheetViews>
    <sheetView showGridLines="0" workbookViewId="0">
      <selection activeCell="A1" sqref="A1"/>
    </sheetView>
  </sheetViews>
  <sheetFormatPr baseColWidth="8" defaultRowHeight="15"/>
  <cols>
    <col width="2" customWidth="1" min="1" max="1"/>
    <col width="6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s>
  <sheetData>
    <row r="2">
      <c r="B2" s="1" t="inlineStr">
        <is>
          <t>Pell River: the rate cases ($ million)</t>
        </is>
      </c>
    </row>
    <row r="3">
      <c r="B3" s="5" t="inlineStr">
        <is>
          <t>Basis: after tax; year-end test-year rate base; rates effective 1 January. Read from Utility; columns follow the rate case calendar on Inputs.</t>
        </is>
      </c>
    </row>
    <row r="5">
      <c r="B5" s="3" t="inlineStr">
        <is>
          <t>Rate case number</t>
        </is>
      </c>
      <c r="D5" s="18" t="n">
        <v>1</v>
      </c>
      <c r="E5" s="18" t="n">
        <v>2</v>
      </c>
      <c r="F5" s="18" t="n">
        <v>3</v>
      </c>
      <c r="G5" s="18" t="n">
        <v>4</v>
      </c>
      <c r="H5" s="18" t="n">
        <v>5</v>
      </c>
    </row>
    <row r="6">
      <c r="B6" s="2" t="inlineStr">
        <is>
          <t>Rates effective 1 January</t>
        </is>
      </c>
      <c r="D6" s="18">
        <f>pr_rc_first+0*pr_rc_cycle</f>
        <v/>
      </c>
      <c r="E6" s="18">
        <f>pr_rc_first+1*pr_rc_cycle</f>
        <v/>
      </c>
      <c r="F6" s="18">
        <f>pr_rc_first+2*pr_rc_cycle</f>
        <v/>
      </c>
      <c r="G6" s="18">
        <f>pr_rc_first+3*pr_rc_cycle</f>
        <v/>
      </c>
      <c r="H6" s="18">
        <f>pr_rc_first+4*pr_rc_cycle</f>
        <v/>
      </c>
    </row>
    <row r="7">
      <c r="B7" s="2" t="inlineStr">
        <is>
          <t>Test year</t>
        </is>
      </c>
      <c r="D7" s="26">
        <f>IF(D$6&lt;=pr_last,INDEX(Utility!$E$20:$N$20,MATCH(D$6,Utility!$E$4:$N$4,0)),"n.a.")</f>
        <v/>
      </c>
      <c r="E7" s="26">
        <f>IF(E$6&lt;=pr_last,INDEX(Utility!$E$20:$N$20,MATCH(E$6,Utility!$E$4:$N$4,0)),"n.a.")</f>
        <v/>
      </c>
      <c r="F7" s="26">
        <f>IF(F$6&lt;=pr_last,INDEX(Utility!$E$20:$N$20,MATCH(F$6,Utility!$E$4:$N$4,0)),"n.a.")</f>
        <v/>
      </c>
      <c r="G7" s="26">
        <f>IF(G$6&lt;=pr_last,INDEX(Utility!$E$20:$N$20,MATCH(G$6,Utility!$E$4:$N$4,0)),"n.a.")</f>
        <v/>
      </c>
      <c r="H7" s="26">
        <f>IF(H$6&lt;=pr_last,INDEX(Utility!$E$20:$N$20,MATCH(H$6,Utility!$E$4:$N$4,0)),"n.a.")</f>
        <v/>
      </c>
    </row>
    <row r="8">
      <c r="B8" s="2" t="inlineStr">
        <is>
          <t>Rate base (end of test year)</t>
        </is>
      </c>
      <c r="D8" s="23">
        <f>IF(D$6&lt;=pr_last,INDEX(Utility!$E$22:$N$22,MATCH(D$6,Utility!$E$4:$N$4,0)),"n.a.")</f>
        <v/>
      </c>
      <c r="E8" s="23">
        <f>IF(E$6&lt;=pr_last,INDEX(Utility!$E$22:$N$22,MATCH(E$6,Utility!$E$4:$N$4,0)),"n.a.")</f>
        <v/>
      </c>
      <c r="F8" s="23">
        <f>IF(F$6&lt;=pr_last,INDEX(Utility!$E$22:$N$22,MATCH(F$6,Utility!$E$4:$N$4,0)),"n.a.")</f>
        <v/>
      </c>
      <c r="G8" s="23">
        <f>IF(G$6&lt;=pr_last,INDEX(Utility!$E$22:$N$22,MATCH(G$6,Utility!$E$4:$N$4,0)),"n.a.")</f>
        <v/>
      </c>
      <c r="H8" s="23">
        <f>IF(H$6&lt;=pr_last,INDEX(Utility!$E$22:$N$22,MATCH(H$6,Utility!$E$4:$N$4,0)),"n.a.")</f>
        <v/>
      </c>
    </row>
    <row r="9">
      <c r="B9" s="2" t="inlineStr">
        <is>
          <t>Embedded cost of debt</t>
        </is>
      </c>
      <c r="D9" s="27">
        <f>IF(D$6&lt;=pr_last,INDEX(Utility!$E$23:$N$23,MATCH(D$6,Utility!$E$4:$N$4,0)),"n.a.")</f>
        <v/>
      </c>
      <c r="E9" s="27">
        <f>IF(E$6&lt;=pr_last,INDEX(Utility!$E$23:$N$23,MATCH(E$6,Utility!$E$4:$N$4,0)),"n.a.")</f>
        <v/>
      </c>
      <c r="F9" s="27">
        <f>IF(F$6&lt;=pr_last,INDEX(Utility!$E$23:$N$23,MATCH(F$6,Utility!$E$4:$N$4,0)),"n.a.")</f>
        <v/>
      </c>
      <c r="G9" s="27">
        <f>IF(G$6&lt;=pr_last,INDEX(Utility!$E$23:$N$23,MATCH(G$6,Utility!$E$4:$N$4,0)),"n.a.")</f>
        <v/>
      </c>
      <c r="H9" s="27">
        <f>IF(H$6&lt;=pr_last,INDEX(Utility!$E$23:$N$23,MATCH(H$6,Utility!$E$4:$N$4,0)),"n.a.")</f>
        <v/>
      </c>
    </row>
    <row r="10">
      <c r="B10" s="2" t="inlineStr">
        <is>
          <t>Authorized return on rate base</t>
        </is>
      </c>
      <c r="D10" s="27">
        <f>IF(D$6&lt;=pr_last,INDEX(Utility!$E$25:$N$25,MATCH(D$6,Utility!$E$4:$N$4,0)),"n.a.")</f>
        <v/>
      </c>
      <c r="E10" s="27">
        <f>IF(E$6&lt;=pr_last,INDEX(Utility!$E$25:$N$25,MATCH(E$6,Utility!$E$4:$N$4,0)),"n.a.")</f>
        <v/>
      </c>
      <c r="F10" s="27">
        <f>IF(F$6&lt;=pr_last,INDEX(Utility!$E$25:$N$25,MATCH(F$6,Utility!$E$4:$N$4,0)),"n.a.")</f>
        <v/>
      </c>
      <c r="G10" s="27">
        <f>IF(G$6&lt;=pr_last,INDEX(Utility!$E$25:$N$25,MATCH(G$6,Utility!$E$4:$N$4,0)),"n.a.")</f>
        <v/>
      </c>
      <c r="H10" s="27">
        <f>IF(H$6&lt;=pr_last,INDEX(Utility!$E$25:$N$25,MATCH(H$6,Utility!$E$4:$N$4,0)),"n.a.")</f>
        <v/>
      </c>
    </row>
    <row r="11">
      <c r="B11" s="2" t="inlineStr">
        <is>
          <t>Return</t>
        </is>
      </c>
      <c r="D11" s="23">
        <f>IF(D$6&lt;=pr_last,INDEX(Utility!$E$26:$N$26,MATCH(D$6,Utility!$E$4:$N$4,0)),"n.a.")</f>
        <v/>
      </c>
      <c r="E11" s="23">
        <f>IF(E$6&lt;=pr_last,INDEX(Utility!$E$26:$N$26,MATCH(E$6,Utility!$E$4:$N$4,0)),"n.a.")</f>
        <v/>
      </c>
      <c r="F11" s="23">
        <f>IF(F$6&lt;=pr_last,INDEX(Utility!$E$26:$N$26,MATCH(F$6,Utility!$E$4:$N$4,0)),"n.a.")</f>
        <v/>
      </c>
      <c r="G11" s="23">
        <f>IF(G$6&lt;=pr_last,INDEX(Utility!$E$26:$N$26,MATCH(G$6,Utility!$E$4:$N$4,0)),"n.a.")</f>
        <v/>
      </c>
      <c r="H11" s="23">
        <f>IF(H$6&lt;=pr_last,INDEX(Utility!$E$26:$N$26,MATCH(H$6,Utility!$E$4:$N$4,0)),"n.a.")</f>
        <v/>
      </c>
    </row>
    <row r="12">
      <c r="B12" s="2" t="inlineStr">
        <is>
          <t>Income tax gross-up</t>
        </is>
      </c>
      <c r="D12" s="23">
        <f>IF(D$6&lt;=pr_last,INDEX(Utility!$E$27:$N$27,MATCH(D$6,Utility!$E$4:$N$4,0)),"n.a.")</f>
        <v/>
      </c>
      <c r="E12" s="23">
        <f>IF(E$6&lt;=pr_last,INDEX(Utility!$E$27:$N$27,MATCH(E$6,Utility!$E$4:$N$4,0)),"n.a.")</f>
        <v/>
      </c>
      <c r="F12" s="23">
        <f>IF(F$6&lt;=pr_last,INDEX(Utility!$E$27:$N$27,MATCH(F$6,Utility!$E$4:$N$4,0)),"n.a.")</f>
        <v/>
      </c>
      <c r="G12" s="23">
        <f>IF(G$6&lt;=pr_last,INDEX(Utility!$E$27:$N$27,MATCH(G$6,Utility!$E$4:$N$4,0)),"n.a.")</f>
        <v/>
      </c>
      <c r="H12" s="23">
        <f>IF(H$6&lt;=pr_last,INDEX(Utility!$E$27:$N$27,MATCH(H$6,Utility!$E$4:$N$4,0)),"n.a.")</f>
        <v/>
      </c>
    </row>
    <row r="13">
      <c r="B13" s="2" t="inlineStr">
        <is>
          <t>Depreciation</t>
        </is>
      </c>
      <c r="D13" s="23">
        <f>IF(D$6&lt;=pr_last,INDEX(Utility!$E$28:$N$28,MATCH(D$6,Utility!$E$4:$N$4,0)),"n.a.")</f>
        <v/>
      </c>
      <c r="E13" s="23">
        <f>IF(E$6&lt;=pr_last,INDEX(Utility!$E$28:$N$28,MATCH(E$6,Utility!$E$4:$N$4,0)),"n.a.")</f>
        <v/>
      </c>
      <c r="F13" s="23">
        <f>IF(F$6&lt;=pr_last,INDEX(Utility!$E$28:$N$28,MATCH(F$6,Utility!$E$4:$N$4,0)),"n.a.")</f>
        <v/>
      </c>
      <c r="G13" s="23">
        <f>IF(G$6&lt;=pr_last,INDEX(Utility!$E$28:$N$28,MATCH(G$6,Utility!$E$4:$N$4,0)),"n.a.")</f>
        <v/>
      </c>
      <c r="H13" s="23">
        <f>IF(H$6&lt;=pr_last,INDEX(Utility!$E$28:$N$28,MATCH(H$6,Utility!$E$4:$N$4,0)),"n.a.")</f>
        <v/>
      </c>
    </row>
    <row r="14">
      <c r="B14" s="2" t="inlineStr">
        <is>
          <t>Other taxes</t>
        </is>
      </c>
      <c r="D14" s="23">
        <f>IF(D$6&lt;=pr_last,INDEX(Utility!$E$29:$N$29,MATCH(D$6,Utility!$E$4:$N$4,0)),"n.a.")</f>
        <v/>
      </c>
      <c r="E14" s="23">
        <f>IF(E$6&lt;=pr_last,INDEX(Utility!$E$29:$N$29,MATCH(E$6,Utility!$E$4:$N$4,0)),"n.a.")</f>
        <v/>
      </c>
      <c r="F14" s="23">
        <f>IF(F$6&lt;=pr_last,INDEX(Utility!$E$29:$N$29,MATCH(F$6,Utility!$E$4:$N$4,0)),"n.a.")</f>
        <v/>
      </c>
      <c r="G14" s="23">
        <f>IF(G$6&lt;=pr_last,INDEX(Utility!$E$29:$N$29,MATCH(G$6,Utility!$E$4:$N$4,0)),"n.a.")</f>
        <v/>
      </c>
      <c r="H14" s="23">
        <f>IF(H$6&lt;=pr_last,INDEX(Utility!$E$29:$N$29,MATCH(H$6,Utility!$E$4:$N$4,0)),"n.a.")</f>
        <v/>
      </c>
    </row>
    <row r="15">
      <c r="B15" s="2" t="inlineStr">
        <is>
          <t>Operation and maintenance</t>
        </is>
      </c>
      <c r="D15" s="23">
        <f>IF(D$6&lt;=pr_last,INDEX(Utility!$E$30:$N$30,MATCH(D$6,Utility!$E$4:$N$4,0)),"n.a.")</f>
        <v/>
      </c>
      <c r="E15" s="23">
        <f>IF(E$6&lt;=pr_last,INDEX(Utility!$E$30:$N$30,MATCH(E$6,Utility!$E$4:$N$4,0)),"n.a.")</f>
        <v/>
      </c>
      <c r="F15" s="23">
        <f>IF(F$6&lt;=pr_last,INDEX(Utility!$E$30:$N$30,MATCH(F$6,Utility!$E$4:$N$4,0)),"n.a.")</f>
        <v/>
      </c>
      <c r="G15" s="23">
        <f>IF(G$6&lt;=pr_last,INDEX(Utility!$E$30:$N$30,MATCH(G$6,Utility!$E$4:$N$4,0)),"n.a.")</f>
        <v/>
      </c>
      <c r="H15" s="23">
        <f>IF(H$6&lt;=pr_last,INDEX(Utility!$E$30:$N$30,MATCH(H$6,Utility!$E$4:$N$4,0)),"n.a.")</f>
        <v/>
      </c>
    </row>
    <row r="16">
      <c r="B16" s="3" t="inlineStr">
        <is>
          <t>Revenue requirement</t>
        </is>
      </c>
      <c r="D16" s="23">
        <f>IF(D$6&lt;=pr_last,INDEX(Utility!$E$31:$N$31,MATCH(D$6,Utility!$E$4:$N$4,0)),"n.a.")</f>
        <v/>
      </c>
      <c r="E16" s="23">
        <f>IF(E$6&lt;=pr_last,INDEX(Utility!$E$31:$N$31,MATCH(E$6,Utility!$E$4:$N$4,0)),"n.a.")</f>
        <v/>
      </c>
      <c r="F16" s="23">
        <f>IF(F$6&lt;=pr_last,INDEX(Utility!$E$31:$N$31,MATCH(F$6,Utility!$E$4:$N$4,0)),"n.a.")</f>
        <v/>
      </c>
      <c r="G16" s="23">
        <f>IF(G$6&lt;=pr_last,INDEX(Utility!$E$31:$N$31,MATCH(G$6,Utility!$E$4:$N$4,0)),"n.a.")</f>
        <v/>
      </c>
      <c r="H16" s="23">
        <f>IF(H$6&lt;=pr_last,INDEX(Utility!$E$31:$N$31,MATCH(H$6,Utility!$E$4:$N$4,0)),"n.a.")</f>
        <v/>
      </c>
    </row>
    <row r="17">
      <c r="B17" s="2" t="inlineStr">
        <is>
          <t>On effective-year connections</t>
        </is>
      </c>
      <c r="D17" s="23">
        <f>IF(D$6&lt;=pr_last,INDEX(Utility!$E$32:$N$32,MATCH(D$6,Utility!$E$4:$N$4,0)),"n.a.")</f>
        <v/>
      </c>
      <c r="E17" s="23">
        <f>IF(E$6&lt;=pr_last,INDEX(Utility!$E$32:$N$32,MATCH(E$6,Utility!$E$4:$N$4,0)),"n.a.")</f>
        <v/>
      </c>
      <c r="F17" s="23">
        <f>IF(F$6&lt;=pr_last,INDEX(Utility!$E$32:$N$32,MATCH(F$6,Utility!$E$4:$N$4,0)),"n.a.")</f>
        <v/>
      </c>
      <c r="G17" s="23">
        <f>IF(G$6&lt;=pr_last,INDEX(Utility!$E$32:$N$32,MATCH(G$6,Utility!$E$4:$N$4,0)),"n.a.")</f>
        <v/>
      </c>
      <c r="H17" s="23">
        <f>IF(H$6&lt;=pr_last,INDEX(Utility!$E$32:$N$32,MATCH(H$6,Utility!$E$4:$N$4,0)),"n.a.")</f>
        <v/>
      </c>
    </row>
    <row r="18">
      <c r="B18" s="2" t="inlineStr">
        <is>
          <t>Revenue at existing rates</t>
        </is>
      </c>
      <c r="D18" s="23">
        <f>IF(D$6&lt;=pr_last,INDEX(Utility!$E$33:$N$33,MATCH(D$6,Utility!$E$4:$N$4,0)),"n.a.")</f>
        <v/>
      </c>
      <c r="E18" s="23">
        <f>IF(E$6&lt;=pr_last,INDEX(Utility!$E$33:$N$33,MATCH(E$6,Utility!$E$4:$N$4,0)),"n.a.")</f>
        <v/>
      </c>
      <c r="F18" s="23">
        <f>IF(F$6&lt;=pr_last,INDEX(Utility!$E$33:$N$33,MATCH(F$6,Utility!$E$4:$N$4,0)),"n.a.")</f>
        <v/>
      </c>
      <c r="G18" s="23">
        <f>IF(G$6&lt;=pr_last,INDEX(Utility!$E$33:$N$33,MATCH(G$6,Utility!$E$4:$N$4,0)),"n.a.")</f>
        <v/>
      </c>
      <c r="H18" s="23">
        <f>IF(H$6&lt;=pr_last,INDEX(Utility!$E$33:$N$33,MATCH(H$6,Utility!$E$4:$N$4,0)),"n.a.")</f>
        <v/>
      </c>
    </row>
    <row r="19">
      <c r="B19" s="3" t="inlineStr">
        <is>
          <t>Increase granted</t>
        </is>
      </c>
      <c r="D19" s="20">
        <f>IF(D$6&lt;=pr_last,INDEX(Utility!$E$34:$N$34,MATCH(D$6,Utility!$E$4:$N$4,0)),"n.a.")</f>
        <v/>
      </c>
      <c r="E19" s="20">
        <f>IF(E$6&lt;=pr_last,INDEX(Utility!$E$34:$N$34,MATCH(E$6,Utility!$E$4:$N$4,0)),"n.a.")</f>
        <v/>
      </c>
      <c r="F19" s="20">
        <f>IF(F$6&lt;=pr_last,INDEX(Utility!$E$34:$N$34,MATCH(F$6,Utility!$E$4:$N$4,0)),"n.a.")</f>
        <v/>
      </c>
      <c r="G19" s="20">
        <f>IF(G$6&lt;=pr_last,INDEX(Utility!$E$34:$N$34,MATCH(G$6,Utility!$E$4:$N$4,0)),"n.a.")</f>
        <v/>
      </c>
      <c r="H19" s="20">
        <f>IF(H$6&lt;=pr_last,INDEX(Utility!$E$34:$N$34,MATCH(H$6,Utility!$E$4:$N$4,0)),"n.a.")</f>
        <v/>
      </c>
    </row>
    <row r="20">
      <c r="B20" s="2" t="inlineStr">
        <is>
          <t>Revenue requirement requested</t>
        </is>
      </c>
      <c r="D20" s="23">
        <f>IF(D$6&lt;=pr_last,INDEX(Utility!$E$35:$N$35,MATCH(D$6,Utility!$E$4:$N$4,0)),"n.a.")</f>
        <v/>
      </c>
      <c r="E20" s="23">
        <f>IF(E$6&lt;=pr_last,INDEX(Utility!$E$35:$N$35,MATCH(E$6,Utility!$E$4:$N$4,0)),"n.a.")</f>
        <v/>
      </c>
      <c r="F20" s="23">
        <f>IF(F$6&lt;=pr_last,INDEX(Utility!$E$35:$N$35,MATCH(F$6,Utility!$E$4:$N$4,0)),"n.a.")</f>
        <v/>
      </c>
      <c r="G20" s="23">
        <f>IF(G$6&lt;=pr_last,INDEX(Utility!$E$35:$N$35,MATCH(G$6,Utility!$E$4:$N$4,0)),"n.a.")</f>
        <v/>
      </c>
      <c r="H20" s="23">
        <f>IF(H$6&lt;=pr_last,INDEX(Utility!$E$35:$N$35,MATCH(H$6,Utility!$E$4:$N$4,0)),"n.a.")</f>
        <v/>
      </c>
    </row>
    <row r="21">
      <c r="B21" s="2" t="inlineStr">
        <is>
          <t>Increase requested</t>
        </is>
      </c>
      <c r="D21" s="20">
        <f>IF(D$6&lt;=pr_last,INDEX(Utility!$E$36:$N$36,MATCH(D$6,Utility!$E$4:$N$4,0)),"n.a.")</f>
        <v/>
      </c>
      <c r="E21" s="20">
        <f>IF(E$6&lt;=pr_last,INDEX(Utility!$E$36:$N$36,MATCH(E$6,Utility!$E$4:$N$4,0)),"n.a.")</f>
        <v/>
      </c>
      <c r="F21" s="20">
        <f>IF(F$6&lt;=pr_last,INDEX(Utility!$E$36:$N$36,MATCH(F$6,Utility!$E$4:$N$4,0)),"n.a.")</f>
        <v/>
      </c>
      <c r="G21" s="20">
        <f>IF(G$6&lt;=pr_last,INDEX(Utility!$E$36:$N$36,MATCH(G$6,Utility!$E$4:$N$4,0)),"n.a.")</f>
        <v/>
      </c>
      <c r="H21" s="20">
        <f>IF(H$6&lt;=pr_last,INDEX(Utility!$E$36:$N$36,MATCH(H$6,Utility!$E$4:$N$4,0)),"n.a.")</f>
        <v/>
      </c>
    </row>
    <row r="24">
      <c r="B24" s="6" t="inlineStr">
        <is>
          <t>The tax gross-up (authorized terms at closing)</t>
        </is>
      </c>
    </row>
    <row r="25">
      <c r="B25" s="2" t="inlineStr">
        <is>
          <t>Return on equity needed before tax</t>
        </is>
      </c>
      <c r="C25" s="27">
        <f>pr_roe/(1-pr_tax)</f>
        <v/>
      </c>
    </row>
    <row r="26">
      <c r="B26" s="2" t="inlineStr">
        <is>
          <t>Authorized return on rate base at closing</t>
        </is>
      </c>
      <c r="C26" s="27">
        <f>pr_eq*pr_roe+(1-pr_eq)*pr_kd_old</f>
        <v/>
      </c>
    </row>
    <row r="27">
      <c r="B27" s="2" t="inlineStr">
        <is>
          <t>Tax gross-up on rate base</t>
        </is>
      </c>
      <c r="C27" s="27">
        <f>pr_eq*pr_roe*pr_tax/(1-pr_tax)</f>
        <v/>
      </c>
    </row>
    <row r="28">
      <c r="B28" s="2" t="inlineStr">
        <is>
          <t>Return and income tax, share of rate base</t>
        </is>
      </c>
      <c r="C28" s="27">
        <f>C26+C27</f>
        <v/>
      </c>
    </row>
    <row r="29">
      <c r="B29" s="2" t="inlineStr">
        <is>
          <t>Plus depreciation and other taxes: carried by revenue a year</t>
        </is>
      </c>
      <c r="C29" s="20">
        <f>C28+pr_dep+pr_ptax</f>
        <v/>
      </c>
    </row>
    <row r="31">
      <c r="B31" s="6" t="inlineStr">
        <is>
          <t>DSIC and embedded cost of debt by year</t>
        </is>
      </c>
    </row>
    <row r="32">
      <c r="D32" s="18">
        <f>Utility!E4</f>
        <v/>
      </c>
      <c r="E32" s="18">
        <f>Utility!F4</f>
        <v/>
      </c>
      <c r="F32" s="18">
        <f>Utility!G4</f>
        <v/>
      </c>
      <c r="G32" s="18">
        <f>Utility!H4</f>
        <v/>
      </c>
      <c r="H32" s="18">
        <f>Utility!I4</f>
        <v/>
      </c>
      <c r="I32" s="18">
        <f>Utility!J4</f>
        <v/>
      </c>
      <c r="J32" s="18">
        <f>Utility!K4</f>
        <v/>
      </c>
      <c r="K32" s="18">
        <f>Utility!L4</f>
        <v/>
      </c>
      <c r="L32" s="18">
        <f>Utility!M4</f>
        <v/>
      </c>
      <c r="M32" s="18">
        <f>Utility!N4</f>
        <v/>
      </c>
    </row>
    <row r="33">
      <c r="B33" s="2" t="inlineStr">
        <is>
          <t>DSIC surcharge ($ million)</t>
        </is>
      </c>
      <c r="D33" s="23">
        <f>Utility!E42</f>
        <v/>
      </c>
      <c r="E33" s="23">
        <f>Utility!F42</f>
        <v/>
      </c>
      <c r="F33" s="23">
        <f>Utility!G42</f>
        <v/>
      </c>
      <c r="G33" s="23">
        <f>Utility!H42</f>
        <v/>
      </c>
      <c r="H33" s="23">
        <f>Utility!I42</f>
        <v/>
      </c>
      <c r="I33" s="23">
        <f>Utility!J42</f>
        <v/>
      </c>
      <c r="J33" s="23">
        <f>Utility!K42</f>
        <v/>
      </c>
      <c r="K33" s="23">
        <f>Utility!L42</f>
        <v/>
      </c>
      <c r="L33" s="23">
        <f>Utility!M42</f>
        <v/>
      </c>
      <c r="M33" s="23">
        <f>Utility!N42</f>
        <v/>
      </c>
    </row>
    <row r="34">
      <c r="B34" s="2" t="inlineStr">
        <is>
          <t>Base revenue ($ million)</t>
        </is>
      </c>
      <c r="D34" s="23">
        <f>Utility!E39</f>
        <v/>
      </c>
      <c r="E34" s="23">
        <f>Utility!F39</f>
        <v/>
      </c>
      <c r="F34" s="23">
        <f>Utility!G39</f>
        <v/>
      </c>
      <c r="G34" s="23">
        <f>Utility!H39</f>
        <v/>
      </c>
      <c r="H34" s="23">
        <f>Utility!I39</f>
        <v/>
      </c>
      <c r="I34" s="23">
        <f>Utility!J39</f>
        <v/>
      </c>
      <c r="J34" s="23">
        <f>Utility!K39</f>
        <v/>
      </c>
      <c r="K34" s="23">
        <f>Utility!L39</f>
        <v/>
      </c>
      <c r="L34" s="23">
        <f>Utility!M39</f>
        <v/>
      </c>
      <c r="M34" s="23">
        <f>Utility!N39</f>
        <v/>
      </c>
    </row>
    <row r="35">
      <c r="B35" s="2" t="inlineStr">
        <is>
          <t>DSIC / base revenue</t>
        </is>
      </c>
      <c r="D35" s="20">
        <f>D33/D34</f>
        <v/>
      </c>
      <c r="E35" s="20">
        <f>E33/E34</f>
        <v/>
      </c>
      <c r="F35" s="20">
        <f>F33/F34</f>
        <v/>
      </c>
      <c r="G35" s="20">
        <f>G33/G34</f>
        <v/>
      </c>
      <c r="H35" s="20">
        <f>H33/H34</f>
        <v/>
      </c>
      <c r="I35" s="20">
        <f>I33/I34</f>
        <v/>
      </c>
      <c r="J35" s="20">
        <f>J33/J34</f>
        <v/>
      </c>
      <c r="K35" s="20">
        <f>K33/K34</f>
        <v/>
      </c>
      <c r="L35" s="20">
        <f>L33/L34</f>
        <v/>
      </c>
      <c r="M35" s="20">
        <f>M33/M34</f>
        <v/>
      </c>
    </row>
    <row r="36">
      <c r="B36" s="2" t="inlineStr">
        <is>
          <t>Embedded cost of debt at year end</t>
        </is>
      </c>
      <c r="D36" s="27">
        <f>Utility!E65</f>
        <v/>
      </c>
      <c r="E36" s="27">
        <f>Utility!F65</f>
        <v/>
      </c>
      <c r="F36" s="27">
        <f>Utility!G65</f>
        <v/>
      </c>
      <c r="G36" s="27">
        <f>Utility!H65</f>
        <v/>
      </c>
      <c r="H36" s="27">
        <f>Utility!I65</f>
        <v/>
      </c>
      <c r="I36" s="27">
        <f>Utility!J65</f>
        <v/>
      </c>
      <c r="J36" s="27">
        <f>Utility!K65</f>
        <v/>
      </c>
      <c r="K36" s="27">
        <f>Utility!L65</f>
        <v/>
      </c>
      <c r="L36" s="27">
        <f>Utility!M65</f>
        <v/>
      </c>
      <c r="M36" s="27">
        <f>Utility!N65</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B2:N72"/>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 customWidth="1" min="1" max="1"/>
    <col width="58"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s>
  <sheetData>
    <row r="2">
      <c r="B2" s="1" t="inlineStr">
        <is>
          <t>Pell River Water Company: the regulated utility, 2027 to 2037 ($ million)</t>
        </is>
      </c>
    </row>
    <row r="3">
      <c r="B3" s="5" t="inlineStr">
        <is>
          <t>Basis: after a 25 percent composite income tax (tax is part of the regulatory formula). Year-end values; 2027 = closing balances. Reads the Inputs switches.</t>
        </is>
      </c>
    </row>
    <row r="4">
      <c r="B4" s="2" t="inlineStr">
        <is>
          <t>Year (31 December)</t>
        </is>
      </c>
      <c r="D4" s="26">
        <f>pr_close</f>
        <v/>
      </c>
      <c r="E4" s="26">
        <f>D4+1</f>
        <v/>
      </c>
      <c r="F4" s="26">
        <f>E4+1</f>
        <v/>
      </c>
      <c r="G4" s="26">
        <f>F4+1</f>
        <v/>
      </c>
      <c r="H4" s="26">
        <f>G4+1</f>
        <v/>
      </c>
      <c r="I4" s="26">
        <f>H4+1</f>
        <v/>
      </c>
      <c r="J4" s="26">
        <f>I4+1</f>
        <v/>
      </c>
      <c r="K4" s="26">
        <f>J4+1</f>
        <v/>
      </c>
      <c r="L4" s="26">
        <f>K4+1</f>
        <v/>
      </c>
      <c r="M4" s="26">
        <f>L4+1</f>
        <v/>
      </c>
      <c r="N4" s="26">
        <f>M4+1</f>
        <v/>
      </c>
    </row>
    <row r="5">
      <c r="B5" s="2" t="inlineStr">
        <is>
          <t>Years after the first year of the hold (2028 = 0)</t>
        </is>
      </c>
      <c r="D5" s="26">
        <f>D4-(pr_close+1)</f>
        <v/>
      </c>
      <c r="E5" s="26">
        <f>E4-(pr_close+1)</f>
        <v/>
      </c>
      <c r="F5" s="26">
        <f>F4-(pr_close+1)</f>
        <v/>
      </c>
      <c r="G5" s="26">
        <f>G4-(pr_close+1)</f>
        <v/>
      </c>
      <c r="H5" s="26">
        <f>H4-(pr_close+1)</f>
        <v/>
      </c>
      <c r="I5" s="26">
        <f>I4-(pr_close+1)</f>
        <v/>
      </c>
      <c r="J5" s="26">
        <f>J4-(pr_close+1)</f>
        <v/>
      </c>
      <c r="K5" s="26">
        <f>K4-(pr_close+1)</f>
        <v/>
      </c>
      <c r="L5" s="26">
        <f>L4-(pr_close+1)</f>
        <v/>
      </c>
      <c r="M5" s="26">
        <f>M4-(pr_close+1)</f>
        <v/>
      </c>
      <c r="N5" s="26">
        <f>N4-(pr_close+1)</f>
        <v/>
      </c>
    </row>
    <row r="6">
      <c r="B6" s="2" t="inlineStr">
        <is>
          <t>Connections (water and wastewater), year end</t>
        </is>
      </c>
      <c r="C6" s="5" t="inlineStr">
        <is>
          <t>number</t>
        </is>
      </c>
      <c r="D6" s="19">
        <f>pr_water_conn+pr_ww_conn</f>
        <v/>
      </c>
      <c r="E6" s="19">
        <f>D6*(1+pr_growth)+IF(AND(pr_fen_on=1,E4=pr_fen_year+1),pr_fen_conn,0)</f>
        <v/>
      </c>
      <c r="F6" s="19">
        <f>E6*(1+pr_growth)+IF(AND(pr_fen_on=1,F4=pr_fen_year+1),pr_fen_conn,0)</f>
        <v/>
      </c>
      <c r="G6" s="19">
        <f>F6*(1+pr_growth)+IF(AND(pr_fen_on=1,G4=pr_fen_year+1),pr_fen_conn,0)</f>
        <v/>
      </c>
      <c r="H6" s="19">
        <f>G6*(1+pr_growth)+IF(AND(pr_fen_on=1,H4=pr_fen_year+1),pr_fen_conn,0)</f>
        <v/>
      </c>
      <c r="I6" s="19">
        <f>H6*(1+pr_growth)+IF(AND(pr_fen_on=1,I4=pr_fen_year+1),pr_fen_conn,0)</f>
        <v/>
      </c>
      <c r="J6" s="19">
        <f>I6*(1+pr_growth)+IF(AND(pr_fen_on=1,J4=pr_fen_year+1),pr_fen_conn,0)</f>
        <v/>
      </c>
      <c r="K6" s="19">
        <f>J6*(1+pr_growth)+IF(AND(pr_fen_on=1,K4=pr_fen_year+1),pr_fen_conn,0)</f>
        <v/>
      </c>
      <c r="L6" s="19">
        <f>K6*(1+pr_growth)+IF(AND(pr_fen_on=1,L4=pr_fen_year+1),pr_fen_conn,0)</f>
        <v/>
      </c>
      <c r="M6" s="19">
        <f>L6*(1+pr_growth)+IF(AND(pr_fen_on=1,M4=pr_fen_year+1),pr_fen_conn,0)</f>
        <v/>
      </c>
      <c r="N6" s="19">
        <f>M6*(1+pr_growth)+IF(AND(pr_fen_on=1,N4=pr_fen_year+1),pr_fen_conn,0)</f>
        <v/>
      </c>
    </row>
    <row r="8">
      <c r="B8" s="6" t="inlineStr">
        <is>
          <t>Capital spending ($ million)</t>
        </is>
      </c>
      <c r="C8" s="7" t="n"/>
      <c r="D8" s="7" t="n"/>
      <c r="E8" s="7" t="n"/>
      <c r="F8" s="7" t="n"/>
      <c r="G8" s="7" t="n"/>
      <c r="H8" s="7" t="n"/>
      <c r="I8" s="7" t="n"/>
      <c r="J8" s="7" t="n"/>
      <c r="K8" s="7" t="n"/>
      <c r="L8" s="7" t="n"/>
      <c r="M8" s="7" t="n"/>
      <c r="N8" s="7" t="n"/>
    </row>
    <row r="9">
      <c r="B9" s="2" t="inlineStr">
        <is>
          <t>Cost escalation index (2028 = 1)</t>
        </is>
      </c>
      <c r="E9" s="28">
        <f>(1+pr_capex_esc)^(E4-(pr_close+1))</f>
        <v/>
      </c>
      <c r="F9" s="28">
        <f>(1+pr_capex_esc)^(F4-(pr_close+1))</f>
        <v/>
      </c>
      <c r="G9" s="28">
        <f>(1+pr_capex_esc)^(G4-(pr_close+1))</f>
        <v/>
      </c>
      <c r="H9" s="28">
        <f>(1+pr_capex_esc)^(H4-(pr_close+1))</f>
        <v/>
      </c>
      <c r="I9" s="28">
        <f>(1+pr_capex_esc)^(I4-(pr_close+1))</f>
        <v/>
      </c>
      <c r="J9" s="28">
        <f>(1+pr_capex_esc)^(J4-(pr_close+1))</f>
        <v/>
      </c>
      <c r="K9" s="28">
        <f>(1+pr_capex_esc)^(K4-(pr_close+1))</f>
        <v/>
      </c>
      <c r="L9" s="28">
        <f>(1+pr_capex_esc)^(L4-(pr_close+1))</f>
        <v/>
      </c>
      <c r="M9" s="28">
        <f>(1+pr_capex_esc)^(M4-(pr_close+1))</f>
        <v/>
      </c>
      <c r="N9" s="28">
        <f>(1+pr_capex_esc)^(N4-(pr_close+1))</f>
        <v/>
      </c>
    </row>
    <row r="10">
      <c r="B10" s="2" t="inlineStr">
        <is>
          <t>Main renewal</t>
        </is>
      </c>
      <c r="C10" s="5" t="inlineStr">
        <is>
          <t>$ million</t>
        </is>
      </c>
      <c r="E10" s="23">
        <f>pr_renewal*pr_mains_miles*pr_cost_mile*E9*(1+pr_capex_shift)</f>
        <v/>
      </c>
      <c r="F10" s="23">
        <f>pr_renewal*pr_mains_miles*pr_cost_mile*F9*(1+pr_capex_shift)</f>
        <v/>
      </c>
      <c r="G10" s="23">
        <f>pr_renewal*pr_mains_miles*pr_cost_mile*G9*(1+pr_capex_shift)</f>
        <v/>
      </c>
      <c r="H10" s="23">
        <f>pr_renewal*pr_mains_miles*pr_cost_mile*H9*(1+pr_capex_shift)</f>
        <v/>
      </c>
      <c r="I10" s="23">
        <f>pr_renewal*pr_mains_miles*pr_cost_mile*I9*(1+pr_capex_shift)</f>
        <v/>
      </c>
      <c r="J10" s="23">
        <f>pr_renewal*pr_mains_miles*pr_cost_mile*J9*(1+pr_capex_shift)</f>
        <v/>
      </c>
      <c r="K10" s="23">
        <f>pr_renewal*pr_mains_miles*pr_cost_mile*K9*(1+pr_capex_shift)</f>
        <v/>
      </c>
      <c r="L10" s="23">
        <f>pr_renewal*pr_mains_miles*pr_cost_mile*L9*(1+pr_capex_shift)</f>
        <v/>
      </c>
      <c r="M10" s="23">
        <f>pr_renewal*pr_mains_miles*pr_cost_mile*M9*(1+pr_capex_shift)</f>
        <v/>
      </c>
      <c r="N10" s="23">
        <f>pr_renewal*pr_mains_miles*pr_cost_mile*N9*(1+pr_capex_shift)</f>
        <v/>
      </c>
    </row>
    <row r="11">
      <c r="B11" s="2" t="inlineStr">
        <is>
          <t>Treatment, storage, meters, IT and growth</t>
        </is>
      </c>
      <c r="C11" s="5" t="inlineStr">
        <is>
          <t>$ million</t>
        </is>
      </c>
      <c r="E11" s="23">
        <f>pr_other_capex*E9*(1+pr_capex_shift)</f>
        <v/>
      </c>
      <c r="F11" s="23">
        <f>pr_other_capex*F9*(1+pr_capex_shift)</f>
        <v/>
      </c>
      <c r="G11" s="23">
        <f>pr_other_capex*G9*(1+pr_capex_shift)</f>
        <v/>
      </c>
      <c r="H11" s="23">
        <f>pr_other_capex*H9*(1+pr_capex_shift)</f>
        <v/>
      </c>
      <c r="I11" s="23">
        <f>pr_other_capex*I9*(1+pr_capex_shift)</f>
        <v/>
      </c>
      <c r="J11" s="23">
        <f>pr_other_capex*J9*(1+pr_capex_shift)</f>
        <v/>
      </c>
      <c r="K11" s="23">
        <f>pr_other_capex*K9*(1+pr_capex_shift)</f>
        <v/>
      </c>
      <c r="L11" s="23">
        <f>pr_other_capex*L9*(1+pr_capex_shift)</f>
        <v/>
      </c>
      <c r="M11" s="23">
        <f>pr_other_capex*M9*(1+pr_capex_shift)</f>
        <v/>
      </c>
      <c r="N11" s="23">
        <f>pr_other_capex*N9*(1+pr_capex_shift)</f>
        <v/>
      </c>
    </row>
    <row r="12">
      <c r="B12" s="2" t="inlineStr">
        <is>
          <t>PFAS treatment</t>
        </is>
      </c>
      <c r="C12" s="5" t="inlineStr">
        <is>
          <t>$ million</t>
        </is>
      </c>
      <c r="E12" s="23">
        <f>(IF(E4-pr_pfas_delay=pr_pfas_y1,pr_pfas_1,0)+IF(E4-pr_pfas_delay=pr_pfas_y1+1,pr_pfas_2,0)+IF(E4-pr_pfas_delay=pr_pfas_y1+2,pr_pfas_3,0))*(1+pr_capex_esc)^pr_pfas_delay*(1+pr_capex_shift)</f>
        <v/>
      </c>
      <c r="F12" s="23">
        <f>(IF(F4-pr_pfas_delay=pr_pfas_y1,pr_pfas_1,0)+IF(F4-pr_pfas_delay=pr_pfas_y1+1,pr_pfas_2,0)+IF(F4-pr_pfas_delay=pr_pfas_y1+2,pr_pfas_3,0))*(1+pr_capex_esc)^pr_pfas_delay*(1+pr_capex_shift)</f>
        <v/>
      </c>
      <c r="G12" s="23">
        <f>(IF(G4-pr_pfas_delay=pr_pfas_y1,pr_pfas_1,0)+IF(G4-pr_pfas_delay=pr_pfas_y1+1,pr_pfas_2,0)+IF(G4-pr_pfas_delay=pr_pfas_y1+2,pr_pfas_3,0))*(1+pr_capex_esc)^pr_pfas_delay*(1+pr_capex_shift)</f>
        <v/>
      </c>
      <c r="H12" s="23">
        <f>(IF(H4-pr_pfas_delay=pr_pfas_y1,pr_pfas_1,0)+IF(H4-pr_pfas_delay=pr_pfas_y1+1,pr_pfas_2,0)+IF(H4-pr_pfas_delay=pr_pfas_y1+2,pr_pfas_3,0))*(1+pr_capex_esc)^pr_pfas_delay*(1+pr_capex_shift)</f>
        <v/>
      </c>
      <c r="I12" s="23">
        <f>(IF(I4-pr_pfas_delay=pr_pfas_y1,pr_pfas_1,0)+IF(I4-pr_pfas_delay=pr_pfas_y1+1,pr_pfas_2,0)+IF(I4-pr_pfas_delay=pr_pfas_y1+2,pr_pfas_3,0))*(1+pr_capex_esc)^pr_pfas_delay*(1+pr_capex_shift)</f>
        <v/>
      </c>
      <c r="J12" s="23">
        <f>(IF(J4-pr_pfas_delay=pr_pfas_y1,pr_pfas_1,0)+IF(J4-pr_pfas_delay=pr_pfas_y1+1,pr_pfas_2,0)+IF(J4-pr_pfas_delay=pr_pfas_y1+2,pr_pfas_3,0))*(1+pr_capex_esc)^pr_pfas_delay*(1+pr_capex_shift)</f>
        <v/>
      </c>
      <c r="K12" s="23">
        <f>(IF(K4-pr_pfas_delay=pr_pfas_y1,pr_pfas_1,0)+IF(K4-pr_pfas_delay=pr_pfas_y1+1,pr_pfas_2,0)+IF(K4-pr_pfas_delay=pr_pfas_y1+2,pr_pfas_3,0))*(1+pr_capex_esc)^pr_pfas_delay*(1+pr_capex_shift)</f>
        <v/>
      </c>
      <c r="L12" s="23">
        <f>(IF(L4-pr_pfas_delay=pr_pfas_y1,pr_pfas_1,0)+IF(L4-pr_pfas_delay=pr_pfas_y1+1,pr_pfas_2,0)+IF(L4-pr_pfas_delay=pr_pfas_y1+2,pr_pfas_3,0))*(1+pr_capex_esc)^pr_pfas_delay*(1+pr_capex_shift)</f>
        <v/>
      </c>
      <c r="M12" s="23">
        <f>(IF(M4-pr_pfas_delay=pr_pfas_y1,pr_pfas_1,0)+IF(M4-pr_pfas_delay=pr_pfas_y1+1,pr_pfas_2,0)+IF(M4-pr_pfas_delay=pr_pfas_y1+2,pr_pfas_3,0))*(1+pr_capex_esc)^pr_pfas_delay*(1+pr_capex_shift)</f>
        <v/>
      </c>
      <c r="N12" s="23">
        <f>(IF(N4-pr_pfas_delay=pr_pfas_y1,pr_pfas_1,0)+IF(N4-pr_pfas_delay=pr_pfas_y1+1,pr_pfas_2,0)+IF(N4-pr_pfas_delay=pr_pfas_y1+2,pr_pfas_3,0))*(1+pr_capex_esc)^pr_pfas_delay*(1+pr_capex_shift)</f>
        <v/>
      </c>
    </row>
    <row r="13">
      <c r="B13" s="2" t="inlineStr">
        <is>
          <t>Lead service lines</t>
        </is>
      </c>
      <c r="C13" s="5" t="inlineStr">
        <is>
          <t>$ million</t>
        </is>
      </c>
      <c r="E13" s="23">
        <f>IF(AND(E4&gt;=(pr_close+1),E4&lt;(pr_close+1)+pr_lead_years),pr_lead_lines/pr_lead_years*pr_lead_cost/1000000*E9,0)*(1+pr_capex_shift)</f>
        <v/>
      </c>
      <c r="F13" s="23">
        <f>IF(AND(F4&gt;=(pr_close+1),F4&lt;(pr_close+1)+pr_lead_years),pr_lead_lines/pr_lead_years*pr_lead_cost/1000000*F9,0)*(1+pr_capex_shift)</f>
        <v/>
      </c>
      <c r="G13" s="23">
        <f>IF(AND(G4&gt;=(pr_close+1),G4&lt;(pr_close+1)+pr_lead_years),pr_lead_lines/pr_lead_years*pr_lead_cost/1000000*G9,0)*(1+pr_capex_shift)</f>
        <v/>
      </c>
      <c r="H13" s="23">
        <f>IF(AND(H4&gt;=(pr_close+1),H4&lt;(pr_close+1)+pr_lead_years),pr_lead_lines/pr_lead_years*pr_lead_cost/1000000*H9,0)*(1+pr_capex_shift)</f>
        <v/>
      </c>
      <c r="I13" s="23">
        <f>IF(AND(I4&gt;=(pr_close+1),I4&lt;(pr_close+1)+pr_lead_years),pr_lead_lines/pr_lead_years*pr_lead_cost/1000000*I9,0)*(1+pr_capex_shift)</f>
        <v/>
      </c>
      <c r="J13" s="23">
        <f>IF(AND(J4&gt;=(pr_close+1),J4&lt;(pr_close+1)+pr_lead_years),pr_lead_lines/pr_lead_years*pr_lead_cost/1000000*J9,0)*(1+pr_capex_shift)</f>
        <v/>
      </c>
      <c r="K13" s="23">
        <f>IF(AND(K4&gt;=(pr_close+1),K4&lt;(pr_close+1)+pr_lead_years),pr_lead_lines/pr_lead_years*pr_lead_cost/1000000*K9,0)*(1+pr_capex_shift)</f>
        <v/>
      </c>
      <c r="L13" s="23">
        <f>IF(AND(L4&gt;=(pr_close+1),L4&lt;(pr_close+1)+pr_lead_years),pr_lead_lines/pr_lead_years*pr_lead_cost/1000000*L9,0)*(1+pr_capex_shift)</f>
        <v/>
      </c>
      <c r="M13" s="23">
        <f>IF(AND(M4&gt;=(pr_close+1),M4&lt;(pr_close+1)+pr_lead_years),pr_lead_lines/pr_lead_years*pr_lead_cost/1000000*M9,0)*(1+pr_capex_shift)</f>
        <v/>
      </c>
      <c r="N13" s="23">
        <f>IF(AND(N4&gt;=(pr_close+1),N4&lt;(pr_close+1)+pr_lead_years),pr_lead_lines/pr_lead_years*pr_lead_cost/1000000*N9,0)*(1+pr_capex_shift)</f>
        <v/>
      </c>
    </row>
    <row r="14">
      <c r="B14" s="2" t="inlineStr">
        <is>
          <t>Fennick system</t>
        </is>
      </c>
      <c r="C14" s="5" t="inlineStr">
        <is>
          <t>$ million</t>
        </is>
      </c>
      <c r="E14" s="23">
        <f>IF(AND(pr_fen_on=1,E4&gt;pr_fen_year),pr_fen_capex*(1+pr_capex_esc)^(E4-pr_fen_year-1),0)*(1+pr_capex_shift)</f>
        <v/>
      </c>
      <c r="F14" s="23">
        <f>IF(AND(pr_fen_on=1,F4&gt;pr_fen_year),pr_fen_capex*(1+pr_capex_esc)^(F4-pr_fen_year-1),0)*(1+pr_capex_shift)</f>
        <v/>
      </c>
      <c r="G14" s="23">
        <f>IF(AND(pr_fen_on=1,G4&gt;pr_fen_year),pr_fen_capex*(1+pr_capex_esc)^(G4-pr_fen_year-1),0)*(1+pr_capex_shift)</f>
        <v/>
      </c>
      <c r="H14" s="23">
        <f>IF(AND(pr_fen_on=1,H4&gt;pr_fen_year),pr_fen_capex*(1+pr_capex_esc)^(H4-pr_fen_year-1),0)*(1+pr_capex_shift)</f>
        <v/>
      </c>
      <c r="I14" s="23">
        <f>IF(AND(pr_fen_on=1,I4&gt;pr_fen_year),pr_fen_capex*(1+pr_capex_esc)^(I4-pr_fen_year-1),0)*(1+pr_capex_shift)</f>
        <v/>
      </c>
      <c r="J14" s="23">
        <f>IF(AND(pr_fen_on=1,J4&gt;pr_fen_year),pr_fen_capex*(1+pr_capex_esc)^(J4-pr_fen_year-1),0)*(1+pr_capex_shift)</f>
        <v/>
      </c>
      <c r="K14" s="23">
        <f>IF(AND(pr_fen_on=1,K4&gt;pr_fen_year),pr_fen_capex*(1+pr_capex_esc)^(K4-pr_fen_year-1),0)*(1+pr_capex_shift)</f>
        <v/>
      </c>
      <c r="L14" s="23">
        <f>IF(AND(pr_fen_on=1,L4&gt;pr_fen_year),pr_fen_capex*(1+pr_capex_esc)^(L4-pr_fen_year-1),0)*(1+pr_capex_shift)</f>
        <v/>
      </c>
      <c r="M14" s="23">
        <f>IF(AND(pr_fen_on=1,M4&gt;pr_fen_year),pr_fen_capex*(1+pr_capex_esc)^(M4-pr_fen_year-1),0)*(1+pr_capex_shift)</f>
        <v/>
      </c>
      <c r="N14" s="23">
        <f>IF(AND(pr_fen_on=1,N4&gt;pr_fen_year),pr_fen_capex*(1+pr_capex_esc)^(N4-pr_fen_year-1),0)*(1+pr_capex_shift)</f>
        <v/>
      </c>
    </row>
    <row r="15">
      <c r="B15" s="2" t="inlineStr">
        <is>
          <t>Total capital spending</t>
        </is>
      </c>
      <c r="C15" s="5" t="inlineStr">
        <is>
          <t>$ million</t>
        </is>
      </c>
      <c r="E15" s="23">
        <f>SUM(E10:E14)</f>
        <v/>
      </c>
      <c r="F15" s="23">
        <f>SUM(F10:F14)</f>
        <v/>
      </c>
      <c r="G15" s="23">
        <f>SUM(G10:G14)</f>
        <v/>
      </c>
      <c r="H15" s="23">
        <f>SUM(H10:H14)</f>
        <v/>
      </c>
      <c r="I15" s="23">
        <f>SUM(I10:I14)</f>
        <v/>
      </c>
      <c r="J15" s="23">
        <f>SUM(J10:J14)</f>
        <v/>
      </c>
      <c r="K15" s="23">
        <f>SUM(K10:K14)</f>
        <v/>
      </c>
      <c r="L15" s="23">
        <f>SUM(L10:L14)</f>
        <v/>
      </c>
      <c r="M15" s="23">
        <f>SUM(M10:M14)</f>
        <v/>
      </c>
      <c r="N15" s="23">
        <f>SUM(N10:N14)</f>
        <v/>
      </c>
    </row>
    <row r="16">
      <c r="B16" s="2" t="inlineStr">
        <is>
          <t>DSIC-eligible (mains and lead lines)</t>
        </is>
      </c>
      <c r="C16" s="5" t="inlineStr">
        <is>
          <t>$ million</t>
        </is>
      </c>
      <c r="E16" s="23">
        <f>E10+E13</f>
        <v/>
      </c>
      <c r="F16" s="23">
        <f>F10+F13</f>
        <v/>
      </c>
      <c r="G16" s="23">
        <f>G10+G13</f>
        <v/>
      </c>
      <c r="H16" s="23">
        <f>H10+H13</f>
        <v/>
      </c>
      <c r="I16" s="23">
        <f>I10+I13</f>
        <v/>
      </c>
      <c r="J16" s="23">
        <f>J10+J13</f>
        <v/>
      </c>
      <c r="K16" s="23">
        <f>K10+K13</f>
        <v/>
      </c>
      <c r="L16" s="23">
        <f>L10+L13</f>
        <v/>
      </c>
      <c r="M16" s="23">
        <f>M10+M13</f>
        <v/>
      </c>
      <c r="N16" s="23">
        <f>N10+N13</f>
        <v/>
      </c>
    </row>
    <row r="18">
      <c r="B18" s="6" t="inlineStr">
        <is>
          <t>Rate case (rates effective 1 January of the year; test-year values looked up to the left)</t>
        </is>
      </c>
      <c r="C18" s="7" t="n"/>
      <c r="D18" s="7" t="n"/>
      <c r="E18" s="7" t="n"/>
      <c r="F18" s="7" t="n"/>
      <c r="G18" s="7" t="n"/>
      <c r="H18" s="7" t="n"/>
      <c r="I18" s="7" t="n"/>
      <c r="J18" s="7" t="n"/>
      <c r="K18" s="7" t="n"/>
      <c r="L18" s="7" t="n"/>
      <c r="M18" s="7" t="n"/>
      <c r="N18" s="7" t="n"/>
    </row>
    <row r="19">
      <c r="B19" s="2" t="inlineStr">
        <is>
          <t>Rate case this year (1 = yes)</t>
        </is>
      </c>
      <c r="E19" s="26">
        <f>IF(AND(E4&gt;=pr_rc_first,MOD(E4-pr_rc_first,pr_rc_cycle)=0),1,0)</f>
        <v/>
      </c>
      <c r="F19" s="26">
        <f>IF(AND(F4&gt;=pr_rc_first,MOD(F4-pr_rc_first,pr_rc_cycle)=0),1,0)</f>
        <v/>
      </c>
      <c r="G19" s="26">
        <f>IF(AND(G4&gt;=pr_rc_first,MOD(G4-pr_rc_first,pr_rc_cycle)=0),1,0)</f>
        <v/>
      </c>
      <c r="H19" s="26">
        <f>IF(AND(H4&gt;=pr_rc_first,MOD(H4-pr_rc_first,pr_rc_cycle)=0),1,0)</f>
        <v/>
      </c>
      <c r="I19" s="26">
        <f>IF(AND(I4&gt;=pr_rc_first,MOD(I4-pr_rc_first,pr_rc_cycle)=0),1,0)</f>
        <v/>
      </c>
      <c r="J19" s="26">
        <f>IF(AND(J4&gt;=pr_rc_first,MOD(J4-pr_rc_first,pr_rc_cycle)=0),1,0)</f>
        <v/>
      </c>
      <c r="K19" s="26">
        <f>IF(AND(K4&gt;=pr_rc_first,MOD(K4-pr_rc_first,pr_rc_cycle)=0),1,0)</f>
        <v/>
      </c>
      <c r="L19" s="26">
        <f>IF(AND(L4&gt;=pr_rc_first,MOD(L4-pr_rc_first,pr_rc_cycle)=0),1,0)</f>
        <v/>
      </c>
      <c r="M19" s="26">
        <f>IF(AND(M4&gt;=pr_rc_first,MOD(M4-pr_rc_first,pr_rc_cycle)=0),1,0)</f>
        <v/>
      </c>
      <c r="N19" s="26">
        <f>IF(AND(N4&gt;=pr_rc_first,MOD(N4-pr_rc_first,pr_rc_cycle)=0),1,0)</f>
        <v/>
      </c>
    </row>
    <row r="20">
      <c r="B20" s="2" t="inlineStr">
        <is>
          <t>Test year</t>
        </is>
      </c>
      <c r="E20" s="26">
        <f>E4-pr_test_lag</f>
        <v/>
      </c>
      <c r="F20" s="26">
        <f>F4-pr_test_lag</f>
        <v/>
      </c>
      <c r="G20" s="26">
        <f>G4-pr_test_lag</f>
        <v/>
      </c>
      <c r="H20" s="26">
        <f>H4-pr_test_lag</f>
        <v/>
      </c>
      <c r="I20" s="26">
        <f>I4-pr_test_lag</f>
        <v/>
      </c>
      <c r="J20" s="26">
        <f>J4-pr_test_lag</f>
        <v/>
      </c>
      <c r="K20" s="26">
        <f>K4-pr_test_lag</f>
        <v/>
      </c>
      <c r="L20" s="26">
        <f>L4-pr_test_lag</f>
        <v/>
      </c>
      <c r="M20" s="26">
        <f>M4-pr_test_lag</f>
        <v/>
      </c>
      <c r="N20" s="26">
        <f>N4-pr_test_lag</f>
        <v/>
      </c>
    </row>
    <row r="21">
      <c r="B21" s="2" t="inlineStr">
        <is>
          <t>Test year of the latest rate case</t>
        </is>
      </c>
      <c r="D21" s="26">
        <f>pr_close</f>
        <v/>
      </c>
      <c r="E21" s="26">
        <f>IF(E19=1,E20,D21)</f>
        <v/>
      </c>
      <c r="F21" s="26">
        <f>IF(F19=1,F20,E21)</f>
        <v/>
      </c>
      <c r="G21" s="26">
        <f>IF(G19=1,G20,F21)</f>
        <v/>
      </c>
      <c r="H21" s="26">
        <f>IF(H19=1,H20,G21)</f>
        <v/>
      </c>
      <c r="I21" s="26">
        <f>IF(I19=1,I20,H21)</f>
        <v/>
      </c>
      <c r="J21" s="26">
        <f>IF(J19=1,J20,I21)</f>
        <v/>
      </c>
      <c r="K21" s="26">
        <f>IF(K19=1,K20,J21)</f>
        <v/>
      </c>
      <c r="L21" s="26">
        <f>IF(L19=1,L20,K21)</f>
        <v/>
      </c>
      <c r="M21" s="26">
        <f>IF(M19=1,M20,L21)</f>
        <v/>
      </c>
      <c r="N21" s="26">
        <f>IF(N19=1,N20,M21)</f>
        <v/>
      </c>
    </row>
    <row r="22">
      <c r="B22" s="2" t="inlineStr">
        <is>
          <t>Rate base at the end of the test year</t>
        </is>
      </c>
      <c r="C22" s="5" t="inlineStr">
        <is>
          <t>$ million</t>
        </is>
      </c>
      <c r="E22" s="23">
        <f>INDEX($D$61:D$61,MATCH(MAX(E20,pr_close),$D$4:D$4,0))</f>
        <v/>
      </c>
      <c r="F22" s="23">
        <f>INDEX($D$61:E$61,MATCH(MAX(F20,pr_close),$D$4:E$4,0))</f>
        <v/>
      </c>
      <c r="G22" s="23">
        <f>INDEX($D$61:F$61,MATCH(MAX(G20,pr_close),$D$4:F$4,0))</f>
        <v/>
      </c>
      <c r="H22" s="23">
        <f>INDEX($D$61:G$61,MATCH(MAX(H20,pr_close),$D$4:G$4,0))</f>
        <v/>
      </c>
      <c r="I22" s="23">
        <f>INDEX($D$61:H$61,MATCH(MAX(I20,pr_close),$D$4:H$4,0))</f>
        <v/>
      </c>
      <c r="J22" s="23">
        <f>INDEX($D$61:I$61,MATCH(MAX(J20,pr_close),$D$4:I$4,0))</f>
        <v/>
      </c>
      <c r="K22" s="23">
        <f>INDEX($D$61:J$61,MATCH(MAX(K20,pr_close),$D$4:J$4,0))</f>
        <v/>
      </c>
      <c r="L22" s="23">
        <f>INDEX($D$61:K$61,MATCH(MAX(L20,pr_close),$D$4:K$4,0))</f>
        <v/>
      </c>
      <c r="M22" s="23">
        <f>INDEX($D$61:L$61,MATCH(MAX(M20,pr_close),$D$4:L$4,0))</f>
        <v/>
      </c>
      <c r="N22" s="23">
        <f>INDEX($D$61:M$61,MATCH(MAX(N20,pr_close),$D$4:M$4,0))</f>
        <v/>
      </c>
    </row>
    <row r="23">
      <c r="B23" s="2" t="inlineStr">
        <is>
          <t>Embedded cost of debt in the test year</t>
        </is>
      </c>
      <c r="C23" s="5" t="inlineStr">
        <is>
          <t>rate</t>
        </is>
      </c>
      <c r="E23" s="27">
        <f>INDEX($D$65:D$65,MATCH(MAX(E20,pr_close),$D$4:D$4,0))</f>
        <v/>
      </c>
      <c r="F23" s="27">
        <f>INDEX($D$65:E$65,MATCH(MAX(F20,pr_close),$D$4:E$4,0))</f>
        <v/>
      </c>
      <c r="G23" s="27">
        <f>INDEX($D$65:F$65,MATCH(MAX(G20,pr_close),$D$4:F$4,0))</f>
        <v/>
      </c>
      <c r="H23" s="27">
        <f>INDEX($D$65:G$65,MATCH(MAX(H20,pr_close),$D$4:G$4,0))</f>
        <v/>
      </c>
      <c r="I23" s="27">
        <f>INDEX($D$65:H$65,MATCH(MAX(I20,pr_close),$D$4:H$4,0))</f>
        <v/>
      </c>
      <c r="J23" s="27">
        <f>INDEX($D$65:I$65,MATCH(MAX(J20,pr_close),$D$4:I$4,0))</f>
        <v/>
      </c>
      <c r="K23" s="27">
        <f>INDEX($D$65:J$65,MATCH(MAX(K20,pr_close),$D$4:J$4,0))</f>
        <v/>
      </c>
      <c r="L23" s="27">
        <f>INDEX($D$65:K$65,MATCH(MAX(L20,pr_close),$D$4:K$4,0))</f>
        <v/>
      </c>
      <c r="M23" s="27">
        <f>INDEX($D$65:L$65,MATCH(MAX(M20,pr_close),$D$4:L$4,0))</f>
        <v/>
      </c>
      <c r="N23" s="27">
        <f>INDEX($D$65:M$65,MATCH(MAX(N20,pr_close),$D$4:M$4,0))</f>
        <v/>
      </c>
    </row>
    <row r="24">
      <c r="B24" s="2" t="inlineStr">
        <is>
          <t>O&amp;M in the test year</t>
        </is>
      </c>
      <c r="C24" s="5" t="inlineStr">
        <is>
          <t>$ million</t>
        </is>
      </c>
      <c r="E24" s="23">
        <f>INDEX($D$46:D$46,MATCH(MAX(E20,pr_close),$D$4:D$4,0))</f>
        <v/>
      </c>
      <c r="F24" s="23">
        <f>INDEX($D$46:E$46,MATCH(MAX(F20,pr_close),$D$4:E$4,0))</f>
        <v/>
      </c>
      <c r="G24" s="23">
        <f>INDEX($D$46:F$46,MATCH(MAX(G20,pr_close),$D$4:F$4,0))</f>
        <v/>
      </c>
      <c r="H24" s="23">
        <f>INDEX($D$46:G$46,MATCH(MAX(H20,pr_close),$D$4:G$4,0))</f>
        <v/>
      </c>
      <c r="I24" s="23">
        <f>INDEX($D$46:H$46,MATCH(MAX(I20,pr_close),$D$4:H$4,0))</f>
        <v/>
      </c>
      <c r="J24" s="23">
        <f>INDEX($D$46:I$46,MATCH(MAX(J20,pr_close),$D$4:I$4,0))</f>
        <v/>
      </c>
      <c r="K24" s="23">
        <f>INDEX($D$46:J$46,MATCH(MAX(K20,pr_close),$D$4:J$4,0))</f>
        <v/>
      </c>
      <c r="L24" s="23">
        <f>INDEX($D$46:K$46,MATCH(MAX(L20,pr_close),$D$4:K$4,0))</f>
        <v/>
      </c>
      <c r="M24" s="23">
        <f>INDEX($D$46:L$46,MATCH(MAX(M20,pr_close),$D$4:L$4,0))</f>
        <v/>
      </c>
      <c r="N24" s="23">
        <f>INDEX($D$46:M$46,MATCH(MAX(N20,pr_close),$D$4:M$4,0))</f>
        <v/>
      </c>
    </row>
    <row r="25">
      <c r="B25" s="2" t="inlineStr">
        <is>
          <t>Authorized return on rate base</t>
        </is>
      </c>
      <c r="C25" s="5" t="inlineStr">
        <is>
          <t>rate</t>
        </is>
      </c>
      <c r="E25" s="27">
        <f>(pr_eq*pr_roe+(1-pr_eq)*E23)</f>
        <v/>
      </c>
      <c r="F25" s="27">
        <f>(pr_eq*pr_roe+(1-pr_eq)*F23)</f>
        <v/>
      </c>
      <c r="G25" s="27">
        <f>(pr_eq*pr_roe+(1-pr_eq)*G23)</f>
        <v/>
      </c>
      <c r="H25" s="27">
        <f>(pr_eq*pr_roe+(1-pr_eq)*H23)</f>
        <v/>
      </c>
      <c r="I25" s="27">
        <f>(pr_eq*pr_roe+(1-pr_eq)*I23)</f>
        <v/>
      </c>
      <c r="J25" s="27">
        <f>(pr_eq*pr_roe+(1-pr_eq)*J23)</f>
        <v/>
      </c>
      <c r="K25" s="27">
        <f>(pr_eq*pr_roe+(1-pr_eq)*K23)</f>
        <v/>
      </c>
      <c r="L25" s="27">
        <f>(pr_eq*pr_roe+(1-pr_eq)*L23)</f>
        <v/>
      </c>
      <c r="M25" s="27">
        <f>(pr_eq*pr_roe+(1-pr_eq)*M23)</f>
        <v/>
      </c>
      <c r="N25" s="27">
        <f>(pr_eq*pr_roe+(1-pr_eq)*N23)</f>
        <v/>
      </c>
    </row>
    <row r="26">
      <c r="B26" s="2" t="inlineStr">
        <is>
          <t>Return</t>
        </is>
      </c>
      <c r="C26" s="5" t="inlineStr">
        <is>
          <t>$ million</t>
        </is>
      </c>
      <c r="E26" s="23">
        <f>E25*E22</f>
        <v/>
      </c>
      <c r="F26" s="23">
        <f>F25*F22</f>
        <v/>
      </c>
      <c r="G26" s="23">
        <f>G25*G22</f>
        <v/>
      </c>
      <c r="H26" s="23">
        <f>H25*H22</f>
        <v/>
      </c>
      <c r="I26" s="23">
        <f>I25*I22</f>
        <v/>
      </c>
      <c r="J26" s="23">
        <f>J25*J22</f>
        <v/>
      </c>
      <c r="K26" s="23">
        <f>K25*K22</f>
        <v/>
      </c>
      <c r="L26" s="23">
        <f>L25*L22</f>
        <v/>
      </c>
      <c r="M26" s="23">
        <f>M25*M22</f>
        <v/>
      </c>
      <c r="N26" s="23">
        <f>N25*N22</f>
        <v/>
      </c>
    </row>
    <row r="27">
      <c r="B27" s="2" t="inlineStr">
        <is>
          <t>Income tax gross-up</t>
        </is>
      </c>
      <c r="C27" s="5" t="inlineStr">
        <is>
          <t>$ million</t>
        </is>
      </c>
      <c r="E27" s="23">
        <f>(pr_eq*pr_roe*pr_tax/(1-pr_tax))*E22</f>
        <v/>
      </c>
      <c r="F27" s="23">
        <f>(pr_eq*pr_roe*pr_tax/(1-pr_tax))*F22</f>
        <v/>
      </c>
      <c r="G27" s="23">
        <f>(pr_eq*pr_roe*pr_tax/(1-pr_tax))*G22</f>
        <v/>
      </c>
      <c r="H27" s="23">
        <f>(pr_eq*pr_roe*pr_tax/(1-pr_tax))*H22</f>
        <v/>
      </c>
      <c r="I27" s="23">
        <f>(pr_eq*pr_roe*pr_tax/(1-pr_tax))*I22</f>
        <v/>
      </c>
      <c r="J27" s="23">
        <f>(pr_eq*pr_roe*pr_tax/(1-pr_tax))*J22</f>
        <v/>
      </c>
      <c r="K27" s="23">
        <f>(pr_eq*pr_roe*pr_tax/(1-pr_tax))*K22</f>
        <v/>
      </c>
      <c r="L27" s="23">
        <f>(pr_eq*pr_roe*pr_tax/(1-pr_tax))*L22</f>
        <v/>
      </c>
      <c r="M27" s="23">
        <f>(pr_eq*pr_roe*pr_tax/(1-pr_tax))*M22</f>
        <v/>
      </c>
      <c r="N27" s="23">
        <f>(pr_eq*pr_roe*pr_tax/(1-pr_tax))*N22</f>
        <v/>
      </c>
    </row>
    <row r="28">
      <c r="B28" s="2" t="inlineStr">
        <is>
          <t>Depreciation</t>
        </is>
      </c>
      <c r="C28" s="5" t="inlineStr">
        <is>
          <t>$ million</t>
        </is>
      </c>
      <c r="E28" s="23">
        <f>pr_dep*E22</f>
        <v/>
      </c>
      <c r="F28" s="23">
        <f>pr_dep*F22</f>
        <v/>
      </c>
      <c r="G28" s="23">
        <f>pr_dep*G22</f>
        <v/>
      </c>
      <c r="H28" s="23">
        <f>pr_dep*H22</f>
        <v/>
      </c>
      <c r="I28" s="23">
        <f>pr_dep*I22</f>
        <v/>
      </c>
      <c r="J28" s="23">
        <f>pr_dep*J22</f>
        <v/>
      </c>
      <c r="K28" s="23">
        <f>pr_dep*K22</f>
        <v/>
      </c>
      <c r="L28" s="23">
        <f>pr_dep*L22</f>
        <v/>
      </c>
      <c r="M28" s="23">
        <f>pr_dep*M22</f>
        <v/>
      </c>
      <c r="N28" s="23">
        <f>pr_dep*N22</f>
        <v/>
      </c>
    </row>
    <row r="29">
      <c r="B29" s="2" t="inlineStr">
        <is>
          <t>Other taxes</t>
        </is>
      </c>
      <c r="C29" s="5" t="inlineStr">
        <is>
          <t>$ million</t>
        </is>
      </c>
      <c r="E29" s="23">
        <f>pr_ptax*E22</f>
        <v/>
      </c>
      <c r="F29" s="23">
        <f>pr_ptax*F22</f>
        <v/>
      </c>
      <c r="G29" s="23">
        <f>pr_ptax*G22</f>
        <v/>
      </c>
      <c r="H29" s="23">
        <f>pr_ptax*H22</f>
        <v/>
      </c>
      <c r="I29" s="23">
        <f>pr_ptax*I22</f>
        <v/>
      </c>
      <c r="J29" s="23">
        <f>pr_ptax*J22</f>
        <v/>
      </c>
      <c r="K29" s="23">
        <f>pr_ptax*K22</f>
        <v/>
      </c>
      <c r="L29" s="23">
        <f>pr_ptax*L22</f>
        <v/>
      </c>
      <c r="M29" s="23">
        <f>pr_ptax*M22</f>
        <v/>
      </c>
      <c r="N29" s="23">
        <f>pr_ptax*N22</f>
        <v/>
      </c>
    </row>
    <row r="30">
      <c r="B30" s="2" t="inlineStr">
        <is>
          <t>O&amp;M (test year, known and measurable)</t>
        </is>
      </c>
      <c r="C30" s="5" t="inlineStr">
        <is>
          <t>$ million</t>
        </is>
      </c>
      <c r="E30" s="23">
        <f>E24*(1+pr_om_infl)*(1+pr_growth)</f>
        <v/>
      </c>
      <c r="F30" s="23">
        <f>F24*(1+pr_om_infl)*(1+pr_growth)</f>
        <v/>
      </c>
      <c r="G30" s="23">
        <f>G24*(1+pr_om_infl)*(1+pr_growth)</f>
        <v/>
      </c>
      <c r="H30" s="23">
        <f>H24*(1+pr_om_infl)*(1+pr_growth)</f>
        <v/>
      </c>
      <c r="I30" s="23">
        <f>I24*(1+pr_om_infl)*(1+pr_growth)</f>
        <v/>
      </c>
      <c r="J30" s="23">
        <f>J24*(1+pr_om_infl)*(1+pr_growth)</f>
        <v/>
      </c>
      <c r="K30" s="23">
        <f>K24*(1+pr_om_infl)*(1+pr_growth)</f>
        <v/>
      </c>
      <c r="L30" s="23">
        <f>L24*(1+pr_om_infl)*(1+pr_growth)</f>
        <v/>
      </c>
      <c r="M30" s="23">
        <f>M24*(1+pr_om_infl)*(1+pr_growth)</f>
        <v/>
      </c>
      <c r="N30" s="23">
        <f>N24*(1+pr_om_infl)*(1+pr_growth)</f>
        <v/>
      </c>
    </row>
    <row r="31">
      <c r="B31" s="2" t="inlineStr">
        <is>
          <t>Revenue requirement (test-year connections)</t>
        </is>
      </c>
      <c r="C31" s="5" t="inlineStr">
        <is>
          <t>$ million</t>
        </is>
      </c>
      <c r="E31" s="23">
        <f>SUM(E26:E30)</f>
        <v/>
      </c>
      <c r="F31" s="23">
        <f>SUM(F26:F30)</f>
        <v/>
      </c>
      <c r="G31" s="23">
        <f>SUM(G26:G30)</f>
        <v/>
      </c>
      <c r="H31" s="23">
        <f>SUM(H26:H30)</f>
        <v/>
      </c>
      <c r="I31" s="23">
        <f>SUM(I26:I30)</f>
        <v/>
      </c>
      <c r="J31" s="23">
        <f>SUM(J26:J30)</f>
        <v/>
      </c>
      <c r="K31" s="23">
        <f>SUM(K26:K30)</f>
        <v/>
      </c>
      <c r="L31" s="23">
        <f>SUM(L26:L30)</f>
        <v/>
      </c>
      <c r="M31" s="23">
        <f>SUM(M26:M30)</f>
        <v/>
      </c>
      <c r="N31" s="23">
        <f>SUM(N26:N30)</f>
        <v/>
      </c>
    </row>
    <row r="32">
      <c r="B32" s="2" t="inlineStr">
        <is>
          <t>Revenue requirement on effective-year connections</t>
        </is>
      </c>
      <c r="C32" s="5" t="inlineStr">
        <is>
          <t>$ million</t>
        </is>
      </c>
      <c r="E32" s="23">
        <f>E31*(1+pr_growth)</f>
        <v/>
      </c>
      <c r="F32" s="23">
        <f>F31*(1+pr_growth)</f>
        <v/>
      </c>
      <c r="G32" s="23">
        <f>G31*(1+pr_growth)</f>
        <v/>
      </c>
      <c r="H32" s="23">
        <f>H31*(1+pr_growth)</f>
        <v/>
      </c>
      <c r="I32" s="23">
        <f>I31*(1+pr_growth)</f>
        <v/>
      </c>
      <c r="J32" s="23">
        <f>J31*(1+pr_growth)</f>
        <v/>
      </c>
      <c r="K32" s="23">
        <f>K31*(1+pr_growth)</f>
        <v/>
      </c>
      <c r="L32" s="23">
        <f>L31*(1+pr_growth)</f>
        <v/>
      </c>
      <c r="M32" s="23">
        <f>M31*(1+pr_growth)</f>
        <v/>
      </c>
      <c r="N32" s="23">
        <f>N31*(1+pr_growth)</f>
        <v/>
      </c>
    </row>
    <row r="33">
      <c r="B33" s="2" t="inlineStr">
        <is>
          <t>Revenue at existing rates</t>
        </is>
      </c>
      <c r="C33" s="5" t="inlineStr">
        <is>
          <t>$ million</t>
        </is>
      </c>
      <c r="E33" s="23">
        <f>IF(E4=(pr_close+1),D39,D39*(1+pr_growth)*(1-pr_vol_share*IF(pr_decoupling=1,0,pr_usage))+D40+D42)</f>
        <v/>
      </c>
      <c r="F33" s="23">
        <f>IF(F4=(pr_close+1),E39,E39*(1+pr_growth)*(1-pr_vol_share*IF(pr_decoupling=1,0,pr_usage))+E40+E42)</f>
        <v/>
      </c>
      <c r="G33" s="23">
        <f>IF(G4=(pr_close+1),F39,F39*(1+pr_growth)*(1-pr_vol_share*IF(pr_decoupling=1,0,pr_usage))+F40+F42)</f>
        <v/>
      </c>
      <c r="H33" s="23">
        <f>IF(H4=(pr_close+1),G39,G39*(1+pr_growth)*(1-pr_vol_share*IF(pr_decoupling=1,0,pr_usage))+G40+G42)</f>
        <v/>
      </c>
      <c r="I33" s="23">
        <f>IF(I4=(pr_close+1),H39,H39*(1+pr_growth)*(1-pr_vol_share*IF(pr_decoupling=1,0,pr_usage))+H40+H42)</f>
        <v/>
      </c>
      <c r="J33" s="23">
        <f>IF(J4=(pr_close+1),I39,I39*(1+pr_growth)*(1-pr_vol_share*IF(pr_decoupling=1,0,pr_usage))+I40+I42)</f>
        <v/>
      </c>
      <c r="K33" s="23">
        <f>IF(K4=(pr_close+1),J39,J39*(1+pr_growth)*(1-pr_vol_share*IF(pr_decoupling=1,0,pr_usage))+J40+J42)</f>
        <v/>
      </c>
      <c r="L33" s="23">
        <f>IF(L4=(pr_close+1),K39,K39*(1+pr_growth)*(1-pr_vol_share*IF(pr_decoupling=1,0,pr_usage))+K40+K42)</f>
        <v/>
      </c>
      <c r="M33" s="23">
        <f>IF(M4=(pr_close+1),L39,L39*(1+pr_growth)*(1-pr_vol_share*IF(pr_decoupling=1,0,pr_usage))+L40+L42)</f>
        <v/>
      </c>
      <c r="N33" s="23">
        <f>IF(N4=(pr_close+1),M39,M39*(1+pr_growth)*(1-pr_vol_share*IF(pr_decoupling=1,0,pr_usage))+M40+M42)</f>
        <v/>
      </c>
    </row>
    <row r="34">
      <c r="B34" s="2" t="inlineStr">
        <is>
          <t>Increase granted</t>
        </is>
      </c>
      <c r="C34" s="5" t="inlineStr">
        <is>
          <t>share</t>
        </is>
      </c>
      <c r="E34" s="20">
        <f>E32/E33-1</f>
        <v/>
      </c>
      <c r="F34" s="20">
        <f>F32/F33-1</f>
        <v/>
      </c>
      <c r="G34" s="20">
        <f>G32/G33-1</f>
        <v/>
      </c>
      <c r="H34" s="20">
        <f>H32/H33-1</f>
        <v/>
      </c>
      <c r="I34" s="20">
        <f>I32/I33-1</f>
        <v/>
      </c>
      <c r="J34" s="20">
        <f>J32/J33-1</f>
        <v/>
      </c>
      <c r="K34" s="20">
        <f>K32/K33-1</f>
        <v/>
      </c>
      <c r="L34" s="20">
        <f>L32/L33-1</f>
        <v/>
      </c>
      <c r="M34" s="20">
        <f>M32/M33-1</f>
        <v/>
      </c>
      <c r="N34" s="20">
        <f>N32/N33-1</f>
        <v/>
      </c>
    </row>
    <row r="35">
      <c r="B35" s="2" t="inlineStr">
        <is>
          <t>Revenue requirement requested (at the requested ROE)</t>
        </is>
      </c>
      <c r="C35" s="5" t="inlineStr">
        <is>
          <t>$ million</t>
        </is>
      </c>
      <c r="E35" s="23">
        <f>(pr_eq*pr_roe_ask+(1-pr_eq)*E23)*E22+pr_eq*pr_roe_ask*E22*pr_tax/(1-pr_tax)+E28+E29+E30</f>
        <v/>
      </c>
      <c r="F35" s="23">
        <f>(pr_eq*pr_roe_ask+(1-pr_eq)*F23)*F22+pr_eq*pr_roe_ask*F22*pr_tax/(1-pr_tax)+F28+F29+F30</f>
        <v/>
      </c>
      <c r="G35" s="23">
        <f>(pr_eq*pr_roe_ask+(1-pr_eq)*G23)*G22+pr_eq*pr_roe_ask*G22*pr_tax/(1-pr_tax)+G28+G29+G30</f>
        <v/>
      </c>
      <c r="H35" s="23">
        <f>(pr_eq*pr_roe_ask+(1-pr_eq)*H23)*H22+pr_eq*pr_roe_ask*H22*pr_tax/(1-pr_tax)+H28+H29+H30</f>
        <v/>
      </c>
      <c r="I35" s="23">
        <f>(pr_eq*pr_roe_ask+(1-pr_eq)*I23)*I22+pr_eq*pr_roe_ask*I22*pr_tax/(1-pr_tax)+I28+I29+I30</f>
        <v/>
      </c>
      <c r="J35" s="23">
        <f>(pr_eq*pr_roe_ask+(1-pr_eq)*J23)*J22+pr_eq*pr_roe_ask*J22*pr_tax/(1-pr_tax)+J28+J29+J30</f>
        <v/>
      </c>
      <c r="K35" s="23">
        <f>(pr_eq*pr_roe_ask+(1-pr_eq)*K23)*K22+pr_eq*pr_roe_ask*K22*pr_tax/(1-pr_tax)+K28+K29+K30</f>
        <v/>
      </c>
      <c r="L35" s="23">
        <f>(pr_eq*pr_roe_ask+(1-pr_eq)*L23)*L22+pr_eq*pr_roe_ask*L22*pr_tax/(1-pr_tax)+L28+L29+L30</f>
        <v/>
      </c>
      <c r="M35" s="23">
        <f>(pr_eq*pr_roe_ask+(1-pr_eq)*M23)*M22+pr_eq*pr_roe_ask*M22*pr_tax/(1-pr_tax)+M28+M29+M30</f>
        <v/>
      </c>
      <c r="N35" s="23">
        <f>(pr_eq*pr_roe_ask+(1-pr_eq)*N23)*N22+pr_eq*pr_roe_ask*N22*pr_tax/(1-pr_tax)+N28+N29+N30</f>
        <v/>
      </c>
    </row>
    <row r="36">
      <c r="B36" s="2" t="inlineStr">
        <is>
          <t>Increase requested</t>
        </is>
      </c>
      <c r="C36" s="5" t="inlineStr">
        <is>
          <t>share</t>
        </is>
      </c>
      <c r="E36" s="20">
        <f>E35*(1+pr_growth)/E33-1</f>
        <v/>
      </c>
      <c r="F36" s="20">
        <f>F35*(1+pr_growth)/F33-1</f>
        <v/>
      </c>
      <c r="G36" s="20">
        <f>G35*(1+pr_growth)/G33-1</f>
        <v/>
      </c>
      <c r="H36" s="20">
        <f>H35*(1+pr_growth)/H33-1</f>
        <v/>
      </c>
      <c r="I36" s="20">
        <f>I35*(1+pr_growth)/I33-1</f>
        <v/>
      </c>
      <c r="J36" s="20">
        <f>J35*(1+pr_growth)/J33-1</f>
        <v/>
      </c>
      <c r="K36" s="20">
        <f>K35*(1+pr_growth)/K33-1</f>
        <v/>
      </c>
      <c r="L36" s="20">
        <f>L35*(1+pr_growth)/L33-1</f>
        <v/>
      </c>
      <c r="M36" s="20">
        <f>M35*(1+pr_growth)/M33-1</f>
        <v/>
      </c>
      <c r="N36" s="20">
        <f>N35*(1+pr_growth)/N33-1</f>
        <v/>
      </c>
    </row>
    <row r="38">
      <c r="B38" s="6" t="inlineStr">
        <is>
          <t>Revenue ($ million)</t>
        </is>
      </c>
      <c r="C38" s="7" t="n"/>
      <c r="D38" s="7" t="n"/>
      <c r="E38" s="7" t="n"/>
      <c r="F38" s="7" t="n"/>
      <c r="G38" s="7" t="n"/>
      <c r="H38" s="7" t="n"/>
      <c r="I38" s="7" t="n"/>
      <c r="J38" s="7" t="n"/>
      <c r="K38" s="7" t="n"/>
      <c r="L38" s="7" t="n"/>
      <c r="M38" s="7" t="n"/>
      <c r="N38" s="7" t="n"/>
    </row>
    <row r="39">
      <c r="B39" s="2" t="inlineStr">
        <is>
          <t>Base revenue (rate case, or prior year x growth x volume erosion)</t>
        </is>
      </c>
      <c r="C39" s="5" t="inlineStr">
        <is>
          <t>$ million</t>
        </is>
      </c>
      <c r="D39" s="23">
        <f>pr_rev_2028/((1+pr_growth)*(1-pr_vol_share*IF(pr_decoupling=1,0,pr_usage)))</f>
        <v/>
      </c>
      <c r="E39" s="23">
        <f>IF(E19=1,E32,D39*(1+pr_growth)*(1-pr_vol_share*IF(pr_decoupling=1,0,pr_usage)))</f>
        <v/>
      </c>
      <c r="F39" s="23">
        <f>IF(F19=1,F32,E39*(1+pr_growth)*(1-pr_vol_share*IF(pr_decoupling=1,0,pr_usage)))</f>
        <v/>
      </c>
      <c r="G39" s="23">
        <f>IF(G19=1,G32,F39*(1+pr_growth)*(1-pr_vol_share*IF(pr_decoupling=1,0,pr_usage)))</f>
        <v/>
      </c>
      <c r="H39" s="23">
        <f>IF(H19=1,H32,G39*(1+pr_growth)*(1-pr_vol_share*IF(pr_decoupling=1,0,pr_usage)))</f>
        <v/>
      </c>
      <c r="I39" s="23">
        <f>IF(I19=1,I32,H39*(1+pr_growth)*(1-pr_vol_share*IF(pr_decoupling=1,0,pr_usage)))</f>
        <v/>
      </c>
      <c r="J39" s="23">
        <f>IF(J19=1,J32,I39*(1+pr_growth)*(1-pr_vol_share*IF(pr_decoupling=1,0,pr_usage)))</f>
        <v/>
      </c>
      <c r="K39" s="23">
        <f>IF(K19=1,K32,J39*(1+pr_growth)*(1-pr_vol_share*IF(pr_decoupling=1,0,pr_usage)))</f>
        <v/>
      </c>
      <c r="L39" s="23">
        <f>IF(L19=1,L32,K39*(1+pr_growth)*(1-pr_vol_share*IF(pr_decoupling=1,0,pr_usage)))</f>
        <v/>
      </c>
      <c r="M39" s="23">
        <f>IF(M19=1,M32,L39*(1+pr_growth)*(1-pr_vol_share*IF(pr_decoupling=1,0,pr_usage)))</f>
        <v/>
      </c>
      <c r="N39" s="23">
        <f>IF(N19=1,N32,M39*(1+pr_growth)*(1-pr_vol_share*IF(pr_decoupling=1,0,pr_usage)))</f>
        <v/>
      </c>
    </row>
    <row r="40">
      <c r="B40" s="2" t="inlineStr">
        <is>
          <t>Fennick revenue at its old rates (until the next rate case)</t>
        </is>
      </c>
      <c r="C40" s="5" t="inlineStr">
        <is>
          <t>$ million</t>
        </is>
      </c>
      <c r="E40" s="23">
        <f>IF(AND(pr_fen_on=1,E4&gt;pr_fen_year,SUMIFS($D$19:E$19,$D$4:E$4,"&gt;"&amp;pr_fen_year)=0),pr_fen_rev,0)</f>
        <v/>
      </c>
      <c r="F40" s="23">
        <f>IF(AND(pr_fen_on=1,F4&gt;pr_fen_year,SUMIFS($D$19:F$19,$D$4:F$4,"&gt;"&amp;pr_fen_year)=0),pr_fen_rev,0)</f>
        <v/>
      </c>
      <c r="G40" s="23">
        <f>IF(AND(pr_fen_on=1,G4&gt;pr_fen_year,SUMIFS($D$19:G$19,$D$4:G$4,"&gt;"&amp;pr_fen_year)=0),pr_fen_rev,0)</f>
        <v/>
      </c>
      <c r="H40" s="23">
        <f>IF(AND(pr_fen_on=1,H4&gt;pr_fen_year,SUMIFS($D$19:H$19,$D$4:H$4,"&gt;"&amp;pr_fen_year)=0),pr_fen_rev,0)</f>
        <v/>
      </c>
      <c r="I40" s="23">
        <f>IF(AND(pr_fen_on=1,I4&gt;pr_fen_year,SUMIFS($D$19:I$19,$D$4:I$4,"&gt;"&amp;pr_fen_year)=0),pr_fen_rev,0)</f>
        <v/>
      </c>
      <c r="J40" s="23">
        <f>IF(AND(pr_fen_on=1,J4&gt;pr_fen_year,SUMIFS($D$19:J$19,$D$4:J$4,"&gt;"&amp;pr_fen_year)=0),pr_fen_rev,0)</f>
        <v/>
      </c>
      <c r="K40" s="23">
        <f>IF(AND(pr_fen_on=1,K4&gt;pr_fen_year,SUMIFS($D$19:K$19,$D$4:K$4,"&gt;"&amp;pr_fen_year)=0),pr_fen_rev,0)</f>
        <v/>
      </c>
      <c r="L40" s="23">
        <f>IF(AND(pr_fen_on=1,L4&gt;pr_fen_year,SUMIFS($D$19:L$19,$D$4:L$4,"&gt;"&amp;pr_fen_year)=0),pr_fen_rev,0)</f>
        <v/>
      </c>
      <c r="M40" s="23">
        <f>IF(AND(pr_fen_on=1,M4&gt;pr_fen_year,SUMIFS($D$19:M$19,$D$4:M$4,"&gt;"&amp;pr_fen_year)=0),pr_fen_rev,0)</f>
        <v/>
      </c>
      <c r="N40" s="23">
        <f>IF(AND(pr_fen_on=1,N4&gt;pr_fen_year,SUMIFS($D$19:N$19,$D$4:N$4,"&gt;"&amp;pr_fen_year)=0),pr_fen_rev,0)</f>
        <v/>
      </c>
    </row>
    <row r="41">
      <c r="B41" s="2" t="inlineStr">
        <is>
          <t>DSIC pool: eligible plant since the latest test year</t>
        </is>
      </c>
      <c r="C41" s="5" t="inlineStr">
        <is>
          <t>$ million</t>
        </is>
      </c>
      <c r="E41" s="23">
        <f>IF(E4=(pr_close+1),0,SUMIFS($D$16:D$16,$D$4:D$4,"&gt;"&amp;E21))</f>
        <v/>
      </c>
      <c r="F41" s="23">
        <f>IF(F4=(pr_close+1),0,SUMIFS($D$16:E$16,$D$4:E$4,"&gt;"&amp;F21))</f>
        <v/>
      </c>
      <c r="G41" s="23">
        <f>IF(G4=(pr_close+1),0,SUMIFS($D$16:F$16,$D$4:F$4,"&gt;"&amp;G21))</f>
        <v/>
      </c>
      <c r="H41" s="23">
        <f>IF(H4=(pr_close+1),0,SUMIFS($D$16:G$16,$D$4:G$4,"&gt;"&amp;H21))</f>
        <v/>
      </c>
      <c r="I41" s="23">
        <f>IF(I4=(pr_close+1),0,SUMIFS($D$16:H$16,$D$4:H$4,"&gt;"&amp;I21))</f>
        <v/>
      </c>
      <c r="J41" s="23">
        <f>IF(J4=(pr_close+1),0,SUMIFS($D$16:I$16,$D$4:I$4,"&gt;"&amp;J21))</f>
        <v/>
      </c>
      <c r="K41" s="23">
        <f>IF(K4=(pr_close+1),0,SUMIFS($D$16:J$16,$D$4:J$4,"&gt;"&amp;K21))</f>
        <v/>
      </c>
      <c r="L41" s="23">
        <f>IF(L4=(pr_close+1),0,SUMIFS($D$16:K$16,$D$4:K$4,"&gt;"&amp;L21))</f>
        <v/>
      </c>
      <c r="M41" s="23">
        <f>IF(M4=(pr_close+1),0,SUMIFS($D$16:L$16,$D$4:L$4,"&gt;"&amp;M21))</f>
        <v/>
      </c>
      <c r="N41" s="23">
        <f>IF(N4=(pr_close+1),0,SUMIFS($D$16:M$16,$D$4:M$4,"&gt;"&amp;N21))</f>
        <v/>
      </c>
    </row>
    <row r="42">
      <c r="B42" s="2" t="inlineStr">
        <is>
          <t>DSIC surcharge (capped)</t>
        </is>
      </c>
      <c r="C42" s="5" t="inlineStr">
        <is>
          <t>$ million</t>
        </is>
      </c>
      <c r="E42" s="23">
        <f>IF(AND(pr_dsic=1,E4&gt;(pr_close+1)),MIN(pr_dsic_cap*E39,E41*((pr_eq*pr_roe+(1-pr_eq)*D65)+(pr_eq*pr_roe*pr_tax/(1-pr_tax))+pr_dep)),0)</f>
        <v/>
      </c>
      <c r="F42" s="23">
        <f>IF(AND(pr_dsic=1,F4&gt;(pr_close+1)),MIN(pr_dsic_cap*F39,F41*((pr_eq*pr_roe+(1-pr_eq)*E65)+(pr_eq*pr_roe*pr_tax/(1-pr_tax))+pr_dep)),0)</f>
        <v/>
      </c>
      <c r="G42" s="23">
        <f>IF(AND(pr_dsic=1,G4&gt;(pr_close+1)),MIN(pr_dsic_cap*G39,G41*((pr_eq*pr_roe+(1-pr_eq)*F65)+(pr_eq*pr_roe*pr_tax/(1-pr_tax))+pr_dep)),0)</f>
        <v/>
      </c>
      <c r="H42" s="23">
        <f>IF(AND(pr_dsic=1,H4&gt;(pr_close+1)),MIN(pr_dsic_cap*H39,H41*((pr_eq*pr_roe+(1-pr_eq)*G65)+(pr_eq*pr_roe*pr_tax/(1-pr_tax))+pr_dep)),0)</f>
        <v/>
      </c>
      <c r="I42" s="23">
        <f>IF(AND(pr_dsic=1,I4&gt;(pr_close+1)),MIN(pr_dsic_cap*I39,I41*((pr_eq*pr_roe+(1-pr_eq)*H65)+(pr_eq*pr_roe*pr_tax/(1-pr_tax))+pr_dep)),0)</f>
        <v/>
      </c>
      <c r="J42" s="23">
        <f>IF(AND(pr_dsic=1,J4&gt;(pr_close+1)),MIN(pr_dsic_cap*J39,J41*((pr_eq*pr_roe+(1-pr_eq)*I65)+(pr_eq*pr_roe*pr_tax/(1-pr_tax))+pr_dep)),0)</f>
        <v/>
      </c>
      <c r="K42" s="23">
        <f>IF(AND(pr_dsic=1,K4&gt;(pr_close+1)),MIN(pr_dsic_cap*K39,K41*((pr_eq*pr_roe+(1-pr_eq)*J65)+(pr_eq*pr_roe*pr_tax/(1-pr_tax))+pr_dep)),0)</f>
        <v/>
      </c>
      <c r="L42" s="23">
        <f>IF(AND(pr_dsic=1,L4&gt;(pr_close+1)),MIN(pr_dsic_cap*L39,L41*((pr_eq*pr_roe+(1-pr_eq)*K65)+(pr_eq*pr_roe*pr_tax/(1-pr_tax))+pr_dep)),0)</f>
        <v/>
      </c>
      <c r="M42" s="23">
        <f>IF(AND(pr_dsic=1,M4&gt;(pr_close+1)),MIN(pr_dsic_cap*M39,M41*((pr_eq*pr_roe+(1-pr_eq)*L65)+(pr_eq*pr_roe*pr_tax/(1-pr_tax))+pr_dep)),0)</f>
        <v/>
      </c>
      <c r="N42" s="23">
        <f>IF(AND(pr_dsic=1,N4&gt;(pr_close+1)),MIN(pr_dsic_cap*N39,N41*((pr_eq*pr_roe+(1-pr_eq)*M65)+(pr_eq*pr_roe*pr_tax/(1-pr_tax))+pr_dep)),0)</f>
        <v/>
      </c>
    </row>
    <row r="43">
      <c r="B43" s="3" t="inlineStr">
        <is>
          <t>Revenue</t>
        </is>
      </c>
      <c r="C43" s="5" t="inlineStr">
        <is>
          <t>$ million</t>
        </is>
      </c>
      <c r="E43" s="23">
        <f>E39+E40+E42</f>
        <v/>
      </c>
      <c r="F43" s="23">
        <f>F39+F40+F42</f>
        <v/>
      </c>
      <c r="G43" s="23">
        <f>G39+G40+G42</f>
        <v/>
      </c>
      <c r="H43" s="23">
        <f>H39+H40+H42</f>
        <v/>
      </c>
      <c r="I43" s="23">
        <f>I39+I40+I42</f>
        <v/>
      </c>
      <c r="J43" s="23">
        <f>J39+J40+J42</f>
        <v/>
      </c>
      <c r="K43" s="23">
        <f>K39+K40+K42</f>
        <v/>
      </c>
      <c r="L43" s="23">
        <f>L39+L40+L42</f>
        <v/>
      </c>
      <c r="M43" s="23">
        <f>M39+M40+M42</f>
        <v/>
      </c>
      <c r="N43" s="23">
        <f>N39+N40+N42</f>
        <v/>
      </c>
    </row>
    <row r="45">
      <c r="B45" s="6" t="inlineStr">
        <is>
          <t>Costs and income ($ million)</t>
        </is>
      </c>
      <c r="C45" s="7" t="n"/>
      <c r="D45" s="7" t="n"/>
      <c r="E45" s="7" t="n"/>
      <c r="F45" s="7" t="n"/>
      <c r="G45" s="7" t="n"/>
      <c r="H45" s="7" t="n"/>
      <c r="I45" s="7" t="n"/>
      <c r="J45" s="7" t="n"/>
      <c r="K45" s="7" t="n"/>
      <c r="L45" s="7" t="n"/>
      <c r="M45" s="7" t="n"/>
      <c r="N45" s="7" t="n"/>
    </row>
    <row r="46">
      <c r="B46" s="2" t="inlineStr">
        <is>
          <t>Operation and maintenance (with PFAS and Fennick)</t>
        </is>
      </c>
      <c r="C46" s="5" t="inlineStr">
        <is>
          <t>$ million</t>
        </is>
      </c>
      <c r="D46" s="23">
        <f>pr_om_2028/((1+pr_om_infl)*(1+pr_growth))</f>
        <v/>
      </c>
      <c r="E46" s="23">
        <f>pr_om_2028*((1+pr_om_infl)*(1+pr_growth))^E5+IF(E4&gt;=pr_pfas_om_y+pr_pfas_delay,pr_pfas_om*(1+pr_pfas_om_esc)^(E4-pr_pfas_om_y),0)+IF(AND(pr_fen_on=1,E4&gt;pr_fen_year),pr_fen_om*(1+pr_fen_esc)^(E4-pr_fen_year-1),0)</f>
        <v/>
      </c>
      <c r="F46" s="23">
        <f>pr_om_2028*((1+pr_om_infl)*(1+pr_growth))^F5+IF(F4&gt;=pr_pfas_om_y+pr_pfas_delay,pr_pfas_om*(1+pr_pfas_om_esc)^(F4-pr_pfas_om_y),0)+IF(AND(pr_fen_on=1,F4&gt;pr_fen_year),pr_fen_om*(1+pr_fen_esc)^(F4-pr_fen_year-1),0)</f>
        <v/>
      </c>
      <c r="G46" s="23">
        <f>pr_om_2028*((1+pr_om_infl)*(1+pr_growth))^G5+IF(G4&gt;=pr_pfas_om_y+pr_pfas_delay,pr_pfas_om*(1+pr_pfas_om_esc)^(G4-pr_pfas_om_y),0)+IF(AND(pr_fen_on=1,G4&gt;pr_fen_year),pr_fen_om*(1+pr_fen_esc)^(G4-pr_fen_year-1),0)</f>
        <v/>
      </c>
      <c r="H46" s="23">
        <f>pr_om_2028*((1+pr_om_infl)*(1+pr_growth))^H5+IF(H4&gt;=pr_pfas_om_y+pr_pfas_delay,pr_pfas_om*(1+pr_pfas_om_esc)^(H4-pr_pfas_om_y),0)+IF(AND(pr_fen_on=1,H4&gt;pr_fen_year),pr_fen_om*(1+pr_fen_esc)^(H4-pr_fen_year-1),0)</f>
        <v/>
      </c>
      <c r="I46" s="23">
        <f>pr_om_2028*((1+pr_om_infl)*(1+pr_growth))^I5+IF(I4&gt;=pr_pfas_om_y+pr_pfas_delay,pr_pfas_om*(1+pr_pfas_om_esc)^(I4-pr_pfas_om_y),0)+IF(AND(pr_fen_on=1,I4&gt;pr_fen_year),pr_fen_om*(1+pr_fen_esc)^(I4-pr_fen_year-1),0)</f>
        <v/>
      </c>
      <c r="J46" s="23">
        <f>pr_om_2028*((1+pr_om_infl)*(1+pr_growth))^J5+IF(J4&gt;=pr_pfas_om_y+pr_pfas_delay,pr_pfas_om*(1+pr_pfas_om_esc)^(J4-pr_pfas_om_y),0)+IF(AND(pr_fen_on=1,J4&gt;pr_fen_year),pr_fen_om*(1+pr_fen_esc)^(J4-pr_fen_year-1),0)</f>
        <v/>
      </c>
      <c r="K46" s="23">
        <f>pr_om_2028*((1+pr_om_infl)*(1+pr_growth))^K5+IF(K4&gt;=pr_pfas_om_y+pr_pfas_delay,pr_pfas_om*(1+pr_pfas_om_esc)^(K4-pr_pfas_om_y),0)+IF(AND(pr_fen_on=1,K4&gt;pr_fen_year),pr_fen_om*(1+pr_fen_esc)^(K4-pr_fen_year-1),0)</f>
        <v/>
      </c>
      <c r="L46" s="23">
        <f>pr_om_2028*((1+pr_om_infl)*(1+pr_growth))^L5+IF(L4&gt;=pr_pfas_om_y+pr_pfas_delay,pr_pfas_om*(1+pr_pfas_om_esc)^(L4-pr_pfas_om_y),0)+IF(AND(pr_fen_on=1,L4&gt;pr_fen_year),pr_fen_om*(1+pr_fen_esc)^(L4-pr_fen_year-1),0)</f>
        <v/>
      </c>
      <c r="M46" s="23">
        <f>pr_om_2028*((1+pr_om_infl)*(1+pr_growth))^M5+IF(M4&gt;=pr_pfas_om_y+pr_pfas_delay,pr_pfas_om*(1+pr_pfas_om_esc)^(M4-pr_pfas_om_y),0)+IF(AND(pr_fen_on=1,M4&gt;pr_fen_year),pr_fen_om*(1+pr_fen_esc)^(M4-pr_fen_year-1),0)</f>
        <v/>
      </c>
      <c r="N46" s="23">
        <f>pr_om_2028*((1+pr_om_infl)*(1+pr_growth))^N5+IF(N4&gt;=pr_pfas_om_y+pr_pfas_delay,pr_pfas_om*(1+pr_pfas_om_esc)^(N4-pr_pfas_om_y),0)+IF(AND(pr_fen_on=1,N4&gt;pr_fen_year),pr_fen_om*(1+pr_fen_esc)^(N4-pr_fen_year-1),0)</f>
        <v/>
      </c>
    </row>
    <row r="47">
      <c r="B47" s="2" t="inlineStr">
        <is>
          <t>Customer-side lead cost expensed</t>
        </is>
      </c>
      <c r="C47" s="5" t="inlineStr">
        <is>
          <t>$ million</t>
        </is>
      </c>
      <c r="E47" s="23">
        <f>pr_lead_exp*E13*pr_lead_cust</f>
        <v/>
      </c>
      <c r="F47" s="23">
        <f>pr_lead_exp*F13*pr_lead_cust</f>
        <v/>
      </c>
      <c r="G47" s="23">
        <f>pr_lead_exp*G13*pr_lead_cust</f>
        <v/>
      </c>
      <c r="H47" s="23">
        <f>pr_lead_exp*H13*pr_lead_cust</f>
        <v/>
      </c>
      <c r="I47" s="23">
        <f>pr_lead_exp*I13*pr_lead_cust</f>
        <v/>
      </c>
      <c r="J47" s="23">
        <f>pr_lead_exp*J13*pr_lead_cust</f>
        <v/>
      </c>
      <c r="K47" s="23">
        <f>pr_lead_exp*K13*pr_lead_cust</f>
        <v/>
      </c>
      <c r="L47" s="23">
        <f>pr_lead_exp*L13*pr_lead_cust</f>
        <v/>
      </c>
      <c r="M47" s="23">
        <f>pr_lead_exp*M13*pr_lead_cust</f>
        <v/>
      </c>
      <c r="N47" s="23">
        <f>pr_lead_exp*N13*pr_lead_cust</f>
        <v/>
      </c>
    </row>
    <row r="48">
      <c r="B48" s="2" t="inlineStr">
        <is>
          <t>Other taxes</t>
        </is>
      </c>
      <c r="C48" s="5" t="inlineStr">
        <is>
          <t>$ million</t>
        </is>
      </c>
      <c r="E48" s="23">
        <f>pr_ptax*E57</f>
        <v/>
      </c>
      <c r="F48" s="23">
        <f>pr_ptax*F57</f>
        <v/>
      </c>
      <c r="G48" s="23">
        <f>pr_ptax*G57</f>
        <v/>
      </c>
      <c r="H48" s="23">
        <f>pr_ptax*H57</f>
        <v/>
      </c>
      <c r="I48" s="23">
        <f>pr_ptax*I57</f>
        <v/>
      </c>
      <c r="J48" s="23">
        <f>pr_ptax*J57</f>
        <v/>
      </c>
      <c r="K48" s="23">
        <f>pr_ptax*K57</f>
        <v/>
      </c>
      <c r="L48" s="23">
        <f>pr_ptax*L57</f>
        <v/>
      </c>
      <c r="M48" s="23">
        <f>pr_ptax*M57</f>
        <v/>
      </c>
      <c r="N48" s="23">
        <f>pr_ptax*N57</f>
        <v/>
      </c>
    </row>
    <row r="49">
      <c r="B49" s="2" t="inlineStr">
        <is>
          <t>EBITDA</t>
        </is>
      </c>
      <c r="C49" s="5" t="inlineStr">
        <is>
          <t>$ million</t>
        </is>
      </c>
      <c r="E49" s="23">
        <f>E43-E46-E48-E47</f>
        <v/>
      </c>
      <c r="F49" s="23">
        <f>F43-F46-F48-F47</f>
        <v/>
      </c>
      <c r="G49" s="23">
        <f>G43-G46-G48-G47</f>
        <v/>
      </c>
      <c r="H49" s="23">
        <f>H43-H46-H48-H47</f>
        <v/>
      </c>
      <c r="I49" s="23">
        <f>I43-I46-I48-I47</f>
        <v/>
      </c>
      <c r="J49" s="23">
        <f>J43-J46-J48-J47</f>
        <v/>
      </c>
      <c r="K49" s="23">
        <f>K43-K46-K48-K47</f>
        <v/>
      </c>
      <c r="L49" s="23">
        <f>L43-L46-L48-L47</f>
        <v/>
      </c>
      <c r="M49" s="23">
        <f>M43-M46-M48-M47</f>
        <v/>
      </c>
      <c r="N49" s="23">
        <f>N43-N46-N48-N47</f>
        <v/>
      </c>
    </row>
    <row r="50">
      <c r="B50" s="2" t="inlineStr">
        <is>
          <t>Depreciation</t>
        </is>
      </c>
      <c r="C50" s="5" t="inlineStr">
        <is>
          <t>$ million</t>
        </is>
      </c>
      <c r="E50" s="23">
        <f>pr_dep*E57</f>
        <v/>
      </c>
      <c r="F50" s="23">
        <f>pr_dep*F57</f>
        <v/>
      </c>
      <c r="G50" s="23">
        <f>pr_dep*G57</f>
        <v/>
      </c>
      <c r="H50" s="23">
        <f>pr_dep*H57</f>
        <v/>
      </c>
      <c r="I50" s="23">
        <f>pr_dep*I57</f>
        <v/>
      </c>
      <c r="J50" s="23">
        <f>pr_dep*J57</f>
        <v/>
      </c>
      <c r="K50" s="23">
        <f>pr_dep*K57</f>
        <v/>
      </c>
      <c r="L50" s="23">
        <f>pr_dep*L57</f>
        <v/>
      </c>
      <c r="M50" s="23">
        <f>pr_dep*M57</f>
        <v/>
      </c>
      <c r="N50" s="23">
        <f>pr_dep*N57</f>
        <v/>
      </c>
    </row>
    <row r="51">
      <c r="B51" s="2" t="inlineStr">
        <is>
          <t>Interest (average of opening and closing debt)</t>
        </is>
      </c>
      <c r="C51" s="5" t="inlineStr">
        <is>
          <t>$ million</t>
        </is>
      </c>
      <c r="E51" s="23">
        <f>0.5*(D63*D65+E63*E65)</f>
        <v/>
      </c>
      <c r="F51" s="23">
        <f>0.5*(E63*E65+F63*F65)</f>
        <v/>
      </c>
      <c r="G51" s="23">
        <f>0.5*(F63*F65+G63*G65)</f>
        <v/>
      </c>
      <c r="H51" s="23">
        <f>0.5*(G63*G65+H63*H65)</f>
        <v/>
      </c>
      <c r="I51" s="23">
        <f>0.5*(H63*H65+I63*I65)</f>
        <v/>
      </c>
      <c r="J51" s="23">
        <f>0.5*(I63*I65+J63*J65)</f>
        <v/>
      </c>
      <c r="K51" s="23">
        <f>0.5*(J63*J65+K63*K65)</f>
        <v/>
      </c>
      <c r="L51" s="23">
        <f>0.5*(K63*K65+L63*L65)</f>
        <v/>
      </c>
      <c r="M51" s="23">
        <f>0.5*(L63*L65+M63*M65)</f>
        <v/>
      </c>
      <c r="N51" s="23">
        <f>0.5*(M63*M65+N63*N65)</f>
        <v/>
      </c>
    </row>
    <row r="52">
      <c r="B52" s="2" t="inlineStr">
        <is>
          <t>Income before tax</t>
        </is>
      </c>
      <c r="C52" s="5" t="inlineStr">
        <is>
          <t>$ million</t>
        </is>
      </c>
      <c r="E52" s="23">
        <f>E49-E50-E51</f>
        <v/>
      </c>
      <c r="F52" s="23">
        <f>F49-F50-F51</f>
        <v/>
      </c>
      <c r="G52" s="23">
        <f>G49-G50-G51</f>
        <v/>
      </c>
      <c r="H52" s="23">
        <f>H49-H50-H51</f>
        <v/>
      </c>
      <c r="I52" s="23">
        <f>I49-I50-I51</f>
        <v/>
      </c>
      <c r="J52" s="23">
        <f>J49-J50-J51</f>
        <v/>
      </c>
      <c r="K52" s="23">
        <f>K49-K50-K51</f>
        <v/>
      </c>
      <c r="L52" s="23">
        <f>L49-L50-L51</f>
        <v/>
      </c>
      <c r="M52" s="23">
        <f>M49-M50-M51</f>
        <v/>
      </c>
      <c r="N52" s="23">
        <f>N49-N50-N51</f>
        <v/>
      </c>
    </row>
    <row r="53">
      <c r="B53" s="2" t="inlineStr">
        <is>
          <t>Income tax</t>
        </is>
      </c>
      <c r="C53" s="5" t="inlineStr">
        <is>
          <t>$ million</t>
        </is>
      </c>
      <c r="E53" s="23">
        <f>pr_tax*E52</f>
        <v/>
      </c>
      <c r="F53" s="23">
        <f>pr_tax*F52</f>
        <v/>
      </c>
      <c r="G53" s="23">
        <f>pr_tax*G52</f>
        <v/>
      </c>
      <c r="H53" s="23">
        <f>pr_tax*H52</f>
        <v/>
      </c>
      <c r="I53" s="23">
        <f>pr_tax*I52</f>
        <v/>
      </c>
      <c r="J53" s="23">
        <f>pr_tax*J52</f>
        <v/>
      </c>
      <c r="K53" s="23">
        <f>pr_tax*K52</f>
        <v/>
      </c>
      <c r="L53" s="23">
        <f>pr_tax*L52</f>
        <v/>
      </c>
      <c r="M53" s="23">
        <f>pr_tax*M52</f>
        <v/>
      </c>
      <c r="N53" s="23">
        <f>pr_tax*N52</f>
        <v/>
      </c>
    </row>
    <row r="54">
      <c r="B54" s="3" t="inlineStr">
        <is>
          <t>Net income</t>
        </is>
      </c>
      <c r="C54" s="5" t="inlineStr">
        <is>
          <t>$ million</t>
        </is>
      </c>
      <c r="E54" s="23">
        <f>E52-E53</f>
        <v/>
      </c>
      <c r="F54" s="23">
        <f>F52-F53</f>
        <v/>
      </c>
      <c r="G54" s="23">
        <f>G52-G53</f>
        <v/>
      </c>
      <c r="H54" s="23">
        <f>H52-H53</f>
        <v/>
      </c>
      <c r="I54" s="23">
        <f>I52-I53</f>
        <v/>
      </c>
      <c r="J54" s="23">
        <f>J52-J53</f>
        <v/>
      </c>
      <c r="K54" s="23">
        <f>K52-K53</f>
        <v/>
      </c>
      <c r="L54" s="23">
        <f>L52-L53</f>
        <v/>
      </c>
      <c r="M54" s="23">
        <f>M52-M53</f>
        <v/>
      </c>
      <c r="N54" s="23">
        <f>N52-N53</f>
        <v/>
      </c>
    </row>
    <row r="56">
      <c r="B56" s="6" t="inlineStr">
        <is>
          <t>Rate base and debt ($ million)</t>
        </is>
      </c>
      <c r="C56" s="7" t="n"/>
      <c r="D56" s="7" t="n"/>
      <c r="E56" s="7" t="n"/>
      <c r="F56" s="7" t="n"/>
      <c r="G56" s="7" t="n"/>
      <c r="H56" s="7" t="n"/>
      <c r="I56" s="7" t="n"/>
      <c r="J56" s="7" t="n"/>
      <c r="K56" s="7" t="n"/>
      <c r="L56" s="7" t="n"/>
      <c r="M56" s="7" t="n"/>
      <c r="N56" s="7" t="n"/>
    </row>
    <row r="57">
      <c r="B57" s="2" t="inlineStr">
        <is>
          <t>Opening rate base</t>
        </is>
      </c>
      <c r="C57" s="5" t="inlineStr">
        <is>
          <t>$ million</t>
        </is>
      </c>
      <c r="E57" s="23">
        <f>D61</f>
        <v/>
      </c>
      <c r="F57" s="23">
        <f>E61</f>
        <v/>
      </c>
      <c r="G57" s="23">
        <f>F61</f>
        <v/>
      </c>
      <c r="H57" s="23">
        <f>G61</f>
        <v/>
      </c>
      <c r="I57" s="23">
        <f>H61</f>
        <v/>
      </c>
      <c r="J57" s="23">
        <f>I61</f>
        <v/>
      </c>
      <c r="K57" s="23">
        <f>J61</f>
        <v/>
      </c>
      <c r="L57" s="23">
        <f>K61</f>
        <v/>
      </c>
      <c r="M57" s="23">
        <f>L61</f>
        <v/>
      </c>
      <c r="N57" s="23">
        <f>M61</f>
        <v/>
      </c>
    </row>
    <row r="58">
      <c r="B58" s="2" t="inlineStr">
        <is>
          <t>Spending disallowed (never in rate base)</t>
        </is>
      </c>
      <c r="C58" s="5" t="inlineStr">
        <is>
          <t>$ million</t>
        </is>
      </c>
      <c r="E58" s="23">
        <f>pr_disallow*(E12+E13-E47)</f>
        <v/>
      </c>
      <c r="F58" s="23">
        <f>pr_disallow*(F12+F13-F47)</f>
        <v/>
      </c>
      <c r="G58" s="23">
        <f>pr_disallow*(G12+G13-G47)</f>
        <v/>
      </c>
      <c r="H58" s="23">
        <f>pr_disallow*(H12+H13-H47)</f>
        <v/>
      </c>
      <c r="I58" s="23">
        <f>pr_disallow*(I12+I13-I47)</f>
        <v/>
      </c>
      <c r="J58" s="23">
        <f>pr_disallow*(J12+J13-J47)</f>
        <v/>
      </c>
      <c r="K58" s="23">
        <f>pr_disallow*(K12+K13-K47)</f>
        <v/>
      </c>
      <c r="L58" s="23">
        <f>pr_disallow*(L12+L13-L47)</f>
        <v/>
      </c>
      <c r="M58" s="23">
        <f>pr_disallow*(M12+M13-M47)</f>
        <v/>
      </c>
      <c r="N58" s="23">
        <f>pr_disallow*(N12+N13-N47)</f>
        <v/>
      </c>
    </row>
    <row r="59">
      <c r="B59" s="2" t="inlineStr">
        <is>
          <t>Acquisitions (Fennick at its price)</t>
        </is>
      </c>
      <c r="C59" s="5" t="inlineStr">
        <is>
          <t>$ million</t>
        </is>
      </c>
      <c r="E59" s="23">
        <f>IF(AND(pr_fen_on=1,E4=pr_fen_year),pr_fen_price,0)</f>
        <v/>
      </c>
      <c r="F59" s="23">
        <f>IF(AND(pr_fen_on=1,F4=pr_fen_year),pr_fen_price,0)</f>
        <v/>
      </c>
      <c r="G59" s="23">
        <f>IF(AND(pr_fen_on=1,G4=pr_fen_year),pr_fen_price,0)</f>
        <v/>
      </c>
      <c r="H59" s="23">
        <f>IF(AND(pr_fen_on=1,H4=pr_fen_year),pr_fen_price,0)</f>
        <v/>
      </c>
      <c r="I59" s="23">
        <f>IF(AND(pr_fen_on=1,I4=pr_fen_year),pr_fen_price,0)</f>
        <v/>
      </c>
      <c r="J59" s="23">
        <f>IF(AND(pr_fen_on=1,J4=pr_fen_year),pr_fen_price,0)</f>
        <v/>
      </c>
      <c r="K59" s="23">
        <f>IF(AND(pr_fen_on=1,K4=pr_fen_year),pr_fen_price,0)</f>
        <v/>
      </c>
      <c r="L59" s="23">
        <f>IF(AND(pr_fen_on=1,L4=pr_fen_year),pr_fen_price,0)</f>
        <v/>
      </c>
      <c r="M59" s="23">
        <f>IF(AND(pr_fen_on=1,M4=pr_fen_year),pr_fen_price,0)</f>
        <v/>
      </c>
      <c r="N59" s="23">
        <f>IF(AND(pr_fen_on=1,N4=pr_fen_year),pr_fen_price,0)</f>
        <v/>
      </c>
    </row>
    <row r="60">
      <c r="B60" s="2" t="inlineStr">
        <is>
          <t>Settlement credited against rate base</t>
        </is>
      </c>
      <c r="C60" s="5" t="inlineStr">
        <is>
          <t>$ million</t>
        </is>
      </c>
      <c r="E60" s="23">
        <f>IF(E4=pr_settle_y,pr_settle,0)</f>
        <v/>
      </c>
      <c r="F60" s="23">
        <f>IF(F4=pr_settle_y,pr_settle,0)</f>
        <v/>
      </c>
      <c r="G60" s="23">
        <f>IF(G4=pr_settle_y,pr_settle,0)</f>
        <v/>
      </c>
      <c r="H60" s="23">
        <f>IF(H4=pr_settle_y,pr_settle,0)</f>
        <v/>
      </c>
      <c r="I60" s="23">
        <f>IF(I4=pr_settle_y,pr_settle,0)</f>
        <v/>
      </c>
      <c r="J60" s="23">
        <f>IF(J4=pr_settle_y,pr_settle,0)</f>
        <v/>
      </c>
      <c r="K60" s="23">
        <f>IF(K4=pr_settle_y,pr_settle,0)</f>
        <v/>
      </c>
      <c r="L60" s="23">
        <f>IF(L4=pr_settle_y,pr_settle,0)</f>
        <v/>
      </c>
      <c r="M60" s="23">
        <f>IF(M4=pr_settle_y,pr_settle,0)</f>
        <v/>
      </c>
      <c r="N60" s="23">
        <f>IF(N4=pr_settle_y,pr_settle,0)</f>
        <v/>
      </c>
    </row>
    <row r="61">
      <c r="B61" s="3" t="inlineStr">
        <is>
          <t>Closing rate base</t>
        </is>
      </c>
      <c r="C61" s="5" t="inlineStr">
        <is>
          <t>$ million</t>
        </is>
      </c>
      <c r="D61" s="23">
        <f>pr_rb0</f>
        <v/>
      </c>
      <c r="E61" s="23">
        <f>E57+E15-E47-E58+E59-E50-E60</f>
        <v/>
      </c>
      <c r="F61" s="23">
        <f>F57+F15-F47-F58+F59-F50-F60</f>
        <v/>
      </c>
      <c r="G61" s="23">
        <f>G57+G15-G47-G58+G59-G50-G60</f>
        <v/>
      </c>
      <c r="H61" s="23">
        <f>H57+H15-H47-H58+H59-H50-H60</f>
        <v/>
      </c>
      <c r="I61" s="23">
        <f>I57+I15-I47-I58+I59-I50-I60</f>
        <v/>
      </c>
      <c r="J61" s="23">
        <f>J57+J15-J47-J58+J59-J50-J60</f>
        <v/>
      </c>
      <c r="K61" s="23">
        <f>K57+K15-K47-K58+K59-K50-K60</f>
        <v/>
      </c>
      <c r="L61" s="23">
        <f>L57+L15-L47-L58+L59-L50-L60</f>
        <v/>
      </c>
      <c r="M61" s="23">
        <f>M57+M15-M47-M58+M59-M50-M60</f>
        <v/>
      </c>
      <c r="N61" s="23">
        <f>N57+N15-N47-N58+N59-N50-N60</f>
        <v/>
      </c>
    </row>
    <row r="62">
      <c r="B62" s="2" t="inlineStr">
        <is>
          <t>Original bonds outstanding</t>
        </is>
      </c>
      <c r="C62" s="5" t="inlineStr">
        <is>
          <t>$ million</t>
        </is>
      </c>
      <c r="D62" s="23">
        <f>(1-pr_eq)*pr_rb0</f>
        <v/>
      </c>
      <c r="E62" s="23">
        <f>MAX(0,D62-pr_amort*(1-pr_eq)*pr_rb0)</f>
        <v/>
      </c>
      <c r="F62" s="23">
        <f>MAX(0,E62-pr_amort*(1-pr_eq)*pr_rb0)</f>
        <v/>
      </c>
      <c r="G62" s="23">
        <f>MAX(0,F62-pr_amort*(1-pr_eq)*pr_rb0)</f>
        <v/>
      </c>
      <c r="H62" s="23">
        <f>MAX(0,G62-pr_amort*(1-pr_eq)*pr_rb0)</f>
        <v/>
      </c>
      <c r="I62" s="23">
        <f>MAX(0,H62-pr_amort*(1-pr_eq)*pr_rb0)</f>
        <v/>
      </c>
      <c r="J62" s="23">
        <f>MAX(0,I62-pr_amort*(1-pr_eq)*pr_rb0)</f>
        <v/>
      </c>
      <c r="K62" s="23">
        <f>MAX(0,J62-pr_amort*(1-pr_eq)*pr_rb0)</f>
        <v/>
      </c>
      <c r="L62" s="23">
        <f>MAX(0,K62-pr_amort*(1-pr_eq)*pr_rb0)</f>
        <v/>
      </c>
      <c r="M62" s="23">
        <f>MAX(0,L62-pr_amort*(1-pr_eq)*pr_rb0)</f>
        <v/>
      </c>
      <c r="N62" s="23">
        <f>MAX(0,M62-pr_amort*(1-pr_eq)*pr_rb0)</f>
        <v/>
      </c>
    </row>
    <row r="63">
      <c r="B63" s="2" t="inlineStr">
        <is>
          <t>Operating company debt (debt share of rate base)</t>
        </is>
      </c>
      <c r="C63" s="5" t="inlineStr">
        <is>
          <t>$ million</t>
        </is>
      </c>
      <c r="D63" s="23">
        <f>(1-pr_eq)*D61</f>
        <v/>
      </c>
      <c r="E63" s="23">
        <f>(1-pr_eq)*E61</f>
        <v/>
      </c>
      <c r="F63" s="23">
        <f>(1-pr_eq)*F61</f>
        <v/>
      </c>
      <c r="G63" s="23">
        <f>(1-pr_eq)*G61</f>
        <v/>
      </c>
      <c r="H63" s="23">
        <f>(1-pr_eq)*H61</f>
        <v/>
      </c>
      <c r="I63" s="23">
        <f>(1-pr_eq)*I61</f>
        <v/>
      </c>
      <c r="J63" s="23">
        <f>(1-pr_eq)*J61</f>
        <v/>
      </c>
      <c r="K63" s="23">
        <f>(1-pr_eq)*K61</f>
        <v/>
      </c>
      <c r="L63" s="23">
        <f>(1-pr_eq)*L61</f>
        <v/>
      </c>
      <c r="M63" s="23">
        <f>(1-pr_eq)*M61</f>
        <v/>
      </c>
      <c r="N63" s="23">
        <f>(1-pr_eq)*N61</f>
        <v/>
      </c>
    </row>
    <row r="64">
      <c r="B64" s="2" t="inlineStr">
        <is>
          <t>New bonds outstanding</t>
        </is>
      </c>
      <c r="C64" s="5" t="inlineStr">
        <is>
          <t>$ million</t>
        </is>
      </c>
      <c r="D64" s="23">
        <f>D63-D62</f>
        <v/>
      </c>
      <c r="E64" s="23">
        <f>E63-E62</f>
        <v/>
      </c>
      <c r="F64" s="23">
        <f>F63-F62</f>
        <v/>
      </c>
      <c r="G64" s="23">
        <f>G63-G62</f>
        <v/>
      </c>
      <c r="H64" s="23">
        <f>H63-H62</f>
        <v/>
      </c>
      <c r="I64" s="23">
        <f>I63-I62</f>
        <v/>
      </c>
      <c r="J64" s="23">
        <f>J63-J62</f>
        <v/>
      </c>
      <c r="K64" s="23">
        <f>K63-K62</f>
        <v/>
      </c>
      <c r="L64" s="23">
        <f>L63-L62</f>
        <v/>
      </c>
      <c r="M64" s="23">
        <f>M63-M62</f>
        <v/>
      </c>
      <c r="N64" s="23">
        <f>N63-N62</f>
        <v/>
      </c>
    </row>
    <row r="65">
      <c r="B65" s="2" t="inlineStr">
        <is>
          <t>Embedded cost of debt at year end</t>
        </is>
      </c>
      <c r="C65" s="5" t="inlineStr">
        <is>
          <t>rate</t>
        </is>
      </c>
      <c r="D65" s="27">
        <f>pr_kd_old</f>
        <v/>
      </c>
      <c r="E65" s="27">
        <f>(E62*pr_kd_old+E64*pr_kd_new)/E63</f>
        <v/>
      </c>
      <c r="F65" s="27">
        <f>(F62*pr_kd_old+F64*pr_kd_new)/F63</f>
        <v/>
      </c>
      <c r="G65" s="27">
        <f>(G62*pr_kd_old+G64*pr_kd_new)/G63</f>
        <v/>
      </c>
      <c r="H65" s="27">
        <f>(H62*pr_kd_old+H64*pr_kd_new)/H63</f>
        <v/>
      </c>
      <c r="I65" s="27">
        <f>(I62*pr_kd_old+I64*pr_kd_new)/I63</f>
        <v/>
      </c>
      <c r="J65" s="27">
        <f>(J62*pr_kd_old+J64*pr_kd_new)/J63</f>
        <v/>
      </c>
      <c r="K65" s="27">
        <f>(K62*pr_kd_old+K64*pr_kd_new)/K63</f>
        <v/>
      </c>
      <c r="L65" s="27">
        <f>(L62*pr_kd_old+L64*pr_kd_new)/L63</f>
        <v/>
      </c>
      <c r="M65" s="27">
        <f>(M62*pr_kd_old+M64*pr_kd_new)/M63</f>
        <v/>
      </c>
      <c r="N65" s="27">
        <f>(N62*pr_kd_old+N64*pr_kd_new)/N63</f>
        <v/>
      </c>
    </row>
    <row r="67">
      <c r="B67" s="6" t="inlineStr">
        <is>
          <t>Returns and cash ($ million)</t>
        </is>
      </c>
      <c r="C67" s="7" t="n"/>
      <c r="D67" s="7" t="n"/>
      <c r="E67" s="7" t="n"/>
      <c r="F67" s="7" t="n"/>
      <c r="G67" s="7" t="n"/>
      <c r="H67" s="7" t="n"/>
      <c r="I67" s="7" t="n"/>
      <c r="J67" s="7" t="n"/>
      <c r="K67" s="7" t="n"/>
      <c r="L67" s="7" t="n"/>
      <c r="M67" s="7" t="n"/>
      <c r="N67" s="7" t="n"/>
    </row>
    <row r="68">
      <c r="B68" s="2" t="inlineStr">
        <is>
          <t>Average equity share of rate base</t>
        </is>
      </c>
      <c r="C68" s="5" t="inlineStr">
        <is>
          <t>$ million</t>
        </is>
      </c>
      <c r="E68" s="23">
        <f>pr_eq*0.5*(E57+E61)</f>
        <v/>
      </c>
      <c r="F68" s="23">
        <f>pr_eq*0.5*(F57+F61)</f>
        <v/>
      </c>
      <c r="G68" s="23">
        <f>pr_eq*0.5*(G57+G61)</f>
        <v/>
      </c>
      <c r="H68" s="23">
        <f>pr_eq*0.5*(H57+H61)</f>
        <v/>
      </c>
      <c r="I68" s="23">
        <f>pr_eq*0.5*(I57+I61)</f>
        <v/>
      </c>
      <c r="J68" s="23">
        <f>pr_eq*0.5*(J57+J61)</f>
        <v/>
      </c>
      <c r="K68" s="23">
        <f>pr_eq*0.5*(K57+K61)</f>
        <v/>
      </c>
      <c r="L68" s="23">
        <f>pr_eq*0.5*(L57+L61)</f>
        <v/>
      </c>
      <c r="M68" s="23">
        <f>pr_eq*0.5*(M57+M61)</f>
        <v/>
      </c>
      <c r="N68" s="23">
        <f>pr_eq*0.5*(N57+N61)</f>
        <v/>
      </c>
    </row>
    <row r="69">
      <c r="B69" s="2" t="inlineStr">
        <is>
          <t>Earned return on equity</t>
        </is>
      </c>
      <c r="C69" s="5" t="inlineStr">
        <is>
          <t>rate</t>
        </is>
      </c>
      <c r="E69" s="27">
        <f>E54/E68</f>
        <v/>
      </c>
      <c r="F69" s="27">
        <f>F54/F68</f>
        <v/>
      </c>
      <c r="G69" s="27">
        <f>G54/G68</f>
        <v/>
      </c>
      <c r="H69" s="27">
        <f>H54/H68</f>
        <v/>
      </c>
      <c r="I69" s="27">
        <f>I54/I68</f>
        <v/>
      </c>
      <c r="J69" s="27">
        <f>J54/J68</f>
        <v/>
      </c>
      <c r="K69" s="27">
        <f>K54/K68</f>
        <v/>
      </c>
      <c r="L69" s="27">
        <f>L54/L68</f>
        <v/>
      </c>
      <c r="M69" s="27">
        <f>M54/M68</f>
        <v/>
      </c>
      <c r="N69" s="27">
        <f>N54/N68</f>
        <v/>
      </c>
    </row>
    <row r="70">
      <c r="B70" s="2" t="inlineStr">
        <is>
          <t>Authorized return on equity</t>
        </is>
      </c>
      <c r="C70" s="5" t="inlineStr">
        <is>
          <t>rate</t>
        </is>
      </c>
      <c r="E70" s="27">
        <f>pr_roe</f>
        <v/>
      </c>
      <c r="F70" s="27">
        <f>pr_roe</f>
        <v/>
      </c>
      <c r="G70" s="27">
        <f>pr_roe</f>
        <v/>
      </c>
      <c r="H70" s="27">
        <f>pr_roe</f>
        <v/>
      </c>
      <c r="I70" s="27">
        <f>pr_roe</f>
        <v/>
      </c>
      <c r="J70" s="27">
        <f>pr_roe</f>
        <v/>
      </c>
      <c r="K70" s="27">
        <f>pr_roe</f>
        <v/>
      </c>
      <c r="L70" s="27">
        <f>pr_roe</f>
        <v/>
      </c>
      <c r="M70" s="27">
        <f>pr_roe</f>
        <v/>
      </c>
      <c r="N70" s="27">
        <f>pr_roe</f>
        <v/>
      </c>
    </row>
    <row r="71">
      <c r="B71" s="3" t="inlineStr">
        <is>
          <t>Cash to the shareholder (FCFE)</t>
        </is>
      </c>
      <c r="C71" s="5" t="inlineStr">
        <is>
          <t>$ million</t>
        </is>
      </c>
      <c r="E71" s="23">
        <f>E54+E50-E15-E59+E60+E63-D63</f>
        <v/>
      </c>
      <c r="F71" s="23">
        <f>F54+F50-F15-F59+F60+F63-E63</f>
        <v/>
      </c>
      <c r="G71" s="23">
        <f>G54+G50-G15-G59+G60+G63-F63</f>
        <v/>
      </c>
      <c r="H71" s="23">
        <f>H54+H50-H15-H59+H60+H63-G63</f>
        <v/>
      </c>
      <c r="I71" s="23">
        <f>I54+I50-I15-I59+I60+I63-H63</f>
        <v/>
      </c>
      <c r="J71" s="23">
        <f>J54+J50-J15-J59+J60+J63-I63</f>
        <v/>
      </c>
      <c r="K71" s="23">
        <f>K54+K50-K15-K59+K60+K63-J63</f>
        <v/>
      </c>
      <c r="L71" s="23">
        <f>L54+L50-L15-L59+L60+L63-K63</f>
        <v/>
      </c>
      <c r="M71" s="23">
        <f>M54+M50-M15-M59+M60+M63-L63</f>
        <v/>
      </c>
      <c r="N71" s="23">
        <f>N54+N50-N15-N59+N60+N63-M63</f>
        <v/>
      </c>
    </row>
    <row r="72">
      <c r="B72" s="2" t="inlineStr">
        <is>
          <t>Funds from operations (net income + depreciation)</t>
        </is>
      </c>
      <c r="C72" s="5" t="inlineStr">
        <is>
          <t>$ million</t>
        </is>
      </c>
      <c r="E72" s="23">
        <f>E54+E50</f>
        <v/>
      </c>
      <c r="F72" s="23">
        <f>F54+F50</f>
        <v/>
      </c>
      <c r="G72" s="23">
        <f>G54+G50</f>
        <v/>
      </c>
      <c r="H72" s="23">
        <f>H54+H50</f>
        <v/>
      </c>
      <c r="I72" s="23">
        <f>I54+I50</f>
        <v/>
      </c>
      <c r="J72" s="23">
        <f>J54+J50</f>
        <v/>
      </c>
      <c r="K72" s="23">
        <f>K54+K50</f>
        <v/>
      </c>
      <c r="L72" s="23">
        <f>L54+L50</f>
        <v/>
      </c>
      <c r="M72" s="23">
        <f>M54+M50</f>
        <v/>
      </c>
      <c r="N72" s="23">
        <f>N54+N50</f>
        <v/>
      </c>
    </row>
  </sheetData>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B2:Q64"/>
  <sheetViews>
    <sheetView showGridLines="0" workbookViewId="0">
      <selection activeCell="A1" sqref="A1"/>
    </sheetView>
  </sheetViews>
  <sheetFormatPr baseColWidth="8" defaultRowHeight="15"/>
  <cols>
    <col width="2" customWidth="1" min="1" max="1"/>
    <col width="58"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 width="13" customWidth="1" min="16" max="16"/>
    <col width="13" customWidth="1" min="17" max="17"/>
  </cols>
  <sheetData>
    <row r="2">
      <c r="B2" s="1" t="inlineStr">
        <is>
          <t>The Pell River deal: price, Brannock's flows, returns ($ million)</t>
        </is>
      </c>
    </row>
    <row r="3">
      <c r="B3" s="5" t="inlineStr">
        <is>
          <t>Basis: after tax. t = 0 is 31 December 2027; flows at each year end; exit on 31 December 2037.</t>
        </is>
      </c>
    </row>
    <row r="5">
      <c r="B5" s="6" t="inlineStr">
        <is>
          <t>Price build</t>
        </is>
      </c>
    </row>
    <row r="6">
      <c r="B6" s="3" t="inlineStr">
        <is>
          <t>Enterprise value (rate base x multiple)</t>
        </is>
      </c>
      <c r="D6" s="24">
        <f>pr_ev_mult*pr_rb0</f>
        <v/>
      </c>
    </row>
    <row r="7">
      <c r="B7" s="2" t="inlineStr">
        <is>
          <t>Connections at closing</t>
        </is>
      </c>
      <c r="D7" s="19">
        <f>pr_water_conn+pr_ww_conn</f>
        <v/>
      </c>
    </row>
    <row r="8">
      <c r="B8" s="2" t="inlineStr">
        <is>
          <t>Enterprise value per connection ($)</t>
        </is>
      </c>
      <c r="D8" s="19">
        <f>D6*1000000/D7</f>
        <v/>
      </c>
    </row>
    <row r="9">
      <c r="B9" s="2" t="inlineStr">
        <is>
          <t>Operating company debt assumed</t>
        </is>
      </c>
      <c r="D9" s="23">
        <f>(1-pr_eq)*pr_rb0</f>
        <v/>
      </c>
    </row>
    <row r="10">
      <c r="B10" s="2" t="inlineStr">
        <is>
          <t>Equity price</t>
        </is>
      </c>
      <c r="D10" s="23">
        <f>D6-D9</f>
        <v/>
      </c>
    </row>
    <row r="11">
      <c r="B11" s="2" t="inlineStr">
        <is>
          <t>Deal costs</t>
        </is>
      </c>
      <c r="D11" s="23">
        <f>pr_costs</f>
        <v/>
      </c>
    </row>
    <row r="12">
      <c r="B12" s="2" t="inlineStr">
        <is>
          <t>Holding company term loan</t>
        </is>
      </c>
      <c r="D12" s="23">
        <f>pr_holdco</f>
        <v/>
      </c>
    </row>
    <row r="13">
      <c r="B13" s="3" t="inlineStr">
        <is>
          <t>Brannock's equity at closing</t>
        </is>
      </c>
      <c r="D13" s="24">
        <f>D10+D11-D12</f>
        <v/>
      </c>
    </row>
    <row r="14">
      <c r="B14" s="2" t="inlineStr">
        <is>
          <t>Acquisition premium (price above rate base, never in rates)</t>
        </is>
      </c>
      <c r="D14" s="23">
        <f>D6-pr_rb0</f>
        <v/>
      </c>
    </row>
    <row r="15">
      <c r="B15" s="2" t="inlineStr">
        <is>
          <t>Holding company interest before tax, a year</t>
        </is>
      </c>
      <c r="D15" s="23">
        <f>D12*pr_kd_holdco</f>
        <v/>
      </c>
    </row>
    <row r="16">
      <c r="B16" s="2" t="inlineStr">
        <is>
          <t>Holding company interest after tax relief, a year</t>
        </is>
      </c>
      <c r="D16" s="23">
        <f>D15*(1-pr_tax)</f>
        <v/>
      </c>
    </row>
    <row r="18">
      <c r="B18" s="6" t="inlineStr">
        <is>
          <t>Brannock's flows</t>
        </is>
      </c>
    </row>
    <row r="19">
      <c r="B19" s="2" t="inlineStr">
        <is>
          <t>Year (31 December)</t>
        </is>
      </c>
      <c r="D19" s="18">
        <f>Utility!D4</f>
        <v/>
      </c>
      <c r="E19" s="18">
        <f>Utility!E4</f>
        <v/>
      </c>
      <c r="F19" s="18">
        <f>Utility!F4</f>
        <v/>
      </c>
      <c r="G19" s="18">
        <f>Utility!G4</f>
        <v/>
      </c>
      <c r="H19" s="18">
        <f>Utility!H4</f>
        <v/>
      </c>
      <c r="I19" s="18">
        <f>Utility!I4</f>
        <v/>
      </c>
      <c r="J19" s="18">
        <f>Utility!J4</f>
        <v/>
      </c>
      <c r="K19" s="18">
        <f>Utility!K4</f>
        <v/>
      </c>
      <c r="L19" s="18">
        <f>Utility!L4</f>
        <v/>
      </c>
      <c r="M19" s="18">
        <f>Utility!M4</f>
        <v/>
      </c>
      <c r="N19" s="18">
        <f>Utility!N4</f>
        <v/>
      </c>
    </row>
    <row r="20">
      <c r="B20" s="2" t="inlineStr">
        <is>
          <t>Cash to the shareholder (Utility)</t>
        </is>
      </c>
      <c r="E20" s="23">
        <f>Utility!E71</f>
        <v/>
      </c>
      <c r="F20" s="23">
        <f>Utility!F71</f>
        <v/>
      </c>
      <c r="G20" s="23">
        <f>Utility!G71</f>
        <v/>
      </c>
      <c r="H20" s="23">
        <f>Utility!H71</f>
        <v/>
      </c>
      <c r="I20" s="23">
        <f>Utility!I71</f>
        <v/>
      </c>
      <c r="J20" s="23">
        <f>Utility!J71</f>
        <v/>
      </c>
      <c r="K20" s="23">
        <f>Utility!K71</f>
        <v/>
      </c>
      <c r="L20" s="23">
        <f>Utility!L71</f>
        <v/>
      </c>
      <c r="M20" s="23">
        <f>Utility!M71</f>
        <v/>
      </c>
      <c r="N20" s="23">
        <f>Utility!N71</f>
        <v/>
      </c>
    </row>
    <row r="21">
      <c r="B21" s="2" t="inlineStr">
        <is>
          <t>Holding company interest after tax</t>
        </is>
      </c>
      <c r="E21" s="23">
        <f>-$D$16</f>
        <v/>
      </c>
      <c r="F21" s="23">
        <f>-$D$16</f>
        <v/>
      </c>
      <c r="G21" s="23">
        <f>-$D$16</f>
        <v/>
      </c>
      <c r="H21" s="23">
        <f>-$D$16</f>
        <v/>
      </c>
      <c r="I21" s="23">
        <f>-$D$16</f>
        <v/>
      </c>
      <c r="J21" s="23">
        <f>-$D$16</f>
        <v/>
      </c>
      <c r="K21" s="23">
        <f>-$D$16</f>
        <v/>
      </c>
      <c r="L21" s="23">
        <f>-$D$16</f>
        <v/>
      </c>
      <c r="M21" s="23">
        <f>-$D$16</f>
        <v/>
      </c>
      <c r="N21" s="23">
        <f>-$D$16</f>
        <v/>
      </c>
    </row>
    <row r="22">
      <c r="B22" s="2" t="inlineStr">
        <is>
          <t>Exit equity (rate base x exit multiple, less operating debt and the loan)</t>
        </is>
      </c>
      <c r="E22" s="23">
        <f>0</f>
        <v/>
      </c>
      <c r="F22" s="23">
        <f>0</f>
        <v/>
      </c>
      <c r="G22" s="23">
        <f>0</f>
        <v/>
      </c>
      <c r="H22" s="23">
        <f>0</f>
        <v/>
      </c>
      <c r="I22" s="23">
        <f>0</f>
        <v/>
      </c>
      <c r="J22" s="23">
        <f>0</f>
        <v/>
      </c>
      <c r="K22" s="23">
        <f>0</f>
        <v/>
      </c>
      <c r="L22" s="23">
        <f>0</f>
        <v/>
      </c>
      <c r="M22" s="23">
        <f>0</f>
        <v/>
      </c>
      <c r="N22" s="23">
        <f>pr_exit_mult*Utility!N61-Utility!N63-$D$12</f>
        <v/>
      </c>
    </row>
    <row r="23">
      <c r="B23" s="3" t="inlineStr">
        <is>
          <t>Brannock's net flows (levered)</t>
        </is>
      </c>
      <c r="D23" s="24">
        <f>-D13</f>
        <v/>
      </c>
      <c r="E23" s="24">
        <f>E20+E21+E22</f>
        <v/>
      </c>
      <c r="F23" s="24">
        <f>F20+F21+F22</f>
        <v/>
      </c>
      <c r="G23" s="24">
        <f>G20+G21+G22</f>
        <v/>
      </c>
      <c r="H23" s="24">
        <f>H20+H21+H22</f>
        <v/>
      </c>
      <c r="I23" s="24">
        <f>I20+I21+I22</f>
        <v/>
      </c>
      <c r="J23" s="24">
        <f>J20+J21+J22</f>
        <v/>
      </c>
      <c r="K23" s="24">
        <f>K20+K21+K22</f>
        <v/>
      </c>
      <c r="L23" s="24">
        <f>L20+L21+L22</f>
        <v/>
      </c>
      <c r="M23" s="24">
        <f>M20+M21+M22</f>
        <v/>
      </c>
      <c r="N23" s="24">
        <f>N20+N21+N22</f>
        <v/>
      </c>
    </row>
    <row r="24">
      <c r="B24" s="2" t="inlineStr">
        <is>
          <t>Unlevered flows on the enterprise value</t>
        </is>
      </c>
      <c r="D24" s="23">
        <f>-(D6+D11)</f>
        <v/>
      </c>
      <c r="E24" s="23">
        <f>Utility!E54+Utility!E51*(1-pr_tax)+Utility!E50-Utility!E15-Utility!E59+Utility!E60</f>
        <v/>
      </c>
      <c r="F24" s="23">
        <f>Utility!F54+Utility!F51*(1-pr_tax)+Utility!F50-Utility!F15-Utility!F59+Utility!F60</f>
        <v/>
      </c>
      <c r="G24" s="23">
        <f>Utility!G54+Utility!G51*(1-pr_tax)+Utility!G50-Utility!G15-Utility!G59+Utility!G60</f>
        <v/>
      </c>
      <c r="H24" s="23">
        <f>Utility!H54+Utility!H51*(1-pr_tax)+Utility!H50-Utility!H15-Utility!H59+Utility!H60</f>
        <v/>
      </c>
      <c r="I24" s="23">
        <f>Utility!I54+Utility!I51*(1-pr_tax)+Utility!I50-Utility!I15-Utility!I59+Utility!I60</f>
        <v/>
      </c>
      <c r="J24" s="23">
        <f>Utility!J54+Utility!J51*(1-pr_tax)+Utility!J50-Utility!J15-Utility!J59+Utility!J60</f>
        <v/>
      </c>
      <c r="K24" s="23">
        <f>Utility!K54+Utility!K51*(1-pr_tax)+Utility!K50-Utility!K15-Utility!K59+Utility!K60</f>
        <v/>
      </c>
      <c r="L24" s="23">
        <f>Utility!L54+Utility!L51*(1-pr_tax)+Utility!L50-Utility!L15-Utility!L59+Utility!L60</f>
        <v/>
      </c>
      <c r="M24" s="23">
        <f>Utility!M54+Utility!M51*(1-pr_tax)+Utility!M50-Utility!M15-Utility!M59+Utility!M60</f>
        <v/>
      </c>
      <c r="N24" s="23">
        <f>Utility!N54+Utility!N51*(1-pr_tax)+Utility!N50-Utility!N15-Utility!N59+Utility!N60+pr_exit_mult*Utility!N61</f>
        <v/>
      </c>
    </row>
    <row r="25">
      <c r="B25" s="2" t="inlineStr">
        <is>
          <t>Equity injections needed</t>
        </is>
      </c>
      <c r="E25" s="23">
        <f>-MIN(0,E20+E21)</f>
        <v/>
      </c>
      <c r="F25" s="23">
        <f>-MIN(0,F20+F21)</f>
        <v/>
      </c>
      <c r="G25" s="23">
        <f>-MIN(0,G20+G21)</f>
        <v/>
      </c>
      <c r="H25" s="23">
        <f>-MIN(0,H20+H21)</f>
        <v/>
      </c>
      <c r="I25" s="23">
        <f>-MIN(0,I20+I21)</f>
        <v/>
      </c>
      <c r="J25" s="23">
        <f>-MIN(0,J20+J21)</f>
        <v/>
      </c>
      <c r="K25" s="23">
        <f>-MIN(0,K20+K21)</f>
        <v/>
      </c>
      <c r="L25" s="23">
        <f>-MIN(0,L20+L21)</f>
        <v/>
      </c>
      <c r="M25" s="23">
        <f>-MIN(0,M20+M21)</f>
        <v/>
      </c>
      <c r="N25" s="23">
        <f>-MIN(0,N20+N21)</f>
        <v/>
      </c>
    </row>
    <row r="26">
      <c r="B26" s="2" t="inlineStr">
        <is>
          <t>Flows without the holding company loan</t>
        </is>
      </c>
      <c r="D26" s="23">
        <f>-(D10+D11)</f>
        <v/>
      </c>
      <c r="E26" s="23">
        <f>E20</f>
        <v/>
      </c>
      <c r="F26" s="23">
        <f>F20</f>
        <v/>
      </c>
      <c r="G26" s="23">
        <f>G20</f>
        <v/>
      </c>
      <c r="H26" s="23">
        <f>H20</f>
        <v/>
      </c>
      <c r="I26" s="23">
        <f>I20</f>
        <v/>
      </c>
      <c r="J26" s="23">
        <f>J20</f>
        <v/>
      </c>
      <c r="K26" s="23">
        <f>K20</f>
        <v/>
      </c>
      <c r="L26" s="23">
        <f>L20</f>
        <v/>
      </c>
      <c r="M26" s="23">
        <f>M20</f>
        <v/>
      </c>
      <c r="N26" s="23">
        <f>N20+N22+$D$12</f>
        <v/>
      </c>
    </row>
    <row r="27">
      <c r="B27" s="2" t="inlineStr">
        <is>
          <t>Equity flows for the DCF cross-check (t = 0 left empty)</t>
        </is>
      </c>
      <c r="E27" s="23">
        <f>E20</f>
        <v/>
      </c>
      <c r="F27" s="23">
        <f>F20</f>
        <v/>
      </c>
      <c r="G27" s="23">
        <f>G20</f>
        <v/>
      </c>
      <c r="H27" s="23">
        <f>H20</f>
        <v/>
      </c>
      <c r="I27" s="23">
        <f>I20</f>
        <v/>
      </c>
      <c r="J27" s="23">
        <f>J20</f>
        <v/>
      </c>
      <c r="K27" s="23">
        <f>K20</f>
        <v/>
      </c>
      <c r="L27" s="23">
        <f>L20</f>
        <v/>
      </c>
      <c r="M27" s="23">
        <f>M20</f>
        <v/>
      </c>
      <c r="N27" s="23">
        <f>N20+pr_exit_mult*Utility!N61-Utility!N63</f>
        <v/>
      </c>
    </row>
    <row r="30">
      <c r="B30" s="6" t="inlineStr">
        <is>
          <t>Returns</t>
        </is>
      </c>
    </row>
    <row r="31">
      <c r="B31" s="3" t="inlineStr">
        <is>
          <t>Levered IRR</t>
        </is>
      </c>
      <c r="D31" s="29">
        <f>IRR($D$23:$N$23,0.08)</f>
        <v/>
      </c>
    </row>
    <row r="32">
      <c r="B32" s="2" t="inlineStr">
        <is>
          <t>Equity injections over the hold</t>
        </is>
      </c>
      <c r="D32" s="23">
        <f>SUM($E$25:$N$25)</f>
        <v/>
      </c>
    </row>
    <row r="33">
      <c r="B33" s="2" t="inlineStr">
        <is>
          <t>Money multiple (distributions / (equity at closing + injections))</t>
        </is>
      </c>
      <c r="D33" s="30">
        <f>SUMIF($E$23:$N$23,"&gt;0")/(D13+D32)</f>
        <v/>
      </c>
    </row>
    <row r="34">
      <c r="B34" s="2" t="inlineStr">
        <is>
          <t>Unlevered IRR on the enterprise value</t>
        </is>
      </c>
      <c r="D34" s="27">
        <f>IRR($D$24:$N$24,0.06)</f>
        <v/>
      </c>
    </row>
    <row r="35">
      <c r="B35" s="2" t="inlineStr">
        <is>
          <t>Rate base at exit</t>
        </is>
      </c>
      <c r="D35" s="23">
        <f>Utility!$N$61</f>
        <v/>
      </c>
    </row>
    <row r="36">
      <c r="B36" s="2" t="inlineStr">
        <is>
          <t>Enterprise value at exit</t>
        </is>
      </c>
      <c r="D36" s="23">
        <f>pr_exit_mult*D35</f>
        <v/>
      </c>
    </row>
    <row r="37">
      <c r="B37" s="2" t="inlineStr">
        <is>
          <t>Operating debt at exit</t>
        </is>
      </c>
      <c r="D37" s="23">
        <f>Utility!$N$63</f>
        <v/>
      </c>
    </row>
    <row r="38">
      <c r="B38" s="2" t="inlineStr">
        <is>
          <t>Exit equity</t>
        </is>
      </c>
      <c r="D38" s="23">
        <f>D36-D37-D12</f>
        <v/>
      </c>
    </row>
    <row r="39">
      <c r="B39" s="3" t="inlineStr">
        <is>
          <t>Price that gives exactly the target return (solved directly: NPV of the flows at the target)</t>
        </is>
      </c>
      <c r="D39" s="24">
        <f>NPV(pr_target,$E$23:$N$23)+D9-D11+D12</f>
        <v/>
      </c>
    </row>
    <row r="40">
      <c r="B40" s="2" t="inlineStr">
        <is>
          <t>As a multiple of rate base</t>
        </is>
      </c>
      <c r="D40" s="30">
        <f>D39/pr_rb0</f>
        <v/>
      </c>
    </row>
    <row r="41">
      <c r="B41" s="2" t="inlineStr">
        <is>
          <t>Walk-away price at the minimum return</t>
        </is>
      </c>
      <c r="D41" s="23">
        <f>NPV(pr_hurdle,$E$23:$N$23)+D9-D11+D12</f>
        <v/>
      </c>
    </row>
    <row r="42">
      <c r="B42" s="2" t="inlineStr">
        <is>
          <t>As a multiple of rate base</t>
        </is>
      </c>
      <c r="D42" s="30">
        <f>D41/pr_rb0</f>
        <v/>
      </c>
    </row>
    <row r="43">
      <c r="B43" s="2" t="inlineStr">
        <is>
          <t>DCF cross-check: equity value at the cost of equity, no holding company loan</t>
        </is>
      </c>
      <c r="D43" s="23">
        <f>NPV(pr_ke,$E$27:$N$27)</f>
        <v/>
      </c>
    </row>
    <row r="44">
      <c r="B44" s="2" t="inlineStr">
        <is>
          <t>Plus operating debt: enterprise value</t>
        </is>
      </c>
      <c r="D44" s="23">
        <f>D43+D9</f>
        <v/>
      </c>
    </row>
    <row r="45">
      <c r="B45" s="2" t="inlineStr">
        <is>
          <t>As a multiple of rate base</t>
        </is>
      </c>
      <c r="D45" s="30">
        <f>D44/pr_rb0</f>
        <v/>
      </c>
    </row>
    <row r="46">
      <c r="B46" s="2" t="inlineStr">
        <is>
          <t>Without the holding company loan: equity at closing</t>
        </is>
      </c>
      <c r="D46" s="23">
        <f>D10+D11</f>
        <v/>
      </c>
    </row>
    <row r="47">
      <c r="B47" s="2" t="inlineStr">
        <is>
          <t>Without the holding company loan: levered IRR</t>
        </is>
      </c>
      <c r="D47" s="27">
        <f>IRR($D$26:$N$26,0.07)</f>
        <v/>
      </c>
    </row>
    <row r="48">
      <c r="B48" s="2" t="inlineStr">
        <is>
          <t>Rate base growth a year 2027 to 2037</t>
        </is>
      </c>
      <c r="D48" s="20">
        <f>(D35/pr_rb0)^(1/(pr_last-pr_close))-1</f>
        <v/>
      </c>
    </row>
    <row r="49">
      <c r="B49" s="2" t="inlineStr">
        <is>
          <t>One dollar of rate base: return on the equity share</t>
        </is>
      </c>
      <c r="D49" s="27">
        <f>pr_eq*pr_roe</f>
        <v/>
      </c>
    </row>
    <row r="50">
      <c r="B50" s="2" t="inlineStr">
        <is>
          <t>One dollar of rate base: required on the equity share</t>
        </is>
      </c>
      <c r="D50" s="27">
        <f>pr_eq*pr_ke</f>
        <v/>
      </c>
    </row>
    <row r="51">
      <c r="B51" s="2" t="inlineStr">
        <is>
          <t>Average earned return on equity 2028 to 2037</t>
        </is>
      </c>
      <c r="D51" s="27">
        <f>AVERAGE(Utility!$E$69:$N$69)</f>
        <v/>
      </c>
    </row>
    <row r="54">
      <c r="B54" s="6" t="inlineStr">
        <is>
          <t>Exit multiple table (each row replaces the exit multiple in the final flow)</t>
        </is>
      </c>
    </row>
    <row r="55">
      <c r="B55" s="3" t="inlineStr">
        <is>
          <t>Multiple</t>
        </is>
      </c>
      <c r="C55" s="5" t="inlineStr">
        <is>
          <t>x</t>
        </is>
      </c>
      <c r="D55" s="18">
        <f>D19</f>
        <v/>
      </c>
      <c r="E55" s="18">
        <f>E19</f>
        <v/>
      </c>
      <c r="F55" s="18">
        <f>F19</f>
        <v/>
      </c>
      <c r="G55" s="18">
        <f>G19</f>
        <v/>
      </c>
      <c r="H55" s="18">
        <f>H19</f>
        <v/>
      </c>
      <c r="I55" s="18">
        <f>I19</f>
        <v/>
      </c>
      <c r="J55" s="18">
        <f>J19</f>
        <v/>
      </c>
      <c r="K55" s="18">
        <f>K19</f>
        <v/>
      </c>
      <c r="L55" s="18">
        <f>L19</f>
        <v/>
      </c>
      <c r="M55" s="18">
        <f>M19</f>
        <v/>
      </c>
      <c r="N55" s="18">
        <f>N19</f>
        <v/>
      </c>
      <c r="O55" s="3" t="inlineStr">
        <is>
          <t>IRR</t>
        </is>
      </c>
      <c r="P55" s="3" t="inlineStr">
        <is>
          <t>Exit equity</t>
        </is>
      </c>
      <c r="Q55" s="3" t="inlineStr">
        <is>
          <t>Price at target</t>
        </is>
      </c>
    </row>
    <row r="56">
      <c r="B56" s="30">
        <f>pr_em1</f>
        <v/>
      </c>
      <c r="D56" s="23">
        <f>D23</f>
        <v/>
      </c>
      <c r="E56" s="23">
        <f>E23</f>
        <v/>
      </c>
      <c r="F56" s="23">
        <f>F23</f>
        <v/>
      </c>
      <c r="G56" s="23">
        <f>G23</f>
        <v/>
      </c>
      <c r="H56" s="23">
        <f>H23</f>
        <v/>
      </c>
      <c r="I56" s="23">
        <f>I23</f>
        <v/>
      </c>
      <c r="J56" s="23">
        <f>J23</f>
        <v/>
      </c>
      <c r="K56" s="23">
        <f>K23</f>
        <v/>
      </c>
      <c r="L56" s="23">
        <f>L23</f>
        <v/>
      </c>
      <c r="M56" s="23">
        <f>M23</f>
        <v/>
      </c>
      <c r="N56" s="23">
        <f>N23-N22+pr_em1*Utility!$N$61-Utility!$N$63-$D$12</f>
        <v/>
      </c>
      <c r="O56" s="29">
        <f>IRR(D56:N56,0.08)</f>
        <v/>
      </c>
      <c r="P56" s="23">
        <f>pr_em1*Utility!$N$61-Utility!$N$63-$D$12</f>
        <v/>
      </c>
      <c r="Q56" s="23">
        <f>NPV(pr_target,E56:N56)+$D$9-$D$11+$D$12</f>
        <v/>
      </c>
    </row>
    <row r="57">
      <c r="B57" s="30">
        <f>pr_em2</f>
        <v/>
      </c>
      <c r="D57" s="23">
        <f>D23</f>
        <v/>
      </c>
      <c r="E57" s="23">
        <f>E23</f>
        <v/>
      </c>
      <c r="F57" s="23">
        <f>F23</f>
        <v/>
      </c>
      <c r="G57" s="23">
        <f>G23</f>
        <v/>
      </c>
      <c r="H57" s="23">
        <f>H23</f>
        <v/>
      </c>
      <c r="I57" s="23">
        <f>I23</f>
        <v/>
      </c>
      <c r="J57" s="23">
        <f>J23</f>
        <v/>
      </c>
      <c r="K57" s="23">
        <f>K23</f>
        <v/>
      </c>
      <c r="L57" s="23">
        <f>L23</f>
        <v/>
      </c>
      <c r="M57" s="23">
        <f>M23</f>
        <v/>
      </c>
      <c r="N57" s="23">
        <f>N23-N22+pr_em2*Utility!$N$61-Utility!$N$63-$D$12</f>
        <v/>
      </c>
      <c r="O57" s="29">
        <f>IRR(D57:N57,0.08)</f>
        <v/>
      </c>
      <c r="P57" s="23">
        <f>pr_em2*Utility!$N$61-Utility!$N$63-$D$12</f>
        <v/>
      </c>
      <c r="Q57" s="23">
        <f>NPV(pr_target,E57:N57)+$D$9-$D$11+$D$12</f>
        <v/>
      </c>
    </row>
    <row r="58">
      <c r="B58" s="30">
        <f>pr_em3</f>
        <v/>
      </c>
      <c r="D58" s="23">
        <f>D23</f>
        <v/>
      </c>
      <c r="E58" s="23">
        <f>E23</f>
        <v/>
      </c>
      <c r="F58" s="23">
        <f>F23</f>
        <v/>
      </c>
      <c r="G58" s="23">
        <f>G23</f>
        <v/>
      </c>
      <c r="H58" s="23">
        <f>H23</f>
        <v/>
      </c>
      <c r="I58" s="23">
        <f>I23</f>
        <v/>
      </c>
      <c r="J58" s="23">
        <f>J23</f>
        <v/>
      </c>
      <c r="K58" s="23">
        <f>K23</f>
        <v/>
      </c>
      <c r="L58" s="23">
        <f>L23</f>
        <v/>
      </c>
      <c r="M58" s="23">
        <f>M23</f>
        <v/>
      </c>
      <c r="N58" s="23">
        <f>N23-N22+pr_em3*Utility!$N$61-Utility!$N$63-$D$12</f>
        <v/>
      </c>
      <c r="O58" s="29">
        <f>IRR(D58:N58,0.08)</f>
        <v/>
      </c>
      <c r="P58" s="23">
        <f>pr_em3*Utility!$N$61-Utility!$N$63-$D$12</f>
        <v/>
      </c>
      <c r="Q58" s="23">
        <f>NPV(pr_target,E58:N58)+$D$9-$D$11+$D$12</f>
        <v/>
      </c>
    </row>
    <row r="59">
      <c r="B59" s="30">
        <f>pr_em4</f>
        <v/>
      </c>
      <c r="D59" s="23">
        <f>D23</f>
        <v/>
      </c>
      <c r="E59" s="23">
        <f>E23</f>
        <v/>
      </c>
      <c r="F59" s="23">
        <f>F23</f>
        <v/>
      </c>
      <c r="G59" s="23">
        <f>G23</f>
        <v/>
      </c>
      <c r="H59" s="23">
        <f>H23</f>
        <v/>
      </c>
      <c r="I59" s="23">
        <f>I23</f>
        <v/>
      </c>
      <c r="J59" s="23">
        <f>J23</f>
        <v/>
      </c>
      <c r="K59" s="23">
        <f>K23</f>
        <v/>
      </c>
      <c r="L59" s="23">
        <f>L23</f>
        <v/>
      </c>
      <c r="M59" s="23">
        <f>M23</f>
        <v/>
      </c>
      <c r="N59" s="23">
        <f>N23-N22+pr_em4*Utility!$N$61-Utility!$N$63-$D$12</f>
        <v/>
      </c>
      <c r="O59" s="29">
        <f>IRR(D59:N59,0.08)</f>
        <v/>
      </c>
      <c r="P59" s="23">
        <f>pr_em4*Utility!$N$61-Utility!$N$63-$D$12</f>
        <v/>
      </c>
      <c r="Q59" s="23">
        <f>NPV(pr_target,E59:N59)+$D$9-$D$11+$D$12</f>
        <v/>
      </c>
    </row>
    <row r="60">
      <c r="B60" s="30">
        <f>pr_em5</f>
        <v/>
      </c>
      <c r="D60" s="23">
        <f>D23</f>
        <v/>
      </c>
      <c r="E60" s="23">
        <f>E23</f>
        <v/>
      </c>
      <c r="F60" s="23">
        <f>F23</f>
        <v/>
      </c>
      <c r="G60" s="23">
        <f>G23</f>
        <v/>
      </c>
      <c r="H60" s="23">
        <f>H23</f>
        <v/>
      </c>
      <c r="I60" s="23">
        <f>I23</f>
        <v/>
      </c>
      <c r="J60" s="23">
        <f>J23</f>
        <v/>
      </c>
      <c r="K60" s="23">
        <f>K23</f>
        <v/>
      </c>
      <c r="L60" s="23">
        <f>L23</f>
        <v/>
      </c>
      <c r="M60" s="23">
        <f>M23</f>
        <v/>
      </c>
      <c r="N60" s="23">
        <f>N23-N22+pr_em5*Utility!$N$61-Utility!$N$63-$D$12</f>
        <v/>
      </c>
      <c r="O60" s="29">
        <f>IRR(D60:N60,0.08)</f>
        <v/>
      </c>
      <c r="P60" s="23">
        <f>pr_em5*Utility!$N$61-Utility!$N$63-$D$12</f>
        <v/>
      </c>
      <c r="Q60" s="23">
        <f>NPV(pr_target,E60:N60)+$D$9-$D$11+$D$12</f>
        <v/>
      </c>
    </row>
    <row r="63">
      <c r="B63" s="6" t="inlineStr">
        <is>
          <t>Commission approval conditions (case)</t>
        </is>
      </c>
    </row>
    <row r="64" ht="45" customHeight="1">
      <c r="B64" s="4">
        <f>"Commission approval conditions (case): the $"&amp;TEXT(D14,"#,##0")&amp;" million paid above rate base (the acquisition premium) and the $"&amp;TEXT(D11,"#,##0.0")&amp;" million of deal costs never enter rates; Pell River keeps its own bonds and rating; dividends stop if its equity ratio falls below 45 percent or its rating below BBB; no rate case before the 2029 rates already filed; local management and service quality metrics kept for five years"</f>
        <v/>
      </c>
    </row>
  </sheetData>
  <mergeCells count="1">
    <mergeCell ref="B64:N64"/>
  </mergeCells>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B2:G41"/>
  <sheetViews>
    <sheetView showGridLines="0" workbookViewId="0">
      <selection activeCell="A1" sqref="A1"/>
    </sheetView>
  </sheetViews>
  <sheetFormatPr baseColWidth="8" defaultRowHeight="15"/>
  <cols>
    <col width="2" customWidth="1" min="1" max="1"/>
    <col width="64" customWidth="1" min="2" max="2"/>
    <col width="14" customWidth="1" min="3" max="3"/>
    <col width="14" customWidth="1" min="4" max="4"/>
    <col width="14" customWidth="1" min="5" max="5"/>
    <col width="14" customWidth="1" min="6" max="6"/>
    <col width="14" customWidth="1" min="7" max="7"/>
  </cols>
  <sheetData>
    <row r="2">
      <c r="B2" s="1" t="inlineStr">
        <is>
          <t>Sensitivities: Pell River (after tax) and Sorrel Bay (pre-tax)</t>
        </is>
      </c>
    </row>
    <row r="3">
      <c r="B3" s="5" t="inlineStr">
        <is>
          <t>Each line reads a scenario block on the Scenarios sheet; the base reads Deal and SB_Finance. With the switches on Inputs at their defaults these are the figures of the book.</t>
        </is>
      </c>
    </row>
    <row r="5">
      <c r="B5" s="3" t="inlineStr">
        <is>
          <t>Pell River case</t>
        </is>
      </c>
      <c r="C5" s="3" t="inlineStr">
        <is>
          <t>Levered IRR</t>
        </is>
      </c>
      <c r="D5" s="3" t="inlineStr">
        <is>
          <t>Change (points)</t>
        </is>
      </c>
      <c r="E5" s="3" t="inlineStr">
        <is>
          <t>Price at target</t>
        </is>
      </c>
      <c r="F5" s="3" t="inlineStr">
        <is>
          <t>Avg earned ROE</t>
        </is>
      </c>
      <c r="G5" s="3" t="inlineStr">
        <is>
          <t>Exit rate base / exit equity</t>
        </is>
      </c>
    </row>
    <row r="6">
      <c r="B6" s="3" t="inlineStr">
        <is>
          <t>Base case</t>
        </is>
      </c>
      <c r="C6" s="29">
        <f>Deal!$D$31</f>
        <v/>
      </c>
      <c r="D6" s="31">
        <f>(C6-$C$6)*100</f>
        <v/>
      </c>
      <c r="E6" s="32">
        <f>Deal!$D$39</f>
        <v/>
      </c>
      <c r="F6" s="27">
        <f>Deal!$D$51</f>
        <v/>
      </c>
      <c r="G6" s="33">
        <f>Deal!$D$35</f>
        <v/>
      </c>
    </row>
    <row r="7">
      <c r="B7" s="2" t="inlineStr">
        <is>
          <t>S1: Authorized return on equity 9.10 percent</t>
        </is>
      </c>
      <c r="C7" s="27">
        <f>Scenarios!$D$77</f>
        <v/>
      </c>
      <c r="D7" s="34">
        <f>(C7-$C$6)*100</f>
        <v/>
      </c>
      <c r="E7" s="33">
        <f>Scenarios!$D$79</f>
        <v/>
      </c>
      <c r="F7" s="27">
        <f>Scenarios!$D$78</f>
        <v/>
      </c>
      <c r="G7" s="33">
        <f>Scenarios!$D$81</f>
        <v/>
      </c>
    </row>
    <row r="8">
      <c r="B8" s="2" t="inlineStr">
        <is>
          <t>S2: Authorized return on equity 10.10 percent</t>
        </is>
      </c>
      <c r="C8" s="27">
        <f>Scenarios!$D$155</f>
        <v/>
      </c>
      <c r="D8" s="34">
        <f>(C8-$C$6)*100</f>
        <v/>
      </c>
      <c r="E8" s="33">
        <f>Scenarios!$D$157</f>
        <v/>
      </c>
      <c r="F8" s="27">
        <f>Scenarios!$D$156</f>
        <v/>
      </c>
      <c r="G8" s="33">
        <f>Scenarios!$D$159</f>
        <v/>
      </c>
    </row>
    <row r="9">
      <c r="B9" s="2" t="inlineStr">
        <is>
          <t>S3: No DSIC</t>
        </is>
      </c>
      <c r="C9" s="27">
        <f>Scenarios!$D$233</f>
        <v/>
      </c>
      <c r="D9" s="34">
        <f>(C9-$C$6)*100</f>
        <v/>
      </c>
      <c r="E9" s="33">
        <f>Scenarios!$D$235</f>
        <v/>
      </c>
      <c r="F9" s="27">
        <f>Scenarios!$D$234</f>
        <v/>
      </c>
      <c r="G9" s="33">
        <f>Scenarios!$D$237</f>
        <v/>
      </c>
    </row>
    <row r="10">
      <c r="B10" s="2" t="inlineStr">
        <is>
          <t>S4: Three-year rate cycle, test year two years old</t>
        </is>
      </c>
      <c r="C10" s="27">
        <f>Scenarios!$D$311</f>
        <v/>
      </c>
      <c r="D10" s="34">
        <f>(C10-$C$6)*100</f>
        <v/>
      </c>
      <c r="E10" s="33">
        <f>Scenarios!$D$313</f>
        <v/>
      </c>
      <c r="F10" s="27">
        <f>Scenarios!$D$312</f>
        <v/>
      </c>
      <c r="G10" s="33">
        <f>Scenarios!$D$315</f>
        <v/>
      </c>
    </row>
    <row r="11">
      <c r="B11" s="2" t="inlineStr">
        <is>
          <t>S5: O&amp;M inflation 4.0 percent</t>
        </is>
      </c>
      <c r="C11" s="27">
        <f>Scenarios!$D$389</f>
        <v/>
      </c>
      <c r="D11" s="34">
        <f>(C11-$C$6)*100</f>
        <v/>
      </c>
      <c r="E11" s="33">
        <f>Scenarios!$D$391</f>
        <v/>
      </c>
      <c r="F11" s="27">
        <f>Scenarios!$D$390</f>
        <v/>
      </c>
      <c r="G11" s="33">
        <f>Scenarios!$D$393</f>
        <v/>
      </c>
    </row>
    <row r="12">
      <c r="B12" s="2" t="inlineStr">
        <is>
          <t>S6: Capital spending +20 percent, fully recovered</t>
        </is>
      </c>
      <c r="C12" s="27">
        <f>Scenarios!$D$467</f>
        <v/>
      </c>
      <c r="D12" s="34">
        <f>(C12-$C$6)*100</f>
        <v/>
      </c>
      <c r="E12" s="33">
        <f>Scenarios!$D$469</f>
        <v/>
      </c>
      <c r="F12" s="27">
        <f>Scenarios!$D$468</f>
        <v/>
      </c>
      <c r="G12" s="33">
        <f>Scenarios!$D$471</f>
        <v/>
      </c>
    </row>
    <row r="13">
      <c r="B13" s="2" t="inlineStr">
        <is>
          <t>S7: 10 percent of PFAS and lead spending disallowed</t>
        </is>
      </c>
      <c r="C13" s="27">
        <f>Scenarios!$D$545</f>
        <v/>
      </c>
      <c r="D13" s="34">
        <f>(C13-$C$6)*100</f>
        <v/>
      </c>
      <c r="E13" s="33">
        <f>Scenarios!$D$547</f>
        <v/>
      </c>
      <c r="F13" s="27">
        <f>Scenarios!$D$546</f>
        <v/>
      </c>
      <c r="G13" s="33">
        <f>Scenarios!$D$549</f>
        <v/>
      </c>
    </row>
    <row r="14">
      <c r="B14" s="2" t="inlineStr">
        <is>
          <t>S8: Customer-side lead cost expensed</t>
        </is>
      </c>
      <c r="C14" s="27">
        <f>Scenarios!$D$623</f>
        <v/>
      </c>
      <c r="D14" s="34">
        <f>(C14-$C$6)*100</f>
        <v/>
      </c>
      <c r="E14" s="33">
        <f>Scenarios!$D$625</f>
        <v/>
      </c>
      <c r="F14" s="27">
        <f>Scenarios!$D$624</f>
        <v/>
      </c>
      <c r="G14" s="33">
        <f>Scenarios!$D$627</f>
        <v/>
      </c>
    </row>
    <row r="15">
      <c r="B15" s="2" t="inlineStr">
        <is>
          <t>S9: New bond coupon 6.60 percent</t>
        </is>
      </c>
      <c r="C15" s="27">
        <f>Scenarios!$D$701</f>
        <v/>
      </c>
      <c r="D15" s="34">
        <f>(C15-$C$6)*100</f>
        <v/>
      </c>
      <c r="E15" s="33">
        <f>Scenarios!$D$703</f>
        <v/>
      </c>
      <c r="F15" s="27">
        <f>Scenarios!$D$702</f>
        <v/>
      </c>
      <c r="G15" s="33">
        <f>Scenarios!$D$705</f>
        <v/>
      </c>
    </row>
    <row r="16">
      <c r="B16" s="2" t="inlineStr">
        <is>
          <t>S10: No connection growth</t>
        </is>
      </c>
      <c r="C16" s="27">
        <f>Scenarios!$D$779</f>
        <v/>
      </c>
      <c r="D16" s="34">
        <f>(C16-$C$6)*100</f>
        <v/>
      </c>
      <c r="E16" s="33">
        <f>Scenarios!$D$781</f>
        <v/>
      </c>
      <c r="F16" s="27">
        <f>Scenarios!$D$780</f>
        <v/>
      </c>
      <c r="G16" s="33">
        <f>Scenarios!$D$783</f>
        <v/>
      </c>
    </row>
    <row r="17">
      <c r="B17" s="2" t="inlineStr">
        <is>
          <t>P1: PFAS built two years later (compliance extension)</t>
        </is>
      </c>
      <c r="C17" s="27">
        <f>Scenarios!$D$857</f>
        <v/>
      </c>
      <c r="D17" s="34">
        <f>(C17-$C$6)*100</f>
        <v/>
      </c>
      <c r="E17" s="33">
        <f>Scenarios!$D$859</f>
        <v/>
      </c>
      <c r="F17" s="27">
        <f>Scenarios!$D$858</f>
        <v/>
      </c>
      <c r="G17" s="33">
        <f>Scenarios!$D$861</f>
        <v/>
      </c>
    </row>
    <row r="18">
      <c r="B18" s="2" t="inlineStr">
        <is>
          <t>D1: Full decoupling</t>
        </is>
      </c>
      <c r="C18" s="27">
        <f>Scenarios!$D$935</f>
        <v/>
      </c>
      <c r="D18" s="34">
        <f>(C18-$C$6)*100</f>
        <v/>
      </c>
      <c r="E18" s="33">
        <f>Scenarios!$D$937</f>
        <v/>
      </c>
      <c r="F18" s="27">
        <f>Scenarios!$D$936</f>
        <v/>
      </c>
      <c r="G18" s="33">
        <f>Scenarios!$D$939</f>
        <v/>
      </c>
    </row>
    <row r="19">
      <c r="B19" s="2" t="inlineStr">
        <is>
          <t>D2: Use per connection falls 2 percent a year, no decoupling</t>
        </is>
      </c>
      <c r="C19" s="27">
        <f>Scenarios!$D$1013</f>
        <v/>
      </c>
      <c r="D19" s="34">
        <f>(C19-$C$6)*100</f>
        <v/>
      </c>
      <c r="E19" s="33">
        <f>Scenarios!$D$1015</f>
        <v/>
      </c>
      <c r="F19" s="27">
        <f>Scenarios!$D$1014</f>
        <v/>
      </c>
      <c r="G19" s="33">
        <f>Scenarios!$D$1017</f>
        <v/>
      </c>
    </row>
    <row r="20">
      <c r="B20" s="2" t="inlineStr">
        <is>
          <t>B1: Diligence bridge step 1: seller's plan</t>
        </is>
      </c>
      <c r="C20" s="27">
        <f>Scenarios!$D$1091</f>
        <v/>
      </c>
      <c r="D20" s="34">
        <f>(C20-$C$6)*100</f>
        <v/>
      </c>
      <c r="E20" s="33">
        <f>Scenarios!$D$1093</f>
        <v/>
      </c>
      <c r="F20" s="27">
        <f>Scenarios!$D$1092</f>
        <v/>
      </c>
      <c r="G20" s="33">
        <f>Scenarios!$D$1095</f>
        <v/>
      </c>
    </row>
    <row r="21">
      <c r="B21" s="2" t="inlineStr">
        <is>
          <t>B2: Bridge step 2: return on equity 9.60 percent</t>
        </is>
      </c>
      <c r="C21" s="27">
        <f>Scenarios!$D$1169</f>
        <v/>
      </c>
      <c r="D21" s="34">
        <f>(C21-$C$6)*100</f>
        <v/>
      </c>
      <c r="E21" s="33">
        <f>Scenarios!$D$1171</f>
        <v/>
      </c>
      <c r="F21" s="27">
        <f>Scenarios!$D$1170</f>
        <v/>
      </c>
      <c r="G21" s="33">
        <f>Scenarios!$D$1173</f>
        <v/>
      </c>
    </row>
    <row r="22">
      <c r="B22" s="2" t="inlineStr">
        <is>
          <t>B3: Bridge step 3: rate cases every two years</t>
        </is>
      </c>
      <c r="C22" s="27">
        <f>Scenarios!$D$1247</f>
        <v/>
      </c>
      <c r="D22" s="34">
        <f>(C22-$C$6)*100</f>
        <v/>
      </c>
      <c r="E22" s="33">
        <f>Scenarios!$D$1249</f>
        <v/>
      </c>
      <c r="F22" s="27">
        <f>Scenarios!$D$1248</f>
        <v/>
      </c>
      <c r="G22" s="33">
        <f>Scenarios!$D$1251</f>
        <v/>
      </c>
    </row>
    <row r="23">
      <c r="B23" s="2" t="inlineStr">
        <is>
          <t>B4: Bridge step 4: O&amp;M inflation 3.0 percent</t>
        </is>
      </c>
      <c r="C23" s="27">
        <f>Scenarios!$D$1325</f>
        <v/>
      </c>
      <c r="D23" s="34">
        <f>(C23-$C$6)*100</f>
        <v/>
      </c>
      <c r="E23" s="33">
        <f>Scenarios!$D$1327</f>
        <v/>
      </c>
      <c r="F23" s="27">
        <f>Scenarios!$D$1326</f>
        <v/>
      </c>
      <c r="G23" s="33">
        <f>Scenarios!$D$1329</f>
        <v/>
      </c>
    </row>
    <row r="24">
      <c r="B24" s="2" t="inlineStr">
        <is>
          <t>MR: Mains renewal held to 0.8 percent a year</t>
        </is>
      </c>
      <c r="C24" s="27">
        <f>Scenarios!$D$1403</f>
        <v/>
      </c>
      <c r="D24" s="34">
        <f>(C24-$C$6)*100</f>
        <v/>
      </c>
      <c r="E24" s="33">
        <f>Scenarios!$D$1405</f>
        <v/>
      </c>
      <c r="F24" s="27">
        <f>Scenarios!$D$1404</f>
        <v/>
      </c>
      <c r="G24" s="33">
        <f>Scenarios!$D$1407</f>
        <v/>
      </c>
    </row>
    <row r="25">
      <c r="B25" s="2" t="inlineStr">
        <is>
          <t>F0: Without the Fennick purchase</t>
        </is>
      </c>
      <c r="C25" s="27">
        <f>Scenarios!$D$1481</f>
        <v/>
      </c>
      <c r="D25" s="34">
        <f>(C25-$C$6)*100</f>
        <v/>
      </c>
      <c r="E25" s="33">
        <f>Scenarios!$D$1483</f>
        <v/>
      </c>
      <c r="F25" s="27">
        <f>Scenarios!$D$1482</f>
        <v/>
      </c>
      <c r="G25" s="33">
        <f>Scenarios!$D$1485</f>
        <v/>
      </c>
    </row>
    <row r="26">
      <c r="B26" s="2">
        <f>"Exit at "&amp;TEXT(pr_em1,"0.00")&amp;"x"</f>
        <v/>
      </c>
      <c r="C26" s="27">
        <f>Deal!$O$56</f>
        <v/>
      </c>
      <c r="D26" s="34">
        <f>(C26-$C$6)*100</f>
        <v/>
      </c>
      <c r="E26" s="33">
        <f>Deal!$Q$56</f>
        <v/>
      </c>
      <c r="G26" s="33">
        <f>Deal!$P$56</f>
        <v/>
      </c>
    </row>
    <row r="27">
      <c r="B27" s="2">
        <f>"Exit at "&amp;TEXT(pr_em2,"0.00")&amp;"x"</f>
        <v/>
      </c>
      <c r="C27" s="27">
        <f>Deal!$O$57</f>
        <v/>
      </c>
      <c r="D27" s="34">
        <f>(C27-$C$6)*100</f>
        <v/>
      </c>
      <c r="E27" s="33">
        <f>Deal!$Q$57</f>
        <v/>
      </c>
      <c r="G27" s="33">
        <f>Deal!$P$57</f>
        <v/>
      </c>
    </row>
    <row r="28">
      <c r="B28" s="2">
        <f>"Exit at "&amp;TEXT(pr_em3,"0.00")&amp;"x"</f>
        <v/>
      </c>
      <c r="C28" s="27">
        <f>Deal!$O$58</f>
        <v/>
      </c>
      <c r="D28" s="34">
        <f>(C28-$C$6)*100</f>
        <v/>
      </c>
      <c r="E28" s="33">
        <f>Deal!$Q$58</f>
        <v/>
      </c>
      <c r="G28" s="33">
        <f>Deal!$P$58</f>
        <v/>
      </c>
    </row>
    <row r="29">
      <c r="B29" s="2">
        <f>"Exit at "&amp;TEXT(pr_em4,"0.00")&amp;"x"</f>
        <v/>
      </c>
      <c r="C29" s="27">
        <f>Deal!$O$59</f>
        <v/>
      </c>
      <c r="D29" s="34">
        <f>(C29-$C$6)*100</f>
        <v/>
      </c>
      <c r="E29" s="33">
        <f>Deal!$Q$59</f>
        <v/>
      </c>
      <c r="G29" s="33">
        <f>Deal!$P$59</f>
        <v/>
      </c>
    </row>
    <row r="30">
      <c r="B30" s="2">
        <f>"Exit at "&amp;TEXT(pr_em5,"0.00")&amp;"x"</f>
        <v/>
      </c>
      <c r="C30" s="27">
        <f>Deal!$O$60</f>
        <v/>
      </c>
      <c r="D30" s="34">
        <f>(C30-$C$6)*100</f>
        <v/>
      </c>
      <c r="E30" s="33">
        <f>Deal!$Q$60</f>
        <v/>
      </c>
      <c r="G30" s="33">
        <f>Deal!$P$60</f>
        <v/>
      </c>
    </row>
    <row r="32">
      <c r="B32" s="3" t="inlineStr">
        <is>
          <t>Sorrel Bay case (bid capacity charge)</t>
        </is>
      </c>
      <c r="C32" s="3" t="inlineStr">
        <is>
          <t>Project IRR</t>
        </is>
      </c>
      <c r="D32" s="3" t="inlineStr">
        <is>
          <t>Equity IRR</t>
        </is>
      </c>
      <c r="E32" s="3" t="inlineStr">
        <is>
          <t>Change (points)</t>
        </is>
      </c>
      <c r="F32" s="3" t="inlineStr">
        <is>
          <t>Min cover</t>
        </is>
      </c>
    </row>
    <row r="33">
      <c r="B33" s="3" t="inlineStr">
        <is>
          <t>Base case</t>
        </is>
      </c>
      <c r="C33" s="29">
        <f>'SB_Finance'!$C$25</f>
        <v/>
      </c>
      <c r="D33" s="29">
        <f>'SB_Finance'!$C$26</f>
        <v/>
      </c>
      <c r="E33" s="31">
        <f>(D33-D33)*100</f>
        <v/>
      </c>
      <c r="F33" s="30">
        <f>'SB_Finance'!$C$21</f>
        <v/>
      </c>
    </row>
    <row r="34">
      <c r="B34" s="2" t="inlineStr">
        <is>
          <t>C1: Capital cost +10 percent (same tariff)</t>
        </is>
      </c>
      <c r="C34" s="27">
        <f>Scenarios!$D$1531</f>
        <v/>
      </c>
      <c r="D34" s="27">
        <f>Scenarios!$D$1532</f>
        <v/>
      </c>
      <c r="E34" s="34">
        <f>(D34-$D$33)*100</f>
        <v/>
      </c>
      <c r="F34" s="30">
        <f>MIN(Scenarios!$D$1528:AJ$1528)</f>
        <v/>
      </c>
    </row>
    <row r="35">
      <c r="B35" s="2" t="inlineStr">
        <is>
          <t>C2: Six-month delay (70 percent covered by delay damages)</t>
        </is>
      </c>
      <c r="C35" s="27">
        <f>Scenarios!$D$1579</f>
        <v/>
      </c>
      <c r="D35" s="27">
        <f>Scenarios!$D$1580</f>
        <v/>
      </c>
      <c r="E35" s="34">
        <f>(D35-$D$33)*100</f>
        <v/>
      </c>
      <c r="F35" s="30">
        <f>MIN(Scenarios!$D$1576:AJ$1576)</f>
        <v/>
      </c>
    </row>
    <row r="36">
      <c r="B36" s="2" t="inlineStr">
        <is>
          <t>C3: Availability 92 percent</t>
        </is>
      </c>
      <c r="C36" s="27">
        <f>Scenarios!$D$1627</f>
        <v/>
      </c>
      <c r="D36" s="27">
        <f>Scenarios!$D$1628</f>
        <v/>
      </c>
      <c r="E36" s="34">
        <f>(D36-$D$33)*100</f>
        <v/>
      </c>
      <c r="F36" s="30">
        <f>MIN(Scenarios!$D$1624:AJ$1624)</f>
        <v/>
      </c>
    </row>
    <row r="37">
      <c r="B37" s="2" t="inlineStr">
        <is>
          <t>C4: Power price +$20 per MWh, passed through</t>
        </is>
      </c>
      <c r="C37" s="27">
        <f>Scenarios!$D$1675</f>
        <v/>
      </c>
      <c r="D37" s="27">
        <f>Scenarios!$D$1676</f>
        <v/>
      </c>
      <c r="E37" s="34">
        <f>(D37-$D$33)*100</f>
        <v/>
      </c>
      <c r="F37" s="30">
        <f>MIN(Scenarios!$D$1672:AJ$1672)</f>
        <v/>
      </c>
    </row>
    <row r="38">
      <c r="B38" s="2" t="inlineStr">
        <is>
          <t>C5: Power price +$20 per MWh, not passed through</t>
        </is>
      </c>
      <c r="C38" s="27">
        <f>Scenarios!$D$1723</f>
        <v/>
      </c>
      <c r="D38" s="27">
        <f>Scenarios!$D$1724</f>
        <v/>
      </c>
      <c r="E38" s="34">
        <f>(D38-$D$33)*100</f>
        <v/>
      </c>
      <c r="F38" s="30">
        <f>MIN(Scenarios!$D$1720:AJ$1720)</f>
        <v/>
      </c>
    </row>
    <row r="39">
      <c r="B39" s="2" t="inlineStr">
        <is>
          <t>C6: Energy use 3.9 kWh per m3 instead of 3.6</t>
        </is>
      </c>
      <c r="C39" s="27">
        <f>Scenarios!$D$1771</f>
        <v/>
      </c>
      <c r="D39" s="27">
        <f>Scenarios!$D$1772</f>
        <v/>
      </c>
      <c r="E39" s="34">
        <f>(D39-$D$33)*100</f>
        <v/>
      </c>
      <c r="F39" s="30">
        <f>MIN(Scenarios!$D$1768:AJ$1768)</f>
        <v/>
      </c>
    </row>
    <row r="40">
      <c r="B40" s="2" t="inlineStr">
        <is>
          <t>C7: Offtake 65 percent instead of 85</t>
        </is>
      </c>
      <c r="C40" s="27">
        <f>Scenarios!$D$1819</f>
        <v/>
      </c>
      <c r="D40" s="27">
        <f>Scenarios!$D$1820</f>
        <v/>
      </c>
      <c r="E40" s="34">
        <f>(D40-$D$33)*100</f>
        <v/>
      </c>
      <c r="F40" s="30">
        <f>MIN(Scenarios!$D$1816:AJ$1816)</f>
        <v/>
      </c>
    </row>
    <row r="41">
      <c r="B41" s="2" t="inlineStr">
        <is>
          <t>C8: Capacity charge bid 5 percent lower</t>
        </is>
      </c>
      <c r="C41" s="27">
        <f>Scenarios!$D$1867</f>
        <v/>
      </c>
      <c r="D41" s="27">
        <f>Scenarios!$D$1868</f>
        <v/>
      </c>
      <c r="E41" s="34">
        <f>(D41-$D$33)*100</f>
        <v/>
      </c>
      <c r="F41" s="30">
        <f>MIN(Scenarios!$D$1864:AJ$1864)</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B2:N17"/>
  <sheetViews>
    <sheetView showGridLines="0" workbookViewId="0">
      <selection activeCell="A1" sqref="A1"/>
    </sheetView>
  </sheetViews>
  <sheetFormatPr baseColWidth="8" defaultRowHeight="15"/>
  <cols>
    <col width="2" customWidth="1" min="1" max="1"/>
    <col width="58"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s>
  <sheetData>
    <row r="2">
      <c r="B2" s="1" t="inlineStr">
        <is>
          <t>Pell River: credit metrics</t>
        </is>
      </c>
    </row>
    <row r="3">
      <c r="B3" s="5" t="inlineStr">
        <is>
          <t>Basis: after tax. FFO = net income + depreciation. Floors are case assumptions, not agency criteria; cells below a floor turn red.</t>
        </is>
      </c>
    </row>
    <row r="5">
      <c r="B5" s="3" t="inlineStr">
        <is>
          <t>Year</t>
        </is>
      </c>
      <c r="E5" s="18">
        <f>Utility!E4</f>
        <v/>
      </c>
      <c r="F5" s="18">
        <f>Utility!F4</f>
        <v/>
      </c>
      <c r="G5" s="18">
        <f>Utility!G4</f>
        <v/>
      </c>
      <c r="H5" s="18">
        <f>Utility!H4</f>
        <v/>
      </c>
      <c r="I5" s="18">
        <f>Utility!I4</f>
        <v/>
      </c>
      <c r="J5" s="18">
        <f>Utility!J4</f>
        <v/>
      </c>
      <c r="K5" s="18">
        <f>Utility!K4</f>
        <v/>
      </c>
      <c r="L5" s="18">
        <f>Utility!L4</f>
        <v/>
      </c>
      <c r="M5" s="18">
        <f>Utility!M4</f>
        <v/>
      </c>
      <c r="N5" s="18">
        <f>Utility!N4</f>
        <v/>
      </c>
    </row>
    <row r="6">
      <c r="B6" s="2" t="inlineStr">
        <is>
          <t>FFO ($ million)</t>
        </is>
      </c>
      <c r="E6" s="23">
        <f>Utility!E72</f>
        <v/>
      </c>
      <c r="F6" s="23">
        <f>Utility!F72</f>
        <v/>
      </c>
      <c r="G6" s="23">
        <f>Utility!G72</f>
        <v/>
      </c>
      <c r="H6" s="23">
        <f>Utility!H72</f>
        <v/>
      </c>
      <c r="I6" s="23">
        <f>Utility!I72</f>
        <v/>
      </c>
      <c r="J6" s="23">
        <f>Utility!J72</f>
        <v/>
      </c>
      <c r="K6" s="23">
        <f>Utility!K72</f>
        <v/>
      </c>
      <c r="L6" s="23">
        <f>Utility!L72</f>
        <v/>
      </c>
      <c r="M6" s="23">
        <f>Utility!M72</f>
        <v/>
      </c>
      <c r="N6" s="23">
        <f>Utility!N72</f>
        <v/>
      </c>
    </row>
    <row r="7">
      <c r="B7" s="2" t="inlineStr">
        <is>
          <t>Operating company debt ($ million)</t>
        </is>
      </c>
      <c r="E7" s="23">
        <f>Utility!E63</f>
        <v/>
      </c>
      <c r="F7" s="23">
        <f>Utility!F63</f>
        <v/>
      </c>
      <c r="G7" s="23">
        <f>Utility!G63</f>
        <v/>
      </c>
      <c r="H7" s="23">
        <f>Utility!H63</f>
        <v/>
      </c>
      <c r="I7" s="23">
        <f>Utility!I63</f>
        <v/>
      </c>
      <c r="J7" s="23">
        <f>Utility!J63</f>
        <v/>
      </c>
      <c r="K7" s="23">
        <f>Utility!K63</f>
        <v/>
      </c>
      <c r="L7" s="23">
        <f>Utility!L63</f>
        <v/>
      </c>
      <c r="M7" s="23">
        <f>Utility!M63</f>
        <v/>
      </c>
      <c r="N7" s="23">
        <f>Utility!N63</f>
        <v/>
      </c>
    </row>
    <row r="8">
      <c r="B8" s="3" t="inlineStr">
        <is>
          <t>FFO to debt, operating company</t>
        </is>
      </c>
      <c r="E8" s="35">
        <f>E6/E7</f>
        <v/>
      </c>
      <c r="F8" s="35">
        <f>F6/F7</f>
        <v/>
      </c>
      <c r="G8" s="35">
        <f>G6/G7</f>
        <v/>
      </c>
      <c r="H8" s="35">
        <f>H6/H7</f>
        <v/>
      </c>
      <c r="I8" s="35">
        <f>I6/I7</f>
        <v/>
      </c>
      <c r="J8" s="35">
        <f>J6/J7</f>
        <v/>
      </c>
      <c r="K8" s="35">
        <f>K6/K7</f>
        <v/>
      </c>
      <c r="L8" s="35">
        <f>L6/L7</f>
        <v/>
      </c>
      <c r="M8" s="35">
        <f>M6/M7</f>
        <v/>
      </c>
      <c r="N8" s="35">
        <f>N6/N7</f>
        <v/>
      </c>
    </row>
    <row r="9">
      <c r="B9" s="2" t="inlineStr">
        <is>
          <t>FFO less holding company interest after tax ($ million)</t>
        </is>
      </c>
      <c r="E9" s="23">
        <f>E6-Deal!$D$16</f>
        <v/>
      </c>
      <c r="F9" s="23">
        <f>F6-Deal!$D$16</f>
        <v/>
      </c>
      <c r="G9" s="23">
        <f>G6-Deal!$D$16</f>
        <v/>
      </c>
      <c r="H9" s="23">
        <f>H6-Deal!$D$16</f>
        <v/>
      </c>
      <c r="I9" s="23">
        <f>I6-Deal!$D$16</f>
        <v/>
      </c>
      <c r="J9" s="23">
        <f>J6-Deal!$D$16</f>
        <v/>
      </c>
      <c r="K9" s="23">
        <f>K6-Deal!$D$16</f>
        <v/>
      </c>
      <c r="L9" s="23">
        <f>L6-Deal!$D$16</f>
        <v/>
      </c>
      <c r="M9" s="23">
        <f>M6-Deal!$D$16</f>
        <v/>
      </c>
      <c r="N9" s="23">
        <f>N6-Deal!$D$16</f>
        <v/>
      </c>
    </row>
    <row r="10">
      <c r="B10" s="2" t="inlineStr">
        <is>
          <t>Debt including the holding company loan ($ million)</t>
        </is>
      </c>
      <c r="E10" s="23">
        <f>E7+Deal!$D$12</f>
        <v/>
      </c>
      <c r="F10" s="23">
        <f>F7+Deal!$D$12</f>
        <v/>
      </c>
      <c r="G10" s="23">
        <f>G7+Deal!$D$12</f>
        <v/>
      </c>
      <c r="H10" s="23">
        <f>H7+Deal!$D$12</f>
        <v/>
      </c>
      <c r="I10" s="23">
        <f>I7+Deal!$D$12</f>
        <v/>
      </c>
      <c r="J10" s="23">
        <f>J7+Deal!$D$12</f>
        <v/>
      </c>
      <c r="K10" s="23">
        <f>K7+Deal!$D$12</f>
        <v/>
      </c>
      <c r="L10" s="23">
        <f>L7+Deal!$D$12</f>
        <v/>
      </c>
      <c r="M10" s="23">
        <f>M7+Deal!$D$12</f>
        <v/>
      </c>
      <c r="N10" s="23">
        <f>N7+Deal!$D$12</f>
        <v/>
      </c>
    </row>
    <row r="11">
      <c r="B11" s="3" t="inlineStr">
        <is>
          <t>FFO to debt, consolidated</t>
        </is>
      </c>
      <c r="E11" s="35">
        <f>E9/E10</f>
        <v/>
      </c>
      <c r="F11" s="35">
        <f>F9/F10</f>
        <v/>
      </c>
      <c r="G11" s="35">
        <f>G9/G10</f>
        <v/>
      </c>
      <c r="H11" s="35">
        <f>H9/H10</f>
        <v/>
      </c>
      <c r="I11" s="35">
        <f>I9/I10</f>
        <v/>
      </c>
      <c r="J11" s="35">
        <f>J9/J10</f>
        <v/>
      </c>
      <c r="K11" s="35">
        <f>K9/K10</f>
        <v/>
      </c>
      <c r="L11" s="35">
        <f>L9/L10</f>
        <v/>
      </c>
      <c r="M11" s="35">
        <f>M9/M10</f>
        <v/>
      </c>
      <c r="N11" s="35">
        <f>N9/N10</f>
        <v/>
      </c>
    </row>
    <row r="12">
      <c r="B12" s="3" t="inlineStr">
        <is>
          <t>Holding company interest cover (cash to shareholder / pre-tax interest)</t>
        </is>
      </c>
      <c r="E12" s="36">
        <f>IF(Deal!$D$12&gt;0,IF(Utility!E71&gt;0,Utility!E71/Deal!$D$15,"none"),"n.a.")</f>
        <v/>
      </c>
      <c r="F12" s="36">
        <f>IF(Deal!$D$12&gt;0,IF(Utility!F71&gt;0,Utility!F71/Deal!$D$15,"none"),"n.a.")</f>
        <v/>
      </c>
      <c r="G12" s="36">
        <f>IF(Deal!$D$12&gt;0,IF(Utility!G71&gt;0,Utility!G71/Deal!$D$15,"none"),"n.a.")</f>
        <v/>
      </c>
      <c r="H12" s="36">
        <f>IF(Deal!$D$12&gt;0,IF(Utility!H71&gt;0,Utility!H71/Deal!$D$15,"none"),"n.a.")</f>
        <v/>
      </c>
      <c r="I12" s="36">
        <f>IF(Deal!$D$12&gt;0,IF(Utility!I71&gt;0,Utility!I71/Deal!$D$15,"none"),"n.a.")</f>
        <v/>
      </c>
      <c r="J12" s="36">
        <f>IF(Deal!$D$12&gt;0,IF(Utility!J71&gt;0,Utility!J71/Deal!$D$15,"none"),"n.a.")</f>
        <v/>
      </c>
      <c r="K12" s="36">
        <f>IF(Deal!$D$12&gt;0,IF(Utility!K71&gt;0,Utility!K71/Deal!$D$15,"none"),"n.a.")</f>
        <v/>
      </c>
      <c r="L12" s="36">
        <f>IF(Deal!$D$12&gt;0,IF(Utility!L71&gt;0,Utility!L71/Deal!$D$15,"none"),"n.a.")</f>
        <v/>
      </c>
      <c r="M12" s="36">
        <f>IF(Deal!$D$12&gt;0,IF(Utility!M71&gt;0,Utility!M71/Deal!$D$15,"none"),"n.a.")</f>
        <v/>
      </c>
      <c r="N12" s="36">
        <f>IF(Deal!$D$12&gt;0,IF(Utility!N71&gt;0,Utility!N71/Deal!$D$15,"none"),"n.a.")</f>
        <v/>
      </c>
    </row>
    <row r="14">
      <c r="B14" s="6" t="inlineStr">
        <is>
          <t>Floors (case assumptions)</t>
        </is>
      </c>
    </row>
    <row r="15">
      <c r="B15" s="2" t="inlineStr">
        <is>
          <t>Operating company floor (single-A, case)</t>
        </is>
      </c>
      <c r="C15" s="20">
        <f>pr_ffo_opco</f>
        <v/>
      </c>
    </row>
    <row r="16">
      <c r="B16" s="2" t="inlineStr">
        <is>
          <t>Consolidated floor (investment grade, case)</t>
        </is>
      </c>
      <c r="C16" s="20">
        <f>pr_ffo_cons</f>
        <v/>
      </c>
    </row>
    <row r="17">
      <c r="B17" s="2" t="inlineStr">
        <is>
          <t>Years below the consolidated floor</t>
        </is>
      </c>
      <c r="C17" s="26">
        <f>COUNTIF(E11:N11,"&lt;"&amp;pr_ffo_cons)</f>
        <v/>
      </c>
    </row>
  </sheetData>
  <conditionalFormatting sqref="E8:N8">
    <cfRule type="cellIs" priority="1" operator="lessThan" dxfId="0">
      <formula>pr_ffo_opco</formula>
    </cfRule>
  </conditionalFormatting>
  <conditionalFormatting sqref="E11:N11">
    <cfRule type="cellIs" priority="2" operator="lessThan" dxfId="0">
      <formula>pr_ffo_cons</formula>
    </cfRule>
  </conditionalFormatting>
  <pageMargins left="0.75" right="0.75" top="1" bottom="1" header="0.5" footer="0.5"/>
</worksheet>
</file>

<file path=xl/worksheets/sheet10.xml><?xml version="1.0" encoding="utf-8"?>
<worksheet xmlns="http://schemas.openxmlformats.org/spreadsheetml/2006/main">
  <sheetPr>
    <outlinePr summaryBelow="1" summaryRight="1"/>
    <pageSetUpPr/>
  </sheetPr>
  <dimension ref="B2:N26"/>
  <sheetViews>
    <sheetView showGridLines="0" workbookViewId="0">
      <selection activeCell="A1" sqref="A1"/>
    </sheetView>
  </sheetViews>
  <sheetFormatPr baseColWidth="8" defaultRowHeight="15"/>
  <cols>
    <col width="2" customWidth="1" min="1" max="1"/>
    <col width="58"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s>
  <sheetData>
    <row r="2">
      <c r="B2" s="1" t="inlineStr">
        <is>
          <t>Pell River: bills, income and affordability</t>
        </is>
      </c>
    </row>
    <row r="3">
      <c r="B3" s="5" t="inlineStr">
        <is>
          <t>Basis: typical residential customer using 5,000 gallons a month; bills move with revenue per connection.</t>
        </is>
      </c>
    </row>
    <row r="5">
      <c r="B5" s="3" t="inlineStr">
        <is>
          <t>Year</t>
        </is>
      </c>
      <c r="E5" s="18">
        <f>Utility!E4</f>
        <v/>
      </c>
      <c r="F5" s="18">
        <f>Utility!F4</f>
        <v/>
      </c>
      <c r="G5" s="18">
        <f>Utility!G4</f>
        <v/>
      </c>
      <c r="H5" s="18">
        <f>Utility!H4</f>
        <v/>
      </c>
      <c r="I5" s="18">
        <f>Utility!I4</f>
        <v/>
      </c>
      <c r="J5" s="18">
        <f>Utility!J4</f>
        <v/>
      </c>
      <c r="K5" s="18">
        <f>Utility!K4</f>
        <v/>
      </c>
      <c r="L5" s="18">
        <f>Utility!L4</f>
        <v/>
      </c>
      <c r="M5" s="18">
        <f>Utility!M4</f>
        <v/>
      </c>
      <c r="N5" s="18">
        <f>Utility!N4</f>
        <v/>
      </c>
    </row>
    <row r="6">
      <c r="B6" s="2" t="inlineStr">
        <is>
          <t>Revenue per connection ($)</t>
        </is>
      </c>
      <c r="E6" s="19">
        <f>Utility!E43*1000000/Utility!E6</f>
        <v/>
      </c>
      <c r="F6" s="19">
        <f>Utility!F43*1000000/Utility!F6</f>
        <v/>
      </c>
      <c r="G6" s="19">
        <f>Utility!G43*1000000/Utility!G6</f>
        <v/>
      </c>
      <c r="H6" s="19">
        <f>Utility!H43*1000000/Utility!H6</f>
        <v/>
      </c>
      <c r="I6" s="19">
        <f>Utility!I43*1000000/Utility!I6</f>
        <v/>
      </c>
      <c r="J6" s="19">
        <f>Utility!J43*1000000/Utility!J6</f>
        <v/>
      </c>
      <c r="K6" s="19">
        <f>Utility!K43*1000000/Utility!K6</f>
        <v/>
      </c>
      <c r="L6" s="19">
        <f>Utility!L43*1000000/Utility!L6</f>
        <v/>
      </c>
      <c r="M6" s="19">
        <f>Utility!M43*1000000/Utility!M6</f>
        <v/>
      </c>
      <c r="N6" s="19">
        <f>Utility!N43*1000000/Utility!N6</f>
        <v/>
      </c>
    </row>
    <row r="7">
      <c r="B7" s="2" t="inlineStr">
        <is>
          <t>Index (2028 = 1)</t>
        </is>
      </c>
      <c r="E7" s="28">
        <f>E6/$E$6</f>
        <v/>
      </c>
      <c r="F7" s="28">
        <f>F6/$E$6</f>
        <v/>
      </c>
      <c r="G7" s="28">
        <f>G6/$E$6</f>
        <v/>
      </c>
      <c r="H7" s="28">
        <f>H6/$E$6</f>
        <v/>
      </c>
      <c r="I7" s="28">
        <f>I6/$E$6</f>
        <v/>
      </c>
      <c r="J7" s="28">
        <f>J6/$E$6</f>
        <v/>
      </c>
      <c r="K7" s="28">
        <f>K6/$E$6</f>
        <v/>
      </c>
      <c r="L7" s="28">
        <f>L6/$E$6</f>
        <v/>
      </c>
      <c r="M7" s="28">
        <f>M6/$E$6</f>
        <v/>
      </c>
      <c r="N7" s="28">
        <f>N6/$E$6</f>
        <v/>
      </c>
    </row>
    <row r="8">
      <c r="B8" s="2" t="inlineStr">
        <is>
          <t>Water bill ($ a month)</t>
        </is>
      </c>
      <c r="E8" s="22">
        <f>pr_bill_w*E7</f>
        <v/>
      </c>
      <c r="F8" s="22">
        <f>pr_bill_w*F7</f>
        <v/>
      </c>
      <c r="G8" s="22">
        <f>pr_bill_w*G7</f>
        <v/>
      </c>
      <c r="H8" s="22">
        <f>pr_bill_w*H7</f>
        <v/>
      </c>
      <c r="I8" s="22">
        <f>pr_bill_w*I7</f>
        <v/>
      </c>
      <c r="J8" s="22">
        <f>pr_bill_w*J7</f>
        <v/>
      </c>
      <c r="K8" s="22">
        <f>pr_bill_w*K7</f>
        <v/>
      </c>
      <c r="L8" s="22">
        <f>pr_bill_w*L7</f>
        <v/>
      </c>
      <c r="M8" s="22">
        <f>pr_bill_w*M7</f>
        <v/>
      </c>
      <c r="N8" s="22">
        <f>pr_bill_w*N7</f>
        <v/>
      </c>
    </row>
    <row r="9">
      <c r="B9" s="2" t="inlineStr">
        <is>
          <t>Wastewater bill ($ a month)</t>
        </is>
      </c>
      <c r="E9" s="22">
        <f>pr_bill_ww*E7</f>
        <v/>
      </c>
      <c r="F9" s="22">
        <f>pr_bill_ww*F7</f>
        <v/>
      </c>
      <c r="G9" s="22">
        <f>pr_bill_ww*G7</f>
        <v/>
      </c>
      <c r="H9" s="22">
        <f>pr_bill_ww*H7</f>
        <v/>
      </c>
      <c r="I9" s="22">
        <f>pr_bill_ww*I7</f>
        <v/>
      </c>
      <c r="J9" s="22">
        <f>pr_bill_ww*J7</f>
        <v/>
      </c>
      <c r="K9" s="22">
        <f>pr_bill_ww*K7</f>
        <v/>
      </c>
      <c r="L9" s="22">
        <f>pr_bill_ww*L7</f>
        <v/>
      </c>
      <c r="M9" s="22">
        <f>pr_bill_ww*M7</f>
        <v/>
      </c>
      <c r="N9" s="22">
        <f>pr_bill_ww*N7</f>
        <v/>
      </c>
    </row>
    <row r="10">
      <c r="B10" s="3" t="inlineStr">
        <is>
          <t>Combined bill ($ a month)</t>
        </is>
      </c>
      <c r="E10" s="37">
        <f>E8+E9</f>
        <v/>
      </c>
      <c r="F10" s="37">
        <f>F8+F9</f>
        <v/>
      </c>
      <c r="G10" s="37">
        <f>G8+G9</f>
        <v/>
      </c>
      <c r="H10" s="37">
        <f>H8+H9</f>
        <v/>
      </c>
      <c r="I10" s="37">
        <f>I8+I9</f>
        <v/>
      </c>
      <c r="J10" s="37">
        <f>J8+J9</f>
        <v/>
      </c>
      <c r="K10" s="37">
        <f>K8+K9</f>
        <v/>
      </c>
      <c r="L10" s="37">
        <f>L8+L9</f>
        <v/>
      </c>
      <c r="M10" s="37">
        <f>M8+M9</f>
        <v/>
      </c>
      <c r="N10" s="37">
        <f>N8+N9</f>
        <v/>
      </c>
    </row>
    <row r="11">
      <c r="B11" s="2" t="inlineStr">
        <is>
          <t>Combined bill ($ a year)</t>
        </is>
      </c>
      <c r="E11" s="19">
        <f>E10*12</f>
        <v/>
      </c>
      <c r="F11" s="19">
        <f>F10*12</f>
        <v/>
      </c>
      <c r="G11" s="19">
        <f>G10*12</f>
        <v/>
      </c>
      <c r="H11" s="19">
        <f>H10*12</f>
        <v/>
      </c>
      <c r="I11" s="19">
        <f>I10*12</f>
        <v/>
      </c>
      <c r="J11" s="19">
        <f>J10*12</f>
        <v/>
      </c>
      <c r="K11" s="19">
        <f>K10*12</f>
        <v/>
      </c>
      <c r="L11" s="19">
        <f>L10*12</f>
        <v/>
      </c>
      <c r="M11" s="19">
        <f>M10*12</f>
        <v/>
      </c>
      <c r="N11" s="19">
        <f>N10*12</f>
        <v/>
      </c>
    </row>
    <row r="12">
      <c r="B12" s="2" t="inlineStr">
        <is>
          <t>Median household income, service area ($)</t>
        </is>
      </c>
      <c r="E12" s="19">
        <f>pr_mhi*(1+pr_mhi_growth)^(E$5-pr_close-1)</f>
        <v/>
      </c>
      <c r="F12" s="19">
        <f>pr_mhi*(1+pr_mhi_growth)^(F$5-pr_close-1)</f>
        <v/>
      </c>
      <c r="G12" s="19">
        <f>pr_mhi*(1+pr_mhi_growth)^(G$5-pr_close-1)</f>
        <v/>
      </c>
      <c r="H12" s="19">
        <f>pr_mhi*(1+pr_mhi_growth)^(H$5-pr_close-1)</f>
        <v/>
      </c>
      <c r="I12" s="19">
        <f>pr_mhi*(1+pr_mhi_growth)^(I$5-pr_close-1)</f>
        <v/>
      </c>
      <c r="J12" s="19">
        <f>pr_mhi*(1+pr_mhi_growth)^(J$5-pr_close-1)</f>
        <v/>
      </c>
      <c r="K12" s="19">
        <f>pr_mhi*(1+pr_mhi_growth)^(K$5-pr_close-1)</f>
        <v/>
      </c>
      <c r="L12" s="19">
        <f>pr_mhi*(1+pr_mhi_growth)^(L$5-pr_close-1)</f>
        <v/>
      </c>
      <c r="M12" s="19">
        <f>pr_mhi*(1+pr_mhi_growth)^(M$5-pr_close-1)</f>
        <v/>
      </c>
      <c r="N12" s="19">
        <f>pr_mhi*(1+pr_mhi_growth)^(N$5-pr_close-1)</f>
        <v/>
      </c>
    </row>
    <row r="13">
      <c r="B13" s="2" t="inlineStr">
        <is>
          <t>Median household income, lowest-income tract ($)</t>
        </is>
      </c>
      <c r="E13" s="19">
        <f>pr_mhi_low*(1+pr_mhi_growth)^(E$5-pr_close-1)</f>
        <v/>
      </c>
      <c r="F13" s="19">
        <f>pr_mhi_low*(1+pr_mhi_growth)^(F$5-pr_close-1)</f>
        <v/>
      </c>
      <c r="G13" s="19">
        <f>pr_mhi_low*(1+pr_mhi_growth)^(G$5-pr_close-1)</f>
        <v/>
      </c>
      <c r="H13" s="19">
        <f>pr_mhi_low*(1+pr_mhi_growth)^(H$5-pr_close-1)</f>
        <v/>
      </c>
      <c r="I13" s="19">
        <f>pr_mhi_low*(1+pr_mhi_growth)^(I$5-pr_close-1)</f>
        <v/>
      </c>
      <c r="J13" s="19">
        <f>pr_mhi_low*(1+pr_mhi_growth)^(J$5-pr_close-1)</f>
        <v/>
      </c>
      <c r="K13" s="19">
        <f>pr_mhi_low*(1+pr_mhi_growth)^(K$5-pr_close-1)</f>
        <v/>
      </c>
      <c r="L13" s="19">
        <f>pr_mhi_low*(1+pr_mhi_growth)^(L$5-pr_close-1)</f>
        <v/>
      </c>
      <c r="M13" s="19">
        <f>pr_mhi_low*(1+pr_mhi_growth)^(M$5-pr_close-1)</f>
        <v/>
      </c>
      <c r="N13" s="19">
        <f>pr_mhi_low*(1+pr_mhi_growth)^(N$5-pr_close-1)</f>
        <v/>
      </c>
    </row>
    <row r="14">
      <c r="B14" s="2" t="inlineStr">
        <is>
          <t>Bill / income, service area</t>
        </is>
      </c>
      <c r="E14" s="27">
        <f>E11/E12</f>
        <v/>
      </c>
      <c r="F14" s="27">
        <f>F11/F12</f>
        <v/>
      </c>
      <c r="G14" s="27">
        <f>G11/G12</f>
        <v/>
      </c>
      <c r="H14" s="27">
        <f>H11/H12</f>
        <v/>
      </c>
      <c r="I14" s="27">
        <f>I11/I12</f>
        <v/>
      </c>
      <c r="J14" s="27">
        <f>J11/J12</f>
        <v/>
      </c>
      <c r="K14" s="27">
        <f>K11/K12</f>
        <v/>
      </c>
      <c r="L14" s="27">
        <f>L11/L12</f>
        <v/>
      </c>
      <c r="M14" s="27">
        <f>M11/M12</f>
        <v/>
      </c>
      <c r="N14" s="27">
        <f>N11/N12</f>
        <v/>
      </c>
    </row>
    <row r="15">
      <c r="B15" s="2" t="inlineStr">
        <is>
          <t>Bill / income, lowest-income tract</t>
        </is>
      </c>
      <c r="E15" s="27">
        <f>E11/E13</f>
        <v/>
      </c>
      <c r="F15" s="27">
        <f>F11/F13</f>
        <v/>
      </c>
      <c r="G15" s="27">
        <f>G11/G13</f>
        <v/>
      </c>
      <c r="H15" s="27">
        <f>H11/H13</f>
        <v/>
      </c>
      <c r="I15" s="27">
        <f>I11/I13</f>
        <v/>
      </c>
      <c r="J15" s="27">
        <f>J11/J13</f>
        <v/>
      </c>
      <c r="K15" s="27">
        <f>K11/K13</f>
        <v/>
      </c>
      <c r="L15" s="27">
        <f>L11/L13</f>
        <v/>
      </c>
      <c r="M15" s="27">
        <f>M11/M13</f>
        <v/>
      </c>
      <c r="N15" s="27">
        <f>N11/N13</f>
        <v/>
      </c>
    </row>
    <row r="16">
      <c r="B16" s="2" t="inlineStr">
        <is>
          <t>Above the screen? (lowest-income tract)</t>
        </is>
      </c>
      <c r="E16" s="2">
        <f>IF(E15&gt;pr_screen,"above","below")</f>
        <v/>
      </c>
      <c r="F16" s="2">
        <f>IF(F15&gt;pr_screen,"above","below")</f>
        <v/>
      </c>
      <c r="G16" s="2">
        <f>IF(G15&gt;pr_screen,"above","below")</f>
        <v/>
      </c>
      <c r="H16" s="2">
        <f>IF(H15&gt;pr_screen,"above","below")</f>
        <v/>
      </c>
      <c r="I16" s="2">
        <f>IF(I15&gt;pr_screen,"above","below")</f>
        <v/>
      </c>
      <c r="J16" s="2">
        <f>IF(J15&gt;pr_screen,"above","below")</f>
        <v/>
      </c>
      <c r="K16" s="2">
        <f>IF(K15&gt;pr_screen,"above","below")</f>
        <v/>
      </c>
      <c r="L16" s="2">
        <f>IF(L15&gt;pr_screen,"above","below")</f>
        <v/>
      </c>
      <c r="M16" s="2">
        <f>IF(M15&gt;pr_screen,"above","below")</f>
        <v/>
      </c>
      <c r="N16" s="2">
        <f>IF(N15&gt;pr_screen,"above","below")</f>
        <v/>
      </c>
    </row>
    <row r="18">
      <c r="B18" s="6" t="inlineStr">
        <is>
          <t>Path, low-income program and demand</t>
        </is>
      </c>
    </row>
    <row r="19">
      <c r="B19" s="2" t="inlineStr">
        <is>
          <t>Combined bill 2037 / 2028</t>
        </is>
      </c>
      <c r="C19" s="20">
        <f>N10/E10-1</f>
        <v/>
      </c>
    </row>
    <row r="20">
      <c r="B20" s="2" t="inlineStr">
        <is>
          <t>A year</t>
        </is>
      </c>
      <c r="C20" s="20">
        <f>(N10/E10)^(1/(pr_last-pr_close-1))-1</f>
        <v/>
      </c>
    </row>
    <row r="21">
      <c r="B21" s="2" t="inlineStr">
        <is>
          <t>Residential revenue, 2028 ($ million)</t>
        </is>
      </c>
      <c r="C21" s="23">
        <f>pr_resid*Utility!$E$43</f>
        <v/>
      </c>
    </row>
    <row r="22">
      <c r="B22" s="2" t="inlineStr">
        <is>
          <t>Low-income discount cost a year ($ million)</t>
        </is>
      </c>
      <c r="C22" s="23">
        <f>C21*pr_lic_share*pr_lic_disc</f>
        <v/>
      </c>
    </row>
    <row r="23">
      <c r="B23" s="2" t="inlineStr">
        <is>
          <t>Uplift on other residential bills</t>
        </is>
      </c>
      <c r="C23" s="20">
        <f>C22/(C21*(1-pr_lic_share))</f>
        <v/>
      </c>
    </row>
    <row r="24">
      <c r="B24" s="2" t="inlineStr">
        <is>
          <t>Revenue lost a year between rate cases without decoupling</t>
        </is>
      </c>
      <c r="C24" s="20">
        <f>pr_vol_share*pr_usage</f>
        <v/>
      </c>
    </row>
    <row r="25">
      <c r="B25" s="2" t="inlineStr">
        <is>
          <t>Revenue per connection 2028 ($)</t>
        </is>
      </c>
      <c r="C25" s="19">
        <f>E6</f>
        <v/>
      </c>
    </row>
    <row r="26">
      <c r="B26" s="2" t="inlineStr">
        <is>
          <t>Revenue per connection 2037 ($)</t>
        </is>
      </c>
      <c r="C26" s="19">
        <f>N6</f>
        <v/>
      </c>
    </row>
  </sheetData>
  <pageMargins left="0.75" right="0.75" top="1" bottom="1" header="0.5" footer="0.5"/>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B2:I58"/>
  <sheetViews>
    <sheetView showGridLines="0" workbookViewId="0">
      <selection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58" customWidth="1" min="8" max="8"/>
    <col width="13" customWidth="1" min="9" max="9"/>
  </cols>
  <sheetData>
    <row r="2">
      <c r="B2" s="1" t="inlineStr">
        <is>
          <t>Fennick: fair market value purchase and the 40-year concession alternative</t>
        </is>
      </c>
    </row>
    <row r="3">
      <c r="B3" s="5" t="inlineStr">
        <is>
          <t>Basis: after tax for the purchase (regulated return); concession cash flows before tax at the concessionaire's target.</t>
        </is>
      </c>
    </row>
    <row r="5">
      <c r="B5" s="6" t="inlineStr">
        <is>
          <t>Fair market value purchase</t>
        </is>
      </c>
    </row>
    <row r="6">
      <c r="B6" s="2" t="inlineStr">
        <is>
          <t>Price</t>
        </is>
      </c>
      <c r="C6" s="23">
        <f>pr_fen_price</f>
        <v/>
      </c>
    </row>
    <row r="7">
      <c r="B7" s="2" t="inlineStr">
        <is>
          <t>Per connection ($)</t>
        </is>
      </c>
      <c r="C7" s="19">
        <f>pr_fen_price*1000000/pr_fen_conn</f>
        <v/>
      </c>
    </row>
    <row r="8">
      <c r="B8" s="2" t="inlineStr">
        <is>
          <t>Depreciated original cost</t>
        </is>
      </c>
      <c r="C8" s="23">
        <f>pr_fen_doc</f>
        <v/>
      </c>
    </row>
    <row r="9">
      <c r="B9" s="2" t="inlineStr">
        <is>
          <t>Per connection ($)</t>
        </is>
      </c>
      <c r="C9" s="19">
        <f>pr_fen_doc*1000000/pr_fen_conn</f>
        <v/>
      </c>
    </row>
    <row r="10">
      <c r="B10" s="2" t="inlineStr">
        <is>
          <t>Price / original cost</t>
        </is>
      </c>
      <c r="C10" s="30">
        <f>C6/C8</f>
        <v/>
      </c>
    </row>
    <row r="11">
      <c r="B11" s="2" t="inlineStr">
        <is>
          <t>Premium above original cost</t>
        </is>
      </c>
      <c r="C11" s="23">
        <f>C6-C8</f>
        <v/>
      </c>
    </row>
    <row r="12">
      <c r="B12" s="2" t="inlineStr">
        <is>
          <t>Carrying charge (return at new-debt cost, tax, depreciation, other taxes)</t>
        </is>
      </c>
      <c r="C12" s="27">
        <f>pr_eq*pr_roe+(1-pr_eq)*pr_kd_new+pr_eq*pr_roe*pr_tax/(1-pr_tax)+pr_dep+pr_ptax</f>
        <v/>
      </c>
    </row>
    <row r="13">
      <c r="B13" s="2" t="inlineStr">
        <is>
          <t>Revenue requirement of the premium a year</t>
        </is>
      </c>
      <c r="C13" s="23">
        <f>C11*C12</f>
        <v/>
      </c>
    </row>
    <row r="14">
      <c r="B14" s="2" t="inlineStr">
        <is>
          <t>Per Fennick connection a month ($)</t>
        </is>
      </c>
      <c r="C14" s="22">
        <f>C13*1000000/pr_fen_conn/12</f>
        <v/>
      </c>
    </row>
    <row r="15">
      <c r="B15" s="2" t="inlineStr">
        <is>
          <t>Spread over all connections after consolidation, a month ($)</t>
        </is>
      </c>
      <c r="C15" s="22">
        <f>C13*1000000/(pr_water_conn+pr_ww_conn+pr_fen_conn)/12</f>
        <v/>
      </c>
    </row>
    <row r="17">
      <c r="B17" s="6" t="inlineStr">
        <is>
          <t>Concession alternative (year, revenue, cost, cash flow)</t>
        </is>
      </c>
      <c r="H17" s="3" t="inlineStr">
        <is>
          <t>Concession results</t>
        </is>
      </c>
    </row>
    <row r="18">
      <c r="B18" s="3" t="inlineStr">
        <is>
          <t>Concession year</t>
        </is>
      </c>
      <c r="C18" s="3" t="inlineStr">
        <is>
          <t>Year</t>
        </is>
      </c>
      <c r="D18" s="3" t="inlineStr">
        <is>
          <t>Revenue</t>
        </is>
      </c>
      <c r="E18" s="3" t="inlineStr">
        <is>
          <t>O&amp;M and capital</t>
        </is>
      </c>
      <c r="F18" s="3" t="inlineStr">
        <is>
          <t>Cash flow</t>
        </is>
      </c>
      <c r="H18" s="2" t="inlineStr">
        <is>
          <t>Upfront fee at the target return (PV of the cash flows, solved directly)</t>
        </is>
      </c>
      <c r="I18" s="24">
        <f>NPV(fen_conc_irr,F19:F58)</f>
        <v/>
      </c>
    </row>
    <row r="19">
      <c r="B19" s="26" t="n">
        <v>1</v>
      </c>
      <c r="C19" s="26">
        <f>fen_conc_start+B19-1</f>
        <v/>
      </c>
      <c r="D19" s="23">
        <f>IF(B19&lt;=fen_conc_years,pr_fen_rev*((1+fen_conc_infl)*(1+fen_conc_real))^(B19-1),0)</f>
        <v/>
      </c>
      <c r="E19" s="23">
        <f>IF(B19&lt;=fen_conc_years,(pr_fen_om+pr_fen_capex)*(1+fen_conc_infl)^(B19-1),0)</f>
        <v/>
      </c>
      <c r="F19" s="23">
        <f>D19-E19</f>
        <v/>
      </c>
      <c r="H19" s="2" t="inlineStr">
        <is>
          <t>First-year cash flow</t>
        </is>
      </c>
      <c r="I19" s="23">
        <f>F19</f>
        <v/>
      </c>
    </row>
    <row r="20">
      <c r="B20" s="26" t="n">
        <v>2</v>
      </c>
      <c r="C20" s="26">
        <f>fen_conc_start+B20-1</f>
        <v/>
      </c>
      <c r="D20" s="23">
        <f>IF(B20&lt;=fen_conc_years,pr_fen_rev*((1+fen_conc_infl)*(1+fen_conc_real))^(B20-1),0)</f>
        <v/>
      </c>
      <c r="E20" s="23">
        <f>IF(B20&lt;=fen_conc_years,(pr_fen_om+pr_fen_capex)*(1+fen_conc_infl)^(B20-1),0)</f>
        <v/>
      </c>
      <c r="F20" s="23">
        <f>D20-E20</f>
        <v/>
      </c>
      <c r="H20" s="2" t="inlineStr">
        <is>
          <t>Year-40 cash flow</t>
        </is>
      </c>
      <c r="I20" s="23">
        <f>F58</f>
        <v/>
      </c>
    </row>
    <row r="21">
      <c r="B21" s="26" t="n">
        <v>3</v>
      </c>
      <c r="C21" s="26">
        <f>fen_conc_start+B21-1</f>
        <v/>
      </c>
      <c r="D21" s="23">
        <f>IF(B21&lt;=fen_conc_years,pr_fen_rev*((1+fen_conc_infl)*(1+fen_conc_real))^(B21-1),0)</f>
        <v/>
      </c>
      <c r="E21" s="23">
        <f>IF(B21&lt;=fen_conc_years,(pr_fen_om+pr_fen_capex)*(1+fen_conc_infl)^(B21-1),0)</f>
        <v/>
      </c>
      <c r="F21" s="23">
        <f>D21-E21</f>
        <v/>
      </c>
      <c r="H21" s="2" t="inlineStr">
        <is>
          <t>Year-40 revenue</t>
        </is>
      </c>
      <c r="I21" s="23">
        <f>D58</f>
        <v/>
      </c>
    </row>
    <row r="22">
      <c r="B22" s="26" t="n">
        <v>4</v>
      </c>
      <c r="C22" s="26">
        <f>fen_conc_start+B22-1</f>
        <v/>
      </c>
      <c r="D22" s="23">
        <f>IF(B22&lt;=fen_conc_years,pr_fen_rev*((1+fen_conc_infl)*(1+fen_conc_real))^(B22-1),0)</f>
        <v/>
      </c>
      <c r="E22" s="23">
        <f>IF(B22&lt;=fen_conc_years,(pr_fen_om+pr_fen_capex)*(1+fen_conc_infl)^(B22-1),0)</f>
        <v/>
      </c>
      <c r="F22" s="23">
        <f>D22-E22</f>
        <v/>
      </c>
      <c r="H22" s="2" t="inlineStr">
        <is>
          <t>Total cash flow</t>
        </is>
      </c>
      <c r="I22" s="23">
        <f>SUM(F19:F58)</f>
        <v/>
      </c>
    </row>
    <row r="23">
      <c r="B23" s="26" t="n">
        <v>5</v>
      </c>
      <c r="C23" s="26">
        <f>fen_conc_start+B23-1</f>
        <v/>
      </c>
      <c r="D23" s="23">
        <f>IF(B23&lt;=fen_conc_years,pr_fen_rev*((1+fen_conc_infl)*(1+fen_conc_real))^(B23-1),0)</f>
        <v/>
      </c>
      <c r="E23" s="23">
        <f>IF(B23&lt;=fen_conc_years,(pr_fen_om+pr_fen_capex)*(1+fen_conc_infl)^(B23-1),0)</f>
        <v/>
      </c>
      <c r="F23" s="23">
        <f>D23-E23</f>
        <v/>
      </c>
    </row>
    <row r="24">
      <c r="B24" s="26" t="n">
        <v>6</v>
      </c>
      <c r="C24" s="26">
        <f>fen_conc_start+B24-1</f>
        <v/>
      </c>
      <c r="D24" s="23">
        <f>IF(B24&lt;=fen_conc_years,pr_fen_rev*((1+fen_conc_infl)*(1+fen_conc_real))^(B24-1),0)</f>
        <v/>
      </c>
      <c r="E24" s="23">
        <f>IF(B24&lt;=fen_conc_years,(pr_fen_om+pr_fen_capex)*(1+fen_conc_infl)^(B24-1),0)</f>
        <v/>
      </c>
      <c r="F24" s="23">
        <f>D24-E24</f>
        <v/>
      </c>
      <c r="H24" s="3" t="inlineStr">
        <is>
          <t>Fennick in the returns (scenario F0)</t>
        </is>
      </c>
    </row>
    <row r="25">
      <c r="B25" s="26" t="n">
        <v>7</v>
      </c>
      <c r="C25" s="26">
        <f>fen_conc_start+B25-1</f>
        <v/>
      </c>
      <c r="D25" s="23">
        <f>IF(B25&lt;=fen_conc_years,pr_fen_rev*((1+fen_conc_infl)*(1+fen_conc_real))^(B25-1),0)</f>
        <v/>
      </c>
      <c r="E25" s="23">
        <f>IF(B25&lt;=fen_conc_years,(pr_fen_om+pr_fen_capex)*(1+fen_conc_infl)^(B25-1),0)</f>
        <v/>
      </c>
      <c r="F25" s="23">
        <f>D25-E25</f>
        <v/>
      </c>
      <c r="H25" s="2" t="inlineStr">
        <is>
          <t>Rate base at exit with Fennick</t>
        </is>
      </c>
      <c r="I25" s="23">
        <f>Deal!$D$35</f>
        <v/>
      </c>
    </row>
    <row r="26">
      <c r="B26" s="26" t="n">
        <v>8</v>
      </c>
      <c r="C26" s="26">
        <f>fen_conc_start+B26-1</f>
        <v/>
      </c>
      <c r="D26" s="23">
        <f>IF(B26&lt;=fen_conc_years,pr_fen_rev*((1+fen_conc_infl)*(1+fen_conc_real))^(B26-1),0)</f>
        <v/>
      </c>
      <c r="E26" s="23">
        <f>IF(B26&lt;=fen_conc_years,(pr_fen_om+pr_fen_capex)*(1+fen_conc_infl)^(B26-1),0)</f>
        <v/>
      </c>
      <c r="F26" s="23">
        <f>D26-E26</f>
        <v/>
      </c>
      <c r="H26" s="2" t="inlineStr">
        <is>
          <t>Without Fennick</t>
        </is>
      </c>
      <c r="I26" s="23">
        <f>Scenarios!$D$1485</f>
        <v/>
      </c>
    </row>
    <row r="27">
      <c r="B27" s="26" t="n">
        <v>9</v>
      </c>
      <c r="C27" s="26">
        <f>fen_conc_start+B27-1</f>
        <v/>
      </c>
      <c r="D27" s="23">
        <f>IF(B27&lt;=fen_conc_years,pr_fen_rev*((1+fen_conc_infl)*(1+fen_conc_real))^(B27-1),0)</f>
        <v/>
      </c>
      <c r="E27" s="23">
        <f>IF(B27&lt;=fen_conc_years,(pr_fen_om+pr_fen_capex)*(1+fen_conc_infl)^(B27-1),0)</f>
        <v/>
      </c>
      <c r="F27" s="23">
        <f>D27-E27</f>
        <v/>
      </c>
      <c r="H27" s="2" t="inlineStr">
        <is>
          <t>Exit equity with Fennick</t>
        </is>
      </c>
      <c r="I27" s="23">
        <f>Deal!$D$38</f>
        <v/>
      </c>
    </row>
    <row r="28">
      <c r="B28" s="26" t="n">
        <v>10</v>
      </c>
      <c r="C28" s="26">
        <f>fen_conc_start+B28-1</f>
        <v/>
      </c>
      <c r="D28" s="23">
        <f>IF(B28&lt;=fen_conc_years,pr_fen_rev*((1+fen_conc_infl)*(1+fen_conc_real))^(B28-1),0)</f>
        <v/>
      </c>
      <c r="E28" s="23">
        <f>IF(B28&lt;=fen_conc_years,(pr_fen_om+pr_fen_capex)*(1+fen_conc_infl)^(B28-1),0)</f>
        <v/>
      </c>
      <c r="F28" s="23">
        <f>D28-E28</f>
        <v/>
      </c>
      <c r="H28" s="2" t="inlineStr">
        <is>
          <t>Without Fennick</t>
        </is>
      </c>
      <c r="I28" s="23">
        <f>Scenarios!$D$1484</f>
        <v/>
      </c>
    </row>
    <row r="29">
      <c r="B29" s="26" t="n">
        <v>11</v>
      </c>
      <c r="C29" s="26">
        <f>fen_conc_start+B29-1</f>
        <v/>
      </c>
      <c r="D29" s="23">
        <f>IF(B29&lt;=fen_conc_years,pr_fen_rev*((1+fen_conc_infl)*(1+fen_conc_real))^(B29-1),0)</f>
        <v/>
      </c>
      <c r="E29" s="23">
        <f>IF(B29&lt;=fen_conc_years,(pr_fen_om+pr_fen_capex)*(1+fen_conc_infl)^(B29-1),0)</f>
        <v/>
      </c>
      <c r="F29" s="23">
        <f>D29-E29</f>
        <v/>
      </c>
      <c r="H29" s="2" t="inlineStr">
        <is>
          <t>Levered IRR with Fennick</t>
        </is>
      </c>
      <c r="I29" s="27">
        <f>Deal!$D$31</f>
        <v/>
      </c>
    </row>
    <row r="30">
      <c r="B30" s="26" t="n">
        <v>12</v>
      </c>
      <c r="C30" s="26">
        <f>fen_conc_start+B30-1</f>
        <v/>
      </c>
      <c r="D30" s="23">
        <f>IF(B30&lt;=fen_conc_years,pr_fen_rev*((1+fen_conc_infl)*(1+fen_conc_real))^(B30-1),0)</f>
        <v/>
      </c>
      <c r="E30" s="23">
        <f>IF(B30&lt;=fen_conc_years,(pr_fen_om+pr_fen_capex)*(1+fen_conc_infl)^(B30-1),0)</f>
        <v/>
      </c>
      <c r="F30" s="23">
        <f>D30-E30</f>
        <v/>
      </c>
      <c r="H30" s="2" t="inlineStr">
        <is>
          <t>Without Fennick</t>
        </is>
      </c>
      <c r="I30" s="27">
        <f>Scenarios!$D$1481</f>
        <v/>
      </c>
    </row>
    <row r="31">
      <c r="B31" s="26" t="n">
        <v>13</v>
      </c>
      <c r="C31" s="26">
        <f>fen_conc_start+B31-1</f>
        <v/>
      </c>
      <c r="D31" s="23">
        <f>IF(B31&lt;=fen_conc_years,pr_fen_rev*((1+fen_conc_infl)*(1+fen_conc_real))^(B31-1),0)</f>
        <v/>
      </c>
      <c r="E31" s="23">
        <f>IF(B31&lt;=fen_conc_years,(pr_fen_om+pr_fen_capex)*(1+fen_conc_infl)^(B31-1),0)</f>
        <v/>
      </c>
      <c r="F31" s="23">
        <f>D31-E31</f>
        <v/>
      </c>
      <c r="H31" s="2" t="inlineStr">
        <is>
          <t>Tuck-in logic: enterprise value per $1 of acquired rate base</t>
        </is>
      </c>
      <c r="I31" s="22">
        <f>pr_exit_mult</f>
        <v/>
      </c>
    </row>
    <row r="32">
      <c r="B32" s="26" t="n">
        <v>14</v>
      </c>
      <c r="C32" s="26">
        <f>fen_conc_start+B32-1</f>
        <v/>
      </c>
      <c r="D32" s="23">
        <f>IF(B32&lt;=fen_conc_years,pr_fen_rev*((1+fen_conc_infl)*(1+fen_conc_real))^(B32-1),0)</f>
        <v/>
      </c>
      <c r="E32" s="23">
        <f>IF(B32&lt;=fen_conc_years,(pr_fen_om+pr_fen_capex)*(1+fen_conc_infl)^(B32-1),0)</f>
        <v/>
      </c>
      <c r="F32" s="23">
        <f>D32-E32</f>
        <v/>
      </c>
      <c r="H32" s="2" t="inlineStr">
        <is>
          <t>Less debt per $1</t>
        </is>
      </c>
      <c r="I32" s="22">
        <f>1-pr_eq</f>
        <v/>
      </c>
    </row>
    <row r="33">
      <c r="B33" s="26" t="n">
        <v>15</v>
      </c>
      <c r="C33" s="26">
        <f>fen_conc_start+B33-1</f>
        <v/>
      </c>
      <c r="D33" s="23">
        <f>IF(B33&lt;=fen_conc_years,pr_fen_rev*((1+fen_conc_infl)*(1+fen_conc_real))^(B33-1),0)</f>
        <v/>
      </c>
      <c r="E33" s="23">
        <f>IF(B33&lt;=fen_conc_years,(pr_fen_om+pr_fen_capex)*(1+fen_conc_infl)^(B33-1),0)</f>
        <v/>
      </c>
      <c r="F33" s="23">
        <f>D33-E33</f>
        <v/>
      </c>
      <c r="H33" s="2" t="inlineStr">
        <is>
          <t>Equity to fund $1</t>
        </is>
      </c>
      <c r="I33" s="22">
        <f>pr_eq</f>
        <v/>
      </c>
    </row>
    <row r="34">
      <c r="B34" s="26" t="n">
        <v>16</v>
      </c>
      <c r="C34" s="26">
        <f>fen_conc_start+B34-1</f>
        <v/>
      </c>
      <c r="D34" s="23">
        <f>IF(B34&lt;=fen_conc_years,pr_fen_rev*((1+fen_conc_infl)*(1+fen_conc_real))^(B34-1),0)</f>
        <v/>
      </c>
      <c r="E34" s="23">
        <f>IF(B34&lt;=fen_conc_years,(pr_fen_om+pr_fen_capex)*(1+fen_conc_infl)^(B34-1),0)</f>
        <v/>
      </c>
      <c r="F34" s="23">
        <f>D34-E34</f>
        <v/>
      </c>
    </row>
    <row r="35">
      <c r="B35" s="26" t="n">
        <v>17</v>
      </c>
      <c r="C35" s="26">
        <f>fen_conc_start+B35-1</f>
        <v/>
      </c>
      <c r="D35" s="23">
        <f>IF(B35&lt;=fen_conc_years,pr_fen_rev*((1+fen_conc_infl)*(1+fen_conc_real))^(B35-1),0)</f>
        <v/>
      </c>
      <c r="E35" s="23">
        <f>IF(B35&lt;=fen_conc_years,(pr_fen_om+pr_fen_capex)*(1+fen_conc_infl)^(B35-1),0)</f>
        <v/>
      </c>
      <c r="F35" s="23">
        <f>D35-E35</f>
        <v/>
      </c>
    </row>
    <row r="36">
      <c r="B36" s="26" t="n">
        <v>18</v>
      </c>
      <c r="C36" s="26">
        <f>fen_conc_start+B36-1</f>
        <v/>
      </c>
      <c r="D36" s="23">
        <f>IF(B36&lt;=fen_conc_years,pr_fen_rev*((1+fen_conc_infl)*(1+fen_conc_real))^(B36-1),0)</f>
        <v/>
      </c>
      <c r="E36" s="23">
        <f>IF(B36&lt;=fen_conc_years,(pr_fen_om+pr_fen_capex)*(1+fen_conc_infl)^(B36-1),0)</f>
        <v/>
      </c>
      <c r="F36" s="23">
        <f>D36-E36</f>
        <v/>
      </c>
    </row>
    <row r="37">
      <c r="B37" s="26" t="n">
        <v>19</v>
      </c>
      <c r="C37" s="26">
        <f>fen_conc_start+B37-1</f>
        <v/>
      </c>
      <c r="D37" s="23">
        <f>IF(B37&lt;=fen_conc_years,pr_fen_rev*((1+fen_conc_infl)*(1+fen_conc_real))^(B37-1),0)</f>
        <v/>
      </c>
      <c r="E37" s="23">
        <f>IF(B37&lt;=fen_conc_years,(pr_fen_om+pr_fen_capex)*(1+fen_conc_infl)^(B37-1),0)</f>
        <v/>
      </c>
      <c r="F37" s="23">
        <f>D37-E37</f>
        <v/>
      </c>
    </row>
    <row r="38">
      <c r="B38" s="26" t="n">
        <v>20</v>
      </c>
      <c r="C38" s="26">
        <f>fen_conc_start+B38-1</f>
        <v/>
      </c>
      <c r="D38" s="23">
        <f>IF(B38&lt;=fen_conc_years,pr_fen_rev*((1+fen_conc_infl)*(1+fen_conc_real))^(B38-1),0)</f>
        <v/>
      </c>
      <c r="E38" s="23">
        <f>IF(B38&lt;=fen_conc_years,(pr_fen_om+pr_fen_capex)*(1+fen_conc_infl)^(B38-1),0)</f>
        <v/>
      </c>
      <c r="F38" s="23">
        <f>D38-E38</f>
        <v/>
      </c>
    </row>
    <row r="39">
      <c r="B39" s="26" t="n">
        <v>21</v>
      </c>
      <c r="C39" s="26">
        <f>fen_conc_start+B39-1</f>
        <v/>
      </c>
      <c r="D39" s="23">
        <f>IF(B39&lt;=fen_conc_years,pr_fen_rev*((1+fen_conc_infl)*(1+fen_conc_real))^(B39-1),0)</f>
        <v/>
      </c>
      <c r="E39" s="23">
        <f>IF(B39&lt;=fen_conc_years,(pr_fen_om+pr_fen_capex)*(1+fen_conc_infl)^(B39-1),0)</f>
        <v/>
      </c>
      <c r="F39" s="23">
        <f>D39-E39</f>
        <v/>
      </c>
    </row>
    <row r="40">
      <c r="B40" s="26" t="n">
        <v>22</v>
      </c>
      <c r="C40" s="26">
        <f>fen_conc_start+B40-1</f>
        <v/>
      </c>
      <c r="D40" s="23">
        <f>IF(B40&lt;=fen_conc_years,pr_fen_rev*((1+fen_conc_infl)*(1+fen_conc_real))^(B40-1),0)</f>
        <v/>
      </c>
      <c r="E40" s="23">
        <f>IF(B40&lt;=fen_conc_years,(pr_fen_om+pr_fen_capex)*(1+fen_conc_infl)^(B40-1),0)</f>
        <v/>
      </c>
      <c r="F40" s="23">
        <f>D40-E40</f>
        <v/>
      </c>
    </row>
    <row r="41">
      <c r="B41" s="26" t="n">
        <v>23</v>
      </c>
      <c r="C41" s="26">
        <f>fen_conc_start+B41-1</f>
        <v/>
      </c>
      <c r="D41" s="23">
        <f>IF(B41&lt;=fen_conc_years,pr_fen_rev*((1+fen_conc_infl)*(1+fen_conc_real))^(B41-1),0)</f>
        <v/>
      </c>
      <c r="E41" s="23">
        <f>IF(B41&lt;=fen_conc_years,(pr_fen_om+pr_fen_capex)*(1+fen_conc_infl)^(B41-1),0)</f>
        <v/>
      </c>
      <c r="F41" s="23">
        <f>D41-E41</f>
        <v/>
      </c>
    </row>
    <row r="42">
      <c r="B42" s="26" t="n">
        <v>24</v>
      </c>
      <c r="C42" s="26">
        <f>fen_conc_start+B42-1</f>
        <v/>
      </c>
      <c r="D42" s="23">
        <f>IF(B42&lt;=fen_conc_years,pr_fen_rev*((1+fen_conc_infl)*(1+fen_conc_real))^(B42-1),0)</f>
        <v/>
      </c>
      <c r="E42" s="23">
        <f>IF(B42&lt;=fen_conc_years,(pr_fen_om+pr_fen_capex)*(1+fen_conc_infl)^(B42-1),0)</f>
        <v/>
      </c>
      <c r="F42" s="23">
        <f>D42-E42</f>
        <v/>
      </c>
    </row>
    <row r="43">
      <c r="B43" s="26" t="n">
        <v>25</v>
      </c>
      <c r="C43" s="26">
        <f>fen_conc_start+B43-1</f>
        <v/>
      </c>
      <c r="D43" s="23">
        <f>IF(B43&lt;=fen_conc_years,pr_fen_rev*((1+fen_conc_infl)*(1+fen_conc_real))^(B43-1),0)</f>
        <v/>
      </c>
      <c r="E43" s="23">
        <f>IF(B43&lt;=fen_conc_years,(pr_fen_om+pr_fen_capex)*(1+fen_conc_infl)^(B43-1),0)</f>
        <v/>
      </c>
      <c r="F43" s="23">
        <f>D43-E43</f>
        <v/>
      </c>
    </row>
    <row r="44">
      <c r="B44" s="26" t="n">
        <v>26</v>
      </c>
      <c r="C44" s="26">
        <f>fen_conc_start+B44-1</f>
        <v/>
      </c>
      <c r="D44" s="23">
        <f>IF(B44&lt;=fen_conc_years,pr_fen_rev*((1+fen_conc_infl)*(1+fen_conc_real))^(B44-1),0)</f>
        <v/>
      </c>
      <c r="E44" s="23">
        <f>IF(B44&lt;=fen_conc_years,(pr_fen_om+pr_fen_capex)*(1+fen_conc_infl)^(B44-1),0)</f>
        <v/>
      </c>
      <c r="F44" s="23">
        <f>D44-E44</f>
        <v/>
      </c>
    </row>
    <row r="45">
      <c r="B45" s="26" t="n">
        <v>27</v>
      </c>
      <c r="C45" s="26">
        <f>fen_conc_start+B45-1</f>
        <v/>
      </c>
      <c r="D45" s="23">
        <f>IF(B45&lt;=fen_conc_years,pr_fen_rev*((1+fen_conc_infl)*(1+fen_conc_real))^(B45-1),0)</f>
        <v/>
      </c>
      <c r="E45" s="23">
        <f>IF(B45&lt;=fen_conc_years,(pr_fen_om+pr_fen_capex)*(1+fen_conc_infl)^(B45-1),0)</f>
        <v/>
      </c>
      <c r="F45" s="23">
        <f>D45-E45</f>
        <v/>
      </c>
    </row>
    <row r="46">
      <c r="B46" s="26" t="n">
        <v>28</v>
      </c>
      <c r="C46" s="26">
        <f>fen_conc_start+B46-1</f>
        <v/>
      </c>
      <c r="D46" s="23">
        <f>IF(B46&lt;=fen_conc_years,pr_fen_rev*((1+fen_conc_infl)*(1+fen_conc_real))^(B46-1),0)</f>
        <v/>
      </c>
      <c r="E46" s="23">
        <f>IF(B46&lt;=fen_conc_years,(pr_fen_om+pr_fen_capex)*(1+fen_conc_infl)^(B46-1),0)</f>
        <v/>
      </c>
      <c r="F46" s="23">
        <f>D46-E46</f>
        <v/>
      </c>
    </row>
    <row r="47">
      <c r="B47" s="26" t="n">
        <v>29</v>
      </c>
      <c r="C47" s="26">
        <f>fen_conc_start+B47-1</f>
        <v/>
      </c>
      <c r="D47" s="23">
        <f>IF(B47&lt;=fen_conc_years,pr_fen_rev*((1+fen_conc_infl)*(1+fen_conc_real))^(B47-1),0)</f>
        <v/>
      </c>
      <c r="E47" s="23">
        <f>IF(B47&lt;=fen_conc_years,(pr_fen_om+pr_fen_capex)*(1+fen_conc_infl)^(B47-1),0)</f>
        <v/>
      </c>
      <c r="F47" s="23">
        <f>D47-E47</f>
        <v/>
      </c>
    </row>
    <row r="48">
      <c r="B48" s="26" t="n">
        <v>30</v>
      </c>
      <c r="C48" s="26">
        <f>fen_conc_start+B48-1</f>
        <v/>
      </c>
      <c r="D48" s="23">
        <f>IF(B48&lt;=fen_conc_years,pr_fen_rev*((1+fen_conc_infl)*(1+fen_conc_real))^(B48-1),0)</f>
        <v/>
      </c>
      <c r="E48" s="23">
        <f>IF(B48&lt;=fen_conc_years,(pr_fen_om+pr_fen_capex)*(1+fen_conc_infl)^(B48-1),0)</f>
        <v/>
      </c>
      <c r="F48" s="23">
        <f>D48-E48</f>
        <v/>
      </c>
    </row>
    <row r="49">
      <c r="B49" s="26" t="n">
        <v>31</v>
      </c>
      <c r="C49" s="26">
        <f>fen_conc_start+B49-1</f>
        <v/>
      </c>
      <c r="D49" s="23">
        <f>IF(B49&lt;=fen_conc_years,pr_fen_rev*((1+fen_conc_infl)*(1+fen_conc_real))^(B49-1),0)</f>
        <v/>
      </c>
      <c r="E49" s="23">
        <f>IF(B49&lt;=fen_conc_years,(pr_fen_om+pr_fen_capex)*(1+fen_conc_infl)^(B49-1),0)</f>
        <v/>
      </c>
      <c r="F49" s="23">
        <f>D49-E49</f>
        <v/>
      </c>
    </row>
    <row r="50">
      <c r="B50" s="26" t="n">
        <v>32</v>
      </c>
      <c r="C50" s="26">
        <f>fen_conc_start+B50-1</f>
        <v/>
      </c>
      <c r="D50" s="23">
        <f>IF(B50&lt;=fen_conc_years,pr_fen_rev*((1+fen_conc_infl)*(1+fen_conc_real))^(B50-1),0)</f>
        <v/>
      </c>
      <c r="E50" s="23">
        <f>IF(B50&lt;=fen_conc_years,(pr_fen_om+pr_fen_capex)*(1+fen_conc_infl)^(B50-1),0)</f>
        <v/>
      </c>
      <c r="F50" s="23">
        <f>D50-E50</f>
        <v/>
      </c>
    </row>
    <row r="51">
      <c r="B51" s="26" t="n">
        <v>33</v>
      </c>
      <c r="C51" s="26">
        <f>fen_conc_start+B51-1</f>
        <v/>
      </c>
      <c r="D51" s="23">
        <f>IF(B51&lt;=fen_conc_years,pr_fen_rev*((1+fen_conc_infl)*(1+fen_conc_real))^(B51-1),0)</f>
        <v/>
      </c>
      <c r="E51" s="23">
        <f>IF(B51&lt;=fen_conc_years,(pr_fen_om+pr_fen_capex)*(1+fen_conc_infl)^(B51-1),0)</f>
        <v/>
      </c>
      <c r="F51" s="23">
        <f>D51-E51</f>
        <v/>
      </c>
    </row>
    <row r="52">
      <c r="B52" s="26" t="n">
        <v>34</v>
      </c>
      <c r="C52" s="26">
        <f>fen_conc_start+B52-1</f>
        <v/>
      </c>
      <c r="D52" s="23">
        <f>IF(B52&lt;=fen_conc_years,pr_fen_rev*((1+fen_conc_infl)*(1+fen_conc_real))^(B52-1),0)</f>
        <v/>
      </c>
      <c r="E52" s="23">
        <f>IF(B52&lt;=fen_conc_years,(pr_fen_om+pr_fen_capex)*(1+fen_conc_infl)^(B52-1),0)</f>
        <v/>
      </c>
      <c r="F52" s="23">
        <f>D52-E52</f>
        <v/>
      </c>
    </row>
    <row r="53">
      <c r="B53" s="26" t="n">
        <v>35</v>
      </c>
      <c r="C53" s="26">
        <f>fen_conc_start+B53-1</f>
        <v/>
      </c>
      <c r="D53" s="23">
        <f>IF(B53&lt;=fen_conc_years,pr_fen_rev*((1+fen_conc_infl)*(1+fen_conc_real))^(B53-1),0)</f>
        <v/>
      </c>
      <c r="E53" s="23">
        <f>IF(B53&lt;=fen_conc_years,(pr_fen_om+pr_fen_capex)*(1+fen_conc_infl)^(B53-1),0)</f>
        <v/>
      </c>
      <c r="F53" s="23">
        <f>D53-E53</f>
        <v/>
      </c>
    </row>
    <row r="54">
      <c r="B54" s="26" t="n">
        <v>36</v>
      </c>
      <c r="C54" s="26">
        <f>fen_conc_start+B54-1</f>
        <v/>
      </c>
      <c r="D54" s="23">
        <f>IF(B54&lt;=fen_conc_years,pr_fen_rev*((1+fen_conc_infl)*(1+fen_conc_real))^(B54-1),0)</f>
        <v/>
      </c>
      <c r="E54" s="23">
        <f>IF(B54&lt;=fen_conc_years,(pr_fen_om+pr_fen_capex)*(1+fen_conc_infl)^(B54-1),0)</f>
        <v/>
      </c>
      <c r="F54" s="23">
        <f>D54-E54</f>
        <v/>
      </c>
    </row>
    <row r="55">
      <c r="B55" s="26" t="n">
        <v>37</v>
      </c>
      <c r="C55" s="26">
        <f>fen_conc_start+B55-1</f>
        <v/>
      </c>
      <c r="D55" s="23">
        <f>IF(B55&lt;=fen_conc_years,pr_fen_rev*((1+fen_conc_infl)*(1+fen_conc_real))^(B55-1),0)</f>
        <v/>
      </c>
      <c r="E55" s="23">
        <f>IF(B55&lt;=fen_conc_years,(pr_fen_om+pr_fen_capex)*(1+fen_conc_infl)^(B55-1),0)</f>
        <v/>
      </c>
      <c r="F55" s="23">
        <f>D55-E55</f>
        <v/>
      </c>
    </row>
    <row r="56">
      <c r="B56" s="26" t="n">
        <v>38</v>
      </c>
      <c r="C56" s="26">
        <f>fen_conc_start+B56-1</f>
        <v/>
      </c>
      <c r="D56" s="23">
        <f>IF(B56&lt;=fen_conc_years,pr_fen_rev*((1+fen_conc_infl)*(1+fen_conc_real))^(B56-1),0)</f>
        <v/>
      </c>
      <c r="E56" s="23">
        <f>IF(B56&lt;=fen_conc_years,(pr_fen_om+pr_fen_capex)*(1+fen_conc_infl)^(B56-1),0)</f>
        <v/>
      </c>
      <c r="F56" s="23">
        <f>D56-E56</f>
        <v/>
      </c>
    </row>
    <row r="57">
      <c r="B57" s="26" t="n">
        <v>39</v>
      </c>
      <c r="C57" s="26">
        <f>fen_conc_start+B57-1</f>
        <v/>
      </c>
      <c r="D57" s="23">
        <f>IF(B57&lt;=fen_conc_years,pr_fen_rev*((1+fen_conc_infl)*(1+fen_conc_real))^(B57-1),0)</f>
        <v/>
      </c>
      <c r="E57" s="23">
        <f>IF(B57&lt;=fen_conc_years,(pr_fen_om+pr_fen_capex)*(1+fen_conc_infl)^(B57-1),0)</f>
        <v/>
      </c>
      <c r="F57" s="23">
        <f>D57-E57</f>
        <v/>
      </c>
    </row>
    <row r="58">
      <c r="B58" s="26" t="n">
        <v>40</v>
      </c>
      <c r="C58" s="26">
        <f>fen_conc_start+B58-1</f>
        <v/>
      </c>
      <c r="D58" s="23">
        <f>IF(B58&lt;=fen_conc_years,pr_fen_rev*((1+fen_conc_infl)*(1+fen_conc_real))^(B58-1),0)</f>
        <v/>
      </c>
      <c r="E58" s="23">
        <f>IF(B58&lt;=fen_conc_years,(pr_fen_om+pr_fen_capex)*(1+fen_conc_infl)^(B58-1),0)</f>
        <v/>
      </c>
      <c r="F58" s="23">
        <f>D58-E58</f>
        <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B2:D21"/>
  <sheetViews>
    <sheetView showGridLines="0" workbookViewId="0">
      <selection activeCell="A1" sqref="A1"/>
    </sheetView>
  </sheetViews>
  <sheetFormatPr baseColWidth="8" defaultRowHeight="15"/>
  <cols>
    <col width="2" customWidth="1" min="1" max="1"/>
    <col width="70" customWidth="1" min="2" max="2"/>
    <col width="14" customWidth="1" min="3" max="3"/>
    <col width="14" customWidth="1" min="4" max="4"/>
  </cols>
  <sheetData>
    <row r="2">
      <c r="B2" s="1" t="inlineStr">
        <is>
          <t>Due diligence: the price bridge, the bids and two findings</t>
        </is>
      </c>
    </row>
    <row r="3">
      <c r="B3" s="5" t="inlineStr">
        <is>
          <t>Basis: after tax. Value = price that gives the 8.0 percent target on each set of assumptions (scenarios B1 to B4 and the base).</t>
        </is>
      </c>
    </row>
    <row r="5">
      <c r="B5" s="3" t="inlineStr">
        <is>
          <t>Step</t>
        </is>
      </c>
      <c r="C5" s="3" t="inlineStr">
        <is>
          <t>Value</t>
        </is>
      </c>
      <c r="D5" s="3" t="inlineStr">
        <is>
          <t>Change</t>
        </is>
      </c>
    </row>
    <row r="6">
      <c r="B6" s="2" t="inlineStr">
        <is>
          <t>Seller's plan (ROE 9.80 percent, annual rate cases, O&amp;M inflation 2.5 percent, no PFAS operating cost)</t>
        </is>
      </c>
      <c r="C6" s="24">
        <f>Scenarios!$D$1093</f>
        <v/>
      </c>
    </row>
    <row r="7">
      <c r="B7" s="2" t="inlineStr">
        <is>
          <t>Authorized ROE 9.60 percent, the level of recent commission orders</t>
        </is>
      </c>
      <c r="C7" s="24">
        <f>Scenarios!$D$1171</f>
        <v/>
      </c>
      <c r="D7" s="23">
        <f>C7-C6</f>
        <v/>
      </c>
    </row>
    <row r="8">
      <c r="B8" s="2" t="inlineStr">
        <is>
          <t>Rate cases every two years (the commission's practice)</t>
        </is>
      </c>
      <c r="C8" s="24">
        <f>Scenarios!$D$1249</f>
        <v/>
      </c>
      <c r="D8" s="23">
        <f>C8-C7</f>
        <v/>
      </c>
    </row>
    <row r="9">
      <c r="B9" s="2" t="inlineStr">
        <is>
          <t>O&amp;M inflation 3.0 percent (new labor contract)</t>
        </is>
      </c>
      <c r="C9" s="24">
        <f>Scenarios!$D$1327</f>
        <v/>
      </c>
      <c r="D9" s="23">
        <f>C9-C8</f>
        <v/>
      </c>
    </row>
    <row r="10">
      <c r="B10" s="2" t="inlineStr">
        <is>
          <t>PFAS operating cost from 2030 (the base case)</t>
        </is>
      </c>
      <c r="C10" s="24">
        <f>Deal!$D$39</f>
        <v/>
      </c>
      <c r="D10" s="23">
        <f>C10-C9</f>
        <v/>
      </c>
    </row>
    <row r="12">
      <c r="B12" s="6" t="inlineStr">
        <is>
          <t>Bids</t>
        </is>
      </c>
    </row>
    <row r="13">
      <c r="B13" s="2" t="inlineStr">
        <is>
          <t>First-round indicative bid (seller's plan, rounded to $10 million)</t>
        </is>
      </c>
      <c r="C13" s="23">
        <f>ROUND(C6/10,0)*10</f>
        <v/>
      </c>
    </row>
    <row r="14">
      <c r="B14" s="2" t="inlineStr">
        <is>
          <t>As a multiple of rate base</t>
        </is>
      </c>
      <c r="C14" s="30">
        <f>C13/pr_rb0</f>
        <v/>
      </c>
    </row>
    <row r="15">
      <c r="B15" s="2" t="inlineStr">
        <is>
          <t>Binding bid after diligence</t>
        </is>
      </c>
      <c r="C15" s="23">
        <f>Deal!$D$6</f>
        <v/>
      </c>
    </row>
    <row r="16">
      <c r="B16" s="2" t="inlineStr">
        <is>
          <t>As a multiple of rate base</t>
        </is>
      </c>
      <c r="C16" s="30">
        <f>pr_ev_mult</f>
        <v/>
      </c>
    </row>
    <row r="18">
      <c r="B18" s="6" t="inlineStr">
        <is>
          <t>Finding: mains renewal (scenario MR, renewal held to 0.8 percent)</t>
        </is>
      </c>
    </row>
    <row r="19">
      <c r="B19" s="2" t="inlineStr">
        <is>
          <t>Levered IRR</t>
        </is>
      </c>
      <c r="C19" s="27">
        <f>Scenarios!$D$1403</f>
        <v/>
      </c>
    </row>
    <row r="20">
      <c r="B20" s="2" t="inlineStr">
        <is>
          <t>Price at the target</t>
        </is>
      </c>
      <c r="C20" s="23">
        <f>Scenarios!$D$1405</f>
        <v/>
      </c>
    </row>
    <row r="21">
      <c r="B21" s="2" t="inlineStr">
        <is>
          <t>Finding: leakage gap cost a year ($ million, from System)</t>
        </is>
      </c>
      <c r="C21" s="22">
        <f>'System'!$C$25</f>
        <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B2:C19"/>
  <sheetViews>
    <sheetView showGridLines="0" workbookViewId="0">
      <selection activeCell="A1" sqref="A1"/>
    </sheetView>
  </sheetViews>
  <sheetFormatPr baseColWidth="8" defaultRowHeight="15"/>
  <cols>
    <col width="2" customWidth="1" min="1" max="1"/>
    <col width="62" customWidth="1" min="2" max="2"/>
    <col width="14" customWidth="1" min="3" max="3"/>
  </cols>
  <sheetData>
    <row r="2">
      <c r="B2" s="1" t="inlineStr">
        <is>
          <t>Exit: partial sale in 2032 and the full exit in 2037</t>
        </is>
      </c>
    </row>
    <row r="3">
      <c r="B3" s="5" t="inlineStr">
        <is>
          <t>Basis: after tax; multiples of year-end rate base.</t>
        </is>
      </c>
    </row>
    <row r="5">
      <c r="B5" s="6" t="inlineStr">
        <is>
          <t>Partial exit</t>
        </is>
      </c>
    </row>
    <row r="6">
      <c r="B6" s="2" t="inlineStr">
        <is>
          <t>Rate base at the end of the sale year</t>
        </is>
      </c>
      <c r="C6" s="23">
        <f>INDEX(Utility!$E$61:$N$61,MATCH(pr_min_year,Utility!$E$4:$N$4,0))</f>
        <v/>
      </c>
    </row>
    <row r="7">
      <c r="B7" s="2" t="inlineStr">
        <is>
          <t>Enterprise value</t>
        </is>
      </c>
      <c r="C7" s="23">
        <f>pr_min_mult*C6</f>
        <v/>
      </c>
    </row>
    <row r="8">
      <c r="B8" s="2" t="inlineStr">
        <is>
          <t>Operating debt</t>
        </is>
      </c>
      <c r="C8" s="23">
        <f>INDEX(Utility!$E$63:$N$63,MATCH(pr_min_year,Utility!$E$4:$N$4,0))</f>
        <v/>
      </c>
    </row>
    <row r="9">
      <c r="B9" s="2" t="inlineStr">
        <is>
          <t>Equity after operating debt</t>
        </is>
      </c>
      <c r="C9" s="23">
        <f>C7-C8</f>
        <v/>
      </c>
    </row>
    <row r="10">
      <c r="B10" s="2" t="inlineStr">
        <is>
          <t>Stake sold</t>
        </is>
      </c>
      <c r="C10" s="23">
        <f>C9*pr_min_share</f>
        <v/>
      </c>
    </row>
    <row r="11">
      <c r="B11" s="2" t="inlineStr">
        <is>
          <t>After repaying the holding company loan</t>
        </is>
      </c>
      <c r="C11" s="23">
        <f>C10-pr_holdco</f>
        <v/>
      </c>
    </row>
    <row r="13">
      <c r="B13" s="6" t="inlineStr">
        <is>
          <t>Entry and exit</t>
        </is>
      </c>
    </row>
    <row r="14">
      <c r="B14" s="2" t="inlineStr">
        <is>
          <t>Entry multiple</t>
        </is>
      </c>
      <c r="C14" s="30">
        <f>pr_ev_mult</f>
        <v/>
      </c>
    </row>
    <row r="15">
      <c r="B15" s="2" t="inlineStr">
        <is>
          <t>Rate base at entry</t>
        </is>
      </c>
      <c r="C15" s="23">
        <f>pr_rb0</f>
        <v/>
      </c>
    </row>
    <row r="16">
      <c r="B16" s="2" t="inlineStr">
        <is>
          <t>Exit multiple</t>
        </is>
      </c>
      <c r="C16" s="30">
        <f>pr_exit_mult</f>
        <v/>
      </c>
    </row>
    <row r="17">
      <c r="B17" s="2" t="inlineStr">
        <is>
          <t>Rate base at exit</t>
        </is>
      </c>
      <c r="C17" s="23">
        <f>Deal!$D$35</f>
        <v/>
      </c>
    </row>
    <row r="18">
      <c r="B18" s="2" t="inlineStr">
        <is>
          <t>Enterprise value at exit</t>
        </is>
      </c>
      <c r="C18" s="23">
        <f>Deal!$D$36</f>
        <v/>
      </c>
    </row>
    <row r="19">
      <c r="B19" s="2" t="inlineStr">
        <is>
          <t>Exit equity</t>
        </is>
      </c>
      <c r="C19" s="23">
        <f>Deal!$D$38</f>
        <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B2:D31"/>
  <sheetViews>
    <sheetView showGridLines="0" workbookViewId="0">
      <selection activeCell="A1" sqref="A1"/>
    </sheetView>
  </sheetViews>
  <sheetFormatPr baseColWidth="8" defaultRowHeight="15"/>
  <cols>
    <col width="2" customWidth="1" min="1" max="1"/>
    <col width="62" customWidth="1" min="2" max="2"/>
    <col width="16" customWidth="1" min="3" max="3"/>
    <col width="18" customWidth="1" min="4" max="4"/>
  </cols>
  <sheetData>
    <row r="2">
      <c r="B2" s="1" t="inlineStr">
        <is>
          <t>Sorrel Bay Desalination Plant: plant data and capital cost</t>
        </is>
      </c>
    </row>
    <row r="3">
      <c r="B3" s="5" t="inlineStr">
        <is>
          <t>Basis: pre-tax. Capital cost paid at the end of 2028 and 2029; operation 1 January 2030 to the end of 2059.</t>
        </is>
      </c>
    </row>
    <row r="5">
      <c r="B5" s="6" t="inlineStr">
        <is>
          <t>Plant</t>
        </is>
      </c>
    </row>
    <row r="6">
      <c r="B6" s="2" t="inlineStr">
        <is>
          <t>Design capacity</t>
        </is>
      </c>
      <c r="C6" s="19">
        <f>sb_cap</f>
        <v/>
      </c>
      <c r="D6" s="5" t="inlineStr">
        <is>
          <t>m3 a day</t>
        </is>
      </c>
    </row>
    <row r="7">
      <c r="B7" s="2" t="inlineStr">
        <is>
          <t>Design capacity</t>
        </is>
      </c>
      <c r="C7" s="21">
        <f>sb_cap/u_mgd</f>
        <v/>
      </c>
      <c r="D7" s="5" t="inlineStr">
        <is>
          <t>MGD</t>
        </is>
      </c>
    </row>
    <row r="8">
      <c r="B8" s="2" t="inlineStr">
        <is>
          <t>Seawater intake at full output</t>
        </is>
      </c>
      <c r="C8" s="19">
        <f>sb_cap/sb_recovery</f>
        <v/>
      </c>
      <c r="D8" s="5" t="inlineStr">
        <is>
          <t>m3 a day</t>
        </is>
      </c>
    </row>
    <row r="9">
      <c r="B9" s="2" t="inlineStr">
        <is>
          <t>Brine returned at full output</t>
        </is>
      </c>
      <c r="C9" s="19">
        <f>C8-C6</f>
        <v/>
      </c>
      <c r="D9" s="5" t="inlineStr">
        <is>
          <t>m3 a day</t>
        </is>
      </c>
    </row>
    <row r="10">
      <c r="B10" s="2" t="inlineStr">
        <is>
          <t>Water delivered a year (availability x offtake)</t>
        </is>
      </c>
      <c r="C10" s="19">
        <f>sb_cap*365*sb_avail*sb_dispatch</f>
        <v/>
      </c>
      <c r="D10" s="5" t="inlineStr">
        <is>
          <t>m3</t>
        </is>
      </c>
    </row>
    <row r="11">
      <c r="B11" s="2" t="inlineStr">
        <is>
          <t>Water delivered a year</t>
        </is>
      </c>
      <c r="C11" s="21">
        <f>C10/1000000</f>
        <v/>
      </c>
      <c r="D11" s="5" t="inlineStr">
        <is>
          <t>million m3</t>
        </is>
      </c>
    </row>
    <row r="12">
      <c r="B12" s="2" t="inlineStr">
        <is>
          <t>Water delivered a day</t>
        </is>
      </c>
      <c r="C12" s="19">
        <f>C10/365</f>
        <v/>
      </c>
      <c r="D12" s="5" t="inlineStr">
        <is>
          <t>m3 a day</t>
        </is>
      </c>
    </row>
    <row r="13">
      <c r="B13" s="2" t="inlineStr">
        <is>
          <t>Water delivered a day</t>
        </is>
      </c>
      <c r="C13" s="21">
        <f>C12/u_mgd</f>
        <v/>
      </c>
      <c r="D13" s="5" t="inlineStr">
        <is>
          <t>MGD</t>
        </is>
      </c>
    </row>
    <row r="14">
      <c r="B14" s="2" t="inlineStr">
        <is>
          <t>Water delivered a year</t>
        </is>
      </c>
      <c r="C14" s="19">
        <f>C10/u_af</f>
        <v/>
      </c>
      <c r="D14" s="5" t="inlineStr">
        <is>
          <t>acre-feet</t>
        </is>
      </c>
    </row>
    <row r="16">
      <c r="B16" s="6" t="inlineStr">
        <is>
          <t>Capital cost ($ million, after the capital cost switch)</t>
        </is>
      </c>
    </row>
    <row r="17">
      <c r="B17" s="2" t="inlineStr">
        <is>
          <t>RO plant, pretreatment and post-treatment</t>
        </is>
      </c>
      <c r="C17" s="23">
        <f>sb_cx_plant*(1+sb_capex_shift)</f>
        <v/>
      </c>
      <c r="D17" s="5" t="inlineStr">
        <is>
          <t>$ million</t>
        </is>
      </c>
    </row>
    <row r="18">
      <c r="B18" s="2" t="inlineStr">
        <is>
          <t>Marine works (intake and outfall tunnels)</t>
        </is>
      </c>
      <c r="C18" s="23">
        <f>sb_cx_marine*(1+sb_capex_shift)</f>
        <v/>
      </c>
      <c r="D18" s="5" t="inlineStr">
        <is>
          <t>$ million</t>
        </is>
      </c>
    </row>
    <row r="19">
      <c r="B19" s="2" t="inlineStr">
        <is>
          <t>Conveyance pipeline and pump station</t>
        </is>
      </c>
      <c r="C19" s="23">
        <f>sb_cx_conv*(1+sb_capex_shift)</f>
        <v/>
      </c>
      <c r="D19" s="5" t="inlineStr">
        <is>
          <t>$ million</t>
        </is>
      </c>
    </row>
    <row r="20">
      <c r="B20" s="2" t="inlineStr">
        <is>
          <t>Grid connection</t>
        </is>
      </c>
      <c r="C20" s="23">
        <f>sb_cx_grid*(1+sb_capex_shift)</f>
        <v/>
      </c>
      <c r="D20" s="5" t="inlineStr">
        <is>
          <t>$ million</t>
        </is>
      </c>
    </row>
    <row r="21">
      <c r="B21" s="2" t="inlineStr">
        <is>
          <t>Development, permits and owner's costs</t>
        </is>
      </c>
      <c r="C21" s="23">
        <f>sb_cx_dev*(1+sb_capex_shift)</f>
        <v/>
      </c>
      <c r="D21" s="5" t="inlineStr">
        <is>
          <t>$ million</t>
        </is>
      </c>
    </row>
    <row r="22">
      <c r="B22" s="2" t="inlineStr">
        <is>
          <t>Financing costs and interest during construction</t>
        </is>
      </c>
      <c r="C22" s="23">
        <f>sb_cx_fin*(1+sb_capex_shift)</f>
        <v/>
      </c>
      <c r="D22" s="5" t="inlineStr">
        <is>
          <t>$ million</t>
        </is>
      </c>
    </row>
    <row r="23">
      <c r="B23" s="3" t="inlineStr">
        <is>
          <t>Total capital cost</t>
        </is>
      </c>
      <c r="C23" s="24">
        <f>SUM(C17:C22)</f>
        <v/>
      </c>
      <c r="D23" s="5" t="inlineStr">
        <is>
          <t>$ million</t>
        </is>
      </c>
    </row>
    <row r="25">
      <c r="B25" s="6" t="inlineStr">
        <is>
          <t>Unit costs and phasing</t>
        </is>
      </c>
    </row>
    <row r="26">
      <c r="B26" s="2" t="inlineStr">
        <is>
          <t>Per m3 a day of capacity</t>
        </is>
      </c>
      <c r="C26" s="19">
        <f>C23*1000000/sb_cap</f>
        <v/>
      </c>
      <c r="D26" s="5" t="inlineStr">
        <is>
          <t>$</t>
        </is>
      </c>
    </row>
    <row r="27">
      <c r="B27" s="2" t="inlineStr">
        <is>
          <t>Per gallon a day of capacity</t>
        </is>
      </c>
      <c r="C27" s="22">
        <f>C23*1000000/(sb_cap*u_gal)</f>
        <v/>
      </c>
      <c r="D27" s="5" t="inlineStr">
        <is>
          <t>$</t>
        </is>
      </c>
    </row>
    <row r="28">
      <c r="B28" s="2" t="inlineStr">
        <is>
          <t>Plant alone, per m3 a day</t>
        </is>
      </c>
      <c r="C28" s="19">
        <f>C17*1000000/sb_cap</f>
        <v/>
      </c>
      <c r="D28" s="5" t="inlineStr">
        <is>
          <t>$</t>
        </is>
      </c>
    </row>
    <row r="29">
      <c r="B29" s="2" t="inlineStr">
        <is>
          <t>Marine works and conveyance, share of total</t>
        </is>
      </c>
      <c r="C29" s="20">
        <f>(C18+C19)/C23</f>
        <v/>
      </c>
      <c r="D29" s="5" t="inlineStr">
        <is>
          <t>share</t>
        </is>
      </c>
    </row>
    <row r="30">
      <c r="B30" s="2" t="inlineStr">
        <is>
          <t>Paid at the end of 2028</t>
        </is>
      </c>
      <c r="C30" s="23">
        <f>sb_phase1*C23</f>
        <v/>
      </c>
      <c r="D30" s="5" t="inlineStr">
        <is>
          <t>$ million</t>
        </is>
      </c>
    </row>
    <row r="31">
      <c r="B31" s="2" t="inlineStr">
        <is>
          <t>Paid at the end of 2029</t>
        </is>
      </c>
      <c r="C31" s="23">
        <f>(1-sb_phase1)*C23</f>
        <v/>
      </c>
      <c r="D31" s="5" t="inlineStr">
        <is>
          <t>$ million</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B2:AJ75"/>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 customWidth="1" min="1" max="1"/>
    <col width="58" customWidth="1" min="2" max="2"/>
    <col width="11"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width="12" customWidth="1" min="31" max="31"/>
    <col width="12" customWidth="1" min="32" max="32"/>
    <col width="12" customWidth="1" min="33" max="33"/>
    <col width="12" customWidth="1" min="34" max="34"/>
    <col width="12" customWidth="1" min="35" max="35"/>
    <col width="12" customWidth="1" min="36" max="36"/>
  </cols>
  <sheetData>
    <row r="2">
      <c r="B2" s="1" t="inlineStr">
        <is>
          <t>Sorrel Bay: operations and debt, 2027 to 2059 ($ million)</t>
        </is>
      </c>
    </row>
    <row r="3">
      <c r="B3" s="5" t="inlineStr">
        <is>
          <t>Basis: pre-tax. Columns are 31 December of each year; operation 2030 to 2059. Reads the Inputs switches.</t>
        </is>
      </c>
    </row>
    <row r="4">
      <c r="B4" s="2" t="inlineStr">
        <is>
          <t>Year (31 December)</t>
        </is>
      </c>
      <c r="D4" s="26">
        <f>sb_start</f>
        <v/>
      </c>
      <c r="E4" s="26">
        <f>D4+1</f>
        <v/>
      </c>
      <c r="F4" s="26">
        <f>E4+1</f>
        <v/>
      </c>
      <c r="G4" s="26">
        <f>F4+1</f>
        <v/>
      </c>
      <c r="H4" s="26">
        <f>G4+1</f>
        <v/>
      </c>
      <c r="I4" s="26">
        <f>H4+1</f>
        <v/>
      </c>
      <c r="J4" s="26">
        <f>I4+1</f>
        <v/>
      </c>
      <c r="K4" s="26">
        <f>J4+1</f>
        <v/>
      </c>
      <c r="L4" s="26">
        <f>K4+1</f>
        <v/>
      </c>
      <c r="M4" s="26">
        <f>L4+1</f>
        <v/>
      </c>
      <c r="N4" s="26">
        <f>M4+1</f>
        <v/>
      </c>
      <c r="O4" s="26">
        <f>N4+1</f>
        <v/>
      </c>
      <c r="P4" s="26">
        <f>O4+1</f>
        <v/>
      </c>
      <c r="Q4" s="26">
        <f>P4+1</f>
        <v/>
      </c>
      <c r="R4" s="26">
        <f>Q4+1</f>
        <v/>
      </c>
      <c r="S4" s="26">
        <f>R4+1</f>
        <v/>
      </c>
      <c r="T4" s="26">
        <f>S4+1</f>
        <v/>
      </c>
      <c r="U4" s="26">
        <f>T4+1</f>
        <v/>
      </c>
      <c r="V4" s="26">
        <f>U4+1</f>
        <v/>
      </c>
      <c r="W4" s="26">
        <f>V4+1</f>
        <v/>
      </c>
      <c r="X4" s="26">
        <f>W4+1</f>
        <v/>
      </c>
      <c r="Y4" s="26">
        <f>X4+1</f>
        <v/>
      </c>
      <c r="Z4" s="26">
        <f>Y4+1</f>
        <v/>
      </c>
      <c r="AA4" s="26">
        <f>Z4+1</f>
        <v/>
      </c>
      <c r="AB4" s="26">
        <f>AA4+1</f>
        <v/>
      </c>
      <c r="AC4" s="26">
        <f>AB4+1</f>
        <v/>
      </c>
      <c r="AD4" s="26">
        <f>AC4+1</f>
        <v/>
      </c>
      <c r="AE4" s="26">
        <f>AD4+1</f>
        <v/>
      </c>
      <c r="AF4" s="26">
        <f>AE4+1</f>
        <v/>
      </c>
      <c r="AG4" s="26">
        <f>AF4+1</f>
        <v/>
      </c>
      <c r="AH4" s="26">
        <f>AG4+1</f>
        <v/>
      </c>
      <c r="AI4" s="26">
        <f>AH4+1</f>
        <v/>
      </c>
      <c r="AJ4" s="26">
        <f>AI4+1</f>
        <v/>
      </c>
    </row>
    <row r="5">
      <c r="B5" s="2" t="inlineStr">
        <is>
          <t>Operating year (1 = yes)</t>
        </is>
      </c>
      <c r="D5" s="26">
        <f>IF(AND(D4&gt;=sb_cod,D4&lt;sb_cod+sb_term),1,0)</f>
        <v/>
      </c>
      <c r="E5" s="26">
        <f>IF(AND(E4&gt;=sb_cod,E4&lt;sb_cod+sb_term),1,0)</f>
        <v/>
      </c>
      <c r="F5" s="26">
        <f>IF(AND(F4&gt;=sb_cod,F4&lt;sb_cod+sb_term),1,0)</f>
        <v/>
      </c>
      <c r="G5" s="26">
        <f>IF(AND(G4&gt;=sb_cod,G4&lt;sb_cod+sb_term),1,0)</f>
        <v/>
      </c>
      <c r="H5" s="26">
        <f>IF(AND(H4&gt;=sb_cod,H4&lt;sb_cod+sb_term),1,0)</f>
        <v/>
      </c>
      <c r="I5" s="26">
        <f>IF(AND(I4&gt;=sb_cod,I4&lt;sb_cod+sb_term),1,0)</f>
        <v/>
      </c>
      <c r="J5" s="26">
        <f>IF(AND(J4&gt;=sb_cod,J4&lt;sb_cod+sb_term),1,0)</f>
        <v/>
      </c>
      <c r="K5" s="26">
        <f>IF(AND(K4&gt;=sb_cod,K4&lt;sb_cod+sb_term),1,0)</f>
        <v/>
      </c>
      <c r="L5" s="26">
        <f>IF(AND(L4&gt;=sb_cod,L4&lt;sb_cod+sb_term),1,0)</f>
        <v/>
      </c>
      <c r="M5" s="26">
        <f>IF(AND(M4&gt;=sb_cod,M4&lt;sb_cod+sb_term),1,0)</f>
        <v/>
      </c>
      <c r="N5" s="26">
        <f>IF(AND(N4&gt;=sb_cod,N4&lt;sb_cod+sb_term),1,0)</f>
        <v/>
      </c>
      <c r="O5" s="26">
        <f>IF(AND(O4&gt;=sb_cod,O4&lt;sb_cod+sb_term),1,0)</f>
        <v/>
      </c>
      <c r="P5" s="26">
        <f>IF(AND(P4&gt;=sb_cod,P4&lt;sb_cod+sb_term),1,0)</f>
        <v/>
      </c>
      <c r="Q5" s="26">
        <f>IF(AND(Q4&gt;=sb_cod,Q4&lt;sb_cod+sb_term),1,0)</f>
        <v/>
      </c>
      <c r="R5" s="26">
        <f>IF(AND(R4&gt;=sb_cod,R4&lt;sb_cod+sb_term),1,0)</f>
        <v/>
      </c>
      <c r="S5" s="26">
        <f>IF(AND(S4&gt;=sb_cod,S4&lt;sb_cod+sb_term),1,0)</f>
        <v/>
      </c>
      <c r="T5" s="26">
        <f>IF(AND(T4&gt;=sb_cod,T4&lt;sb_cod+sb_term),1,0)</f>
        <v/>
      </c>
      <c r="U5" s="26">
        <f>IF(AND(U4&gt;=sb_cod,U4&lt;sb_cod+sb_term),1,0)</f>
        <v/>
      </c>
      <c r="V5" s="26">
        <f>IF(AND(V4&gt;=sb_cod,V4&lt;sb_cod+sb_term),1,0)</f>
        <v/>
      </c>
      <c r="W5" s="26">
        <f>IF(AND(W4&gt;=sb_cod,W4&lt;sb_cod+sb_term),1,0)</f>
        <v/>
      </c>
      <c r="X5" s="26">
        <f>IF(AND(X4&gt;=sb_cod,X4&lt;sb_cod+sb_term),1,0)</f>
        <v/>
      </c>
      <c r="Y5" s="26">
        <f>IF(AND(Y4&gt;=sb_cod,Y4&lt;sb_cod+sb_term),1,0)</f>
        <v/>
      </c>
      <c r="Z5" s="26">
        <f>IF(AND(Z4&gt;=sb_cod,Z4&lt;sb_cod+sb_term),1,0)</f>
        <v/>
      </c>
      <c r="AA5" s="26">
        <f>IF(AND(AA4&gt;=sb_cod,AA4&lt;sb_cod+sb_term),1,0)</f>
        <v/>
      </c>
      <c r="AB5" s="26">
        <f>IF(AND(AB4&gt;=sb_cod,AB4&lt;sb_cod+sb_term),1,0)</f>
        <v/>
      </c>
      <c r="AC5" s="26">
        <f>IF(AND(AC4&gt;=sb_cod,AC4&lt;sb_cod+sb_term),1,0)</f>
        <v/>
      </c>
      <c r="AD5" s="26">
        <f>IF(AND(AD4&gt;=sb_cod,AD4&lt;sb_cod+sb_term),1,0)</f>
        <v/>
      </c>
      <c r="AE5" s="26">
        <f>IF(AND(AE4&gt;=sb_cod,AE4&lt;sb_cod+sb_term),1,0)</f>
        <v/>
      </c>
      <c r="AF5" s="26">
        <f>IF(AND(AF4&gt;=sb_cod,AF4&lt;sb_cod+sb_term),1,0)</f>
        <v/>
      </c>
      <c r="AG5" s="26">
        <f>IF(AND(AG4&gt;=sb_cod,AG4&lt;sb_cod+sb_term),1,0)</f>
        <v/>
      </c>
      <c r="AH5" s="26">
        <f>IF(AND(AH4&gt;=sb_cod,AH4&lt;sb_cod+sb_term),1,0)</f>
        <v/>
      </c>
      <c r="AI5" s="26">
        <f>IF(AND(AI4&gt;=sb_cod,AI4&lt;sb_cod+sb_term),1,0)</f>
        <v/>
      </c>
      <c r="AJ5" s="26">
        <f>IF(AND(AJ4&gt;=sb_cod,AJ4&lt;sb_cod+sb_term),1,0)</f>
        <v/>
      </c>
    </row>
    <row r="6">
      <c r="B6" s="2" t="inlineStr">
        <is>
          <t>Years since operation began</t>
        </is>
      </c>
      <c r="D6" s="26">
        <f>D4-sb_cod</f>
        <v/>
      </c>
      <c r="E6" s="26">
        <f>E4-sb_cod</f>
        <v/>
      </c>
      <c r="F6" s="26">
        <f>F4-sb_cod</f>
        <v/>
      </c>
      <c r="G6" s="26">
        <f>G4-sb_cod</f>
        <v/>
      </c>
      <c r="H6" s="26">
        <f>H4-sb_cod</f>
        <v/>
      </c>
      <c r="I6" s="26">
        <f>I4-sb_cod</f>
        <v/>
      </c>
      <c r="J6" s="26">
        <f>J4-sb_cod</f>
        <v/>
      </c>
      <c r="K6" s="26">
        <f>K4-sb_cod</f>
        <v/>
      </c>
      <c r="L6" s="26">
        <f>L4-sb_cod</f>
        <v/>
      </c>
      <c r="M6" s="26">
        <f>M4-sb_cod</f>
        <v/>
      </c>
      <c r="N6" s="26">
        <f>N4-sb_cod</f>
        <v/>
      </c>
      <c r="O6" s="26">
        <f>O4-sb_cod</f>
        <v/>
      </c>
      <c r="P6" s="26">
        <f>P4-sb_cod</f>
        <v/>
      </c>
      <c r="Q6" s="26">
        <f>Q4-sb_cod</f>
        <v/>
      </c>
      <c r="R6" s="26">
        <f>R4-sb_cod</f>
        <v/>
      </c>
      <c r="S6" s="26">
        <f>S4-sb_cod</f>
        <v/>
      </c>
      <c r="T6" s="26">
        <f>T4-sb_cod</f>
        <v/>
      </c>
      <c r="U6" s="26">
        <f>U4-sb_cod</f>
        <v/>
      </c>
      <c r="V6" s="26">
        <f>V4-sb_cod</f>
        <v/>
      </c>
      <c r="W6" s="26">
        <f>W4-sb_cod</f>
        <v/>
      </c>
      <c r="X6" s="26">
        <f>X4-sb_cod</f>
        <v/>
      </c>
      <c r="Y6" s="26">
        <f>Y4-sb_cod</f>
        <v/>
      </c>
      <c r="Z6" s="26">
        <f>Z4-sb_cod</f>
        <v/>
      </c>
      <c r="AA6" s="26">
        <f>AA4-sb_cod</f>
        <v/>
      </c>
      <c r="AB6" s="26">
        <f>AB4-sb_cod</f>
        <v/>
      </c>
      <c r="AC6" s="26">
        <f>AC4-sb_cod</f>
        <v/>
      </c>
      <c r="AD6" s="26">
        <f>AD4-sb_cod</f>
        <v/>
      </c>
      <c r="AE6" s="26">
        <f>AE4-sb_cod</f>
        <v/>
      </c>
      <c r="AF6" s="26">
        <f>AF4-sb_cod</f>
        <v/>
      </c>
      <c r="AG6" s="26">
        <f>AG4-sb_cod</f>
        <v/>
      </c>
      <c r="AH6" s="26">
        <f>AH4-sb_cod</f>
        <v/>
      </c>
      <c r="AI6" s="26">
        <f>AI4-sb_cod</f>
        <v/>
      </c>
      <c r="AJ6" s="26">
        <f>AJ4-sb_cod</f>
        <v/>
      </c>
    </row>
    <row r="7">
      <c r="B7" s="2" t="inlineStr">
        <is>
          <t>Indexation factor</t>
        </is>
      </c>
      <c r="D7" s="28">
        <f>(1+sb_cpi)^D6</f>
        <v/>
      </c>
      <c r="E7" s="28">
        <f>(1+sb_cpi)^E6</f>
        <v/>
      </c>
      <c r="F7" s="28">
        <f>(1+sb_cpi)^F6</f>
        <v/>
      </c>
      <c r="G7" s="28">
        <f>(1+sb_cpi)^G6</f>
        <v/>
      </c>
      <c r="H7" s="28">
        <f>(1+sb_cpi)^H6</f>
        <v/>
      </c>
      <c r="I7" s="28">
        <f>(1+sb_cpi)^I6</f>
        <v/>
      </c>
      <c r="J7" s="28">
        <f>(1+sb_cpi)^J6</f>
        <v/>
      </c>
      <c r="K7" s="28">
        <f>(1+sb_cpi)^K6</f>
        <v/>
      </c>
      <c r="L7" s="28">
        <f>(1+sb_cpi)^L6</f>
        <v/>
      </c>
      <c r="M7" s="28">
        <f>(1+sb_cpi)^M6</f>
        <v/>
      </c>
      <c r="N7" s="28">
        <f>(1+sb_cpi)^N6</f>
        <v/>
      </c>
      <c r="O7" s="28">
        <f>(1+sb_cpi)^O6</f>
        <v/>
      </c>
      <c r="P7" s="28">
        <f>(1+sb_cpi)^P6</f>
        <v/>
      </c>
      <c r="Q7" s="28">
        <f>(1+sb_cpi)^Q6</f>
        <v/>
      </c>
      <c r="R7" s="28">
        <f>(1+sb_cpi)^R6</f>
        <v/>
      </c>
      <c r="S7" s="28">
        <f>(1+sb_cpi)^S6</f>
        <v/>
      </c>
      <c r="T7" s="28">
        <f>(1+sb_cpi)^T6</f>
        <v/>
      </c>
      <c r="U7" s="28">
        <f>(1+sb_cpi)^U6</f>
        <v/>
      </c>
      <c r="V7" s="28">
        <f>(1+sb_cpi)^V6</f>
        <v/>
      </c>
      <c r="W7" s="28">
        <f>(1+sb_cpi)^W6</f>
        <v/>
      </c>
      <c r="X7" s="28">
        <f>(1+sb_cpi)^X6</f>
        <v/>
      </c>
      <c r="Y7" s="28">
        <f>(1+sb_cpi)^Y6</f>
        <v/>
      </c>
      <c r="Z7" s="28">
        <f>(1+sb_cpi)^Z6</f>
        <v/>
      </c>
      <c r="AA7" s="28">
        <f>(1+sb_cpi)^AA6</f>
        <v/>
      </c>
      <c r="AB7" s="28">
        <f>(1+sb_cpi)^AB6</f>
        <v/>
      </c>
      <c r="AC7" s="28">
        <f>(1+sb_cpi)^AC6</f>
        <v/>
      </c>
      <c r="AD7" s="28">
        <f>(1+sb_cpi)^AD6</f>
        <v/>
      </c>
      <c r="AE7" s="28">
        <f>(1+sb_cpi)^AE6</f>
        <v/>
      </c>
      <c r="AF7" s="28">
        <f>(1+sb_cpi)^AF6</f>
        <v/>
      </c>
      <c r="AG7" s="28">
        <f>(1+sb_cpi)^AG6</f>
        <v/>
      </c>
      <c r="AH7" s="28">
        <f>(1+sb_cpi)^AH6</f>
        <v/>
      </c>
      <c r="AI7" s="28">
        <f>(1+sb_cpi)^AI6</f>
        <v/>
      </c>
      <c r="AJ7" s="28">
        <f>(1+sb_cpi)^AJ6</f>
        <v/>
      </c>
    </row>
    <row r="9">
      <c r="B9" s="6" t="inlineStr">
        <is>
          <t>Plant scalars</t>
        </is>
      </c>
      <c r="C9" s="7" t="n"/>
      <c r="D9" s="7" t="n"/>
      <c r="E9" s="7" t="n"/>
      <c r="F9" s="7" t="n"/>
      <c r="G9" s="7" t="n"/>
      <c r="H9" s="7" t="n"/>
      <c r="I9" s="7" t="n"/>
      <c r="J9" s="7" t="n"/>
      <c r="K9" s="7" t="n"/>
      <c r="L9" s="7" t="n"/>
      <c r="M9" s="7" t="n"/>
      <c r="N9" s="7" t="n"/>
      <c r="O9" s="7" t="n"/>
      <c r="P9" s="7" t="n"/>
      <c r="Q9" s="7" t="n"/>
      <c r="R9" s="7" t="n"/>
      <c r="S9" s="7" t="n"/>
      <c r="T9" s="7" t="n"/>
      <c r="U9" s="7" t="n"/>
      <c r="V9" s="7" t="n"/>
      <c r="W9" s="7" t="n"/>
      <c r="X9" s="7" t="n"/>
      <c r="Y9" s="7" t="n"/>
      <c r="Z9" s="7" t="n"/>
      <c r="AA9" s="7" t="n"/>
      <c r="AB9" s="7" t="n"/>
      <c r="AC9" s="7" t="n"/>
      <c r="AD9" s="7" t="n"/>
      <c r="AE9" s="7" t="n"/>
      <c r="AF9" s="7" t="n"/>
      <c r="AG9" s="7" t="n"/>
      <c r="AH9" s="7" t="n"/>
      <c r="AI9" s="7" t="n"/>
      <c r="AJ9" s="7" t="n"/>
    </row>
    <row r="10">
      <c r="B10" s="2" t="inlineStr">
        <is>
          <t>Payment factor at expected availability</t>
        </is>
      </c>
      <c r="D10" s="28">
        <f>IF(sb_avail&gt;=sb_guar,MIN(1,sb_avail/sb_guar),sb_avail/sb_guar-(sb_guar-sb_avail)/sb_guar)</f>
        <v/>
      </c>
    </row>
    <row r="11">
      <c r="B11" s="2" t="inlineStr">
        <is>
          <t>Paid capacity a year (m3)</t>
        </is>
      </c>
      <c r="C11" s="5" t="inlineStr">
        <is>
          <t>m3</t>
        </is>
      </c>
      <c r="D11" s="19">
        <f>sb_cap*365*sb_guar*$D$10</f>
        <v/>
      </c>
    </row>
    <row r="12">
      <c r="B12" s="2" t="inlineStr">
        <is>
          <t>Water delivered a year (m3)</t>
        </is>
      </c>
      <c r="C12" s="5" t="inlineStr">
        <is>
          <t>m3</t>
        </is>
      </c>
      <c r="D12" s="19">
        <f>sb_cap*365*sb_avail*sb_dispatch</f>
        <v/>
      </c>
    </row>
    <row r="13">
      <c r="B13" s="2" t="inlineStr">
        <is>
          <t>Fixed O&amp;M charge, 2030 ($ per m3 of available capacity)</t>
        </is>
      </c>
      <c r="C13" s="5" t="inlineStr">
        <is>
          <t>$ per m3</t>
        </is>
      </c>
      <c r="D13" s="38">
        <f>sb_fom*1000000/(sb_cap*365*sb_guar)</f>
        <v/>
      </c>
    </row>
    <row r="14">
      <c r="B14" s="2" t="inlineStr">
        <is>
          <t>Capital cost</t>
        </is>
      </c>
      <c r="C14" s="5" t="inlineStr">
        <is>
          <t>$ million</t>
        </is>
      </c>
      <c r="D14" s="23">
        <f>(sb_cx_plant+sb_cx_marine+sb_cx_conv+sb_cx_grid+sb_cx_dev+sb_cx_fin)*(1+sb_capex_shift)</f>
        <v/>
      </c>
    </row>
    <row r="15">
      <c r="B15" s="2" t="inlineStr">
        <is>
          <t>Capacity charge used</t>
        </is>
      </c>
      <c r="C15" s="5" t="inlineStr">
        <is>
          <t>$ per m3</t>
        </is>
      </c>
      <c r="D15" s="38">
        <f>'SB_Finance'!$C$6</f>
        <v/>
      </c>
    </row>
    <row r="17">
      <c r="B17" s="6" t="inlineStr">
        <is>
          <t>Operations</t>
        </is>
      </c>
      <c r="C17" s="7" t="n"/>
      <c r="D17" s="7" t="n"/>
      <c r="E17" s="7" t="n"/>
      <c r="F17" s="7" t="n"/>
      <c r="G17" s="7" t="n"/>
      <c r="H17" s="7" t="n"/>
      <c r="I17" s="7" t="n"/>
      <c r="J17" s="7" t="n"/>
      <c r="K17" s="7" t="n"/>
      <c r="L17" s="7" t="n"/>
      <c r="M17" s="7" t="n"/>
      <c r="N17" s="7" t="n"/>
      <c r="O17" s="7" t="n"/>
      <c r="P17" s="7" t="n"/>
      <c r="Q17" s="7" t="n"/>
      <c r="R17" s="7" t="n"/>
      <c r="S17" s="7" t="n"/>
      <c r="T17" s="7" t="n"/>
      <c r="U17" s="7" t="n"/>
      <c r="V17" s="7" t="n"/>
      <c r="W17" s="7" t="n"/>
      <c r="X17" s="7" t="n"/>
      <c r="Y17" s="7" t="n"/>
      <c r="Z17" s="7" t="n"/>
      <c r="AA17" s="7" t="n"/>
      <c r="AB17" s="7" t="n"/>
      <c r="AC17" s="7" t="n"/>
      <c r="AD17" s="7" t="n"/>
      <c r="AE17" s="7" t="n"/>
      <c r="AF17" s="7" t="n"/>
      <c r="AG17" s="7" t="n"/>
      <c r="AH17" s="7" t="n"/>
      <c r="AI17" s="7" t="n"/>
      <c r="AJ17" s="7" t="n"/>
    </row>
    <row r="18">
      <c r="B18" s="2" t="inlineStr">
        <is>
          <t>Paid capacity (m3)</t>
        </is>
      </c>
      <c r="C18" s="5" t="inlineStr">
        <is>
          <t>m3</t>
        </is>
      </c>
      <c r="D18" s="19">
        <f>D5*$D$11</f>
        <v/>
      </c>
      <c r="E18" s="19">
        <f>E5*$D$11</f>
        <v/>
      </c>
      <c r="F18" s="19">
        <f>F5*$D$11</f>
        <v/>
      </c>
      <c r="G18" s="19">
        <f>G5*$D$11</f>
        <v/>
      </c>
      <c r="H18" s="19">
        <f>H5*$D$11</f>
        <v/>
      </c>
      <c r="I18" s="19">
        <f>I5*$D$11</f>
        <v/>
      </c>
      <c r="J18" s="19">
        <f>J5*$D$11</f>
        <v/>
      </c>
      <c r="K18" s="19">
        <f>K5*$D$11</f>
        <v/>
      </c>
      <c r="L18" s="19">
        <f>L5*$D$11</f>
        <v/>
      </c>
      <c r="M18" s="19">
        <f>M5*$D$11</f>
        <v/>
      </c>
      <c r="N18" s="19">
        <f>N5*$D$11</f>
        <v/>
      </c>
      <c r="O18" s="19">
        <f>O5*$D$11</f>
        <v/>
      </c>
      <c r="P18" s="19">
        <f>P5*$D$11</f>
        <v/>
      </c>
      <c r="Q18" s="19">
        <f>Q5*$D$11</f>
        <v/>
      </c>
      <c r="R18" s="19">
        <f>R5*$D$11</f>
        <v/>
      </c>
      <c r="S18" s="19">
        <f>S5*$D$11</f>
        <v/>
      </c>
      <c r="T18" s="19">
        <f>T5*$D$11</f>
        <v/>
      </c>
      <c r="U18" s="19">
        <f>U5*$D$11</f>
        <v/>
      </c>
      <c r="V18" s="19">
        <f>V5*$D$11</f>
        <v/>
      </c>
      <c r="W18" s="19">
        <f>W5*$D$11</f>
        <v/>
      </c>
      <c r="X18" s="19">
        <f>X5*$D$11</f>
        <v/>
      </c>
      <c r="Y18" s="19">
        <f>Y5*$D$11</f>
        <v/>
      </c>
      <c r="Z18" s="19">
        <f>Z5*$D$11</f>
        <v/>
      </c>
      <c r="AA18" s="19">
        <f>AA5*$D$11</f>
        <v/>
      </c>
      <c r="AB18" s="19">
        <f>AB5*$D$11</f>
        <v/>
      </c>
      <c r="AC18" s="19">
        <f>AC5*$D$11</f>
        <v/>
      </c>
      <c r="AD18" s="19">
        <f>AD5*$D$11</f>
        <v/>
      </c>
      <c r="AE18" s="19">
        <f>AE5*$D$11</f>
        <v/>
      </c>
      <c r="AF18" s="19">
        <f>AF5*$D$11</f>
        <v/>
      </c>
      <c r="AG18" s="19">
        <f>AG5*$D$11</f>
        <v/>
      </c>
      <c r="AH18" s="19">
        <f>AH5*$D$11</f>
        <v/>
      </c>
      <c r="AI18" s="19">
        <f>AI5*$D$11</f>
        <v/>
      </c>
      <c r="AJ18" s="19">
        <f>AJ5*$D$11</f>
        <v/>
      </c>
    </row>
    <row r="19">
      <c r="B19" s="2" t="inlineStr">
        <is>
          <t>Water delivered (m3)</t>
        </is>
      </c>
      <c r="C19" s="5" t="inlineStr">
        <is>
          <t>m3</t>
        </is>
      </c>
      <c r="D19" s="19">
        <f>D5*$D$12</f>
        <v/>
      </c>
      <c r="E19" s="19">
        <f>E5*$D$12</f>
        <v/>
      </c>
      <c r="F19" s="19">
        <f>F5*$D$12</f>
        <v/>
      </c>
      <c r="G19" s="19">
        <f>G5*$D$12</f>
        <v/>
      </c>
      <c r="H19" s="19">
        <f>H5*$D$12</f>
        <v/>
      </c>
      <c r="I19" s="19">
        <f>I5*$D$12</f>
        <v/>
      </c>
      <c r="J19" s="19">
        <f>J5*$D$12</f>
        <v/>
      </c>
      <c r="K19" s="19">
        <f>K5*$D$12</f>
        <v/>
      </c>
      <c r="L19" s="19">
        <f>L5*$D$12</f>
        <v/>
      </c>
      <c r="M19" s="19">
        <f>M5*$D$12</f>
        <v/>
      </c>
      <c r="N19" s="19">
        <f>N5*$D$12</f>
        <v/>
      </c>
      <c r="O19" s="19">
        <f>O5*$D$12</f>
        <v/>
      </c>
      <c r="P19" s="19">
        <f>P5*$D$12</f>
        <v/>
      </c>
      <c r="Q19" s="19">
        <f>Q5*$D$12</f>
        <v/>
      </c>
      <c r="R19" s="19">
        <f>R5*$D$12</f>
        <v/>
      </c>
      <c r="S19" s="19">
        <f>S5*$D$12</f>
        <v/>
      </c>
      <c r="T19" s="19">
        <f>T5*$D$12</f>
        <v/>
      </c>
      <c r="U19" s="19">
        <f>U5*$D$12</f>
        <v/>
      </c>
      <c r="V19" s="19">
        <f>V5*$D$12</f>
        <v/>
      </c>
      <c r="W19" s="19">
        <f>W5*$D$12</f>
        <v/>
      </c>
      <c r="X19" s="19">
        <f>X5*$D$12</f>
        <v/>
      </c>
      <c r="Y19" s="19">
        <f>Y5*$D$12</f>
        <v/>
      </c>
      <c r="Z19" s="19">
        <f>Z5*$D$12</f>
        <v/>
      </c>
      <c r="AA19" s="19">
        <f>AA5*$D$12</f>
        <v/>
      </c>
      <c r="AB19" s="19">
        <f>AB5*$D$12</f>
        <v/>
      </c>
      <c r="AC19" s="19">
        <f>AC5*$D$12</f>
        <v/>
      </c>
      <c r="AD19" s="19">
        <f>AD5*$D$12</f>
        <v/>
      </c>
      <c r="AE19" s="19">
        <f>AE5*$D$12</f>
        <v/>
      </c>
      <c r="AF19" s="19">
        <f>AF5*$D$12</f>
        <v/>
      </c>
      <c r="AG19" s="19">
        <f>AG5*$D$12</f>
        <v/>
      </c>
      <c r="AH19" s="19">
        <f>AH5*$D$12</f>
        <v/>
      </c>
      <c r="AI19" s="19">
        <f>AI5*$D$12</f>
        <v/>
      </c>
      <c r="AJ19" s="19">
        <f>AJ5*$D$12</f>
        <v/>
      </c>
    </row>
    <row r="20">
      <c r="B20" s="2" t="inlineStr">
        <is>
          <t>Power price paid</t>
        </is>
      </c>
      <c r="C20" s="5" t="inlineStr">
        <is>
          <t>$ per MWh</t>
        </is>
      </c>
      <c r="D20" s="22">
        <f>D5*(sb_power*(1+sb_power_esc)^D6+sb_power_shift)</f>
        <v/>
      </c>
      <c r="E20" s="22">
        <f>E5*(sb_power*(1+sb_power_esc)^E6+sb_power_shift)</f>
        <v/>
      </c>
      <c r="F20" s="22">
        <f>F5*(sb_power*(1+sb_power_esc)^F6+sb_power_shift)</f>
        <v/>
      </c>
      <c r="G20" s="22">
        <f>G5*(sb_power*(1+sb_power_esc)^G6+sb_power_shift)</f>
        <v/>
      </c>
      <c r="H20" s="22">
        <f>H5*(sb_power*(1+sb_power_esc)^H6+sb_power_shift)</f>
        <v/>
      </c>
      <c r="I20" s="22">
        <f>I5*(sb_power*(1+sb_power_esc)^I6+sb_power_shift)</f>
        <v/>
      </c>
      <c r="J20" s="22">
        <f>J5*(sb_power*(1+sb_power_esc)^J6+sb_power_shift)</f>
        <v/>
      </c>
      <c r="K20" s="22">
        <f>K5*(sb_power*(1+sb_power_esc)^K6+sb_power_shift)</f>
        <v/>
      </c>
      <c r="L20" s="22">
        <f>L5*(sb_power*(1+sb_power_esc)^L6+sb_power_shift)</f>
        <v/>
      </c>
      <c r="M20" s="22">
        <f>M5*(sb_power*(1+sb_power_esc)^M6+sb_power_shift)</f>
        <v/>
      </c>
      <c r="N20" s="22">
        <f>N5*(sb_power*(1+sb_power_esc)^N6+sb_power_shift)</f>
        <v/>
      </c>
      <c r="O20" s="22">
        <f>O5*(sb_power*(1+sb_power_esc)^O6+sb_power_shift)</f>
        <v/>
      </c>
      <c r="P20" s="22">
        <f>P5*(sb_power*(1+sb_power_esc)^P6+sb_power_shift)</f>
        <v/>
      </c>
      <c r="Q20" s="22">
        <f>Q5*(sb_power*(1+sb_power_esc)^Q6+sb_power_shift)</f>
        <v/>
      </c>
      <c r="R20" s="22">
        <f>R5*(sb_power*(1+sb_power_esc)^R6+sb_power_shift)</f>
        <v/>
      </c>
      <c r="S20" s="22">
        <f>S5*(sb_power*(1+sb_power_esc)^S6+sb_power_shift)</f>
        <v/>
      </c>
      <c r="T20" s="22">
        <f>T5*(sb_power*(1+sb_power_esc)^T6+sb_power_shift)</f>
        <v/>
      </c>
      <c r="U20" s="22">
        <f>U5*(sb_power*(1+sb_power_esc)^U6+sb_power_shift)</f>
        <v/>
      </c>
      <c r="V20" s="22">
        <f>V5*(sb_power*(1+sb_power_esc)^V6+sb_power_shift)</f>
        <v/>
      </c>
      <c r="W20" s="22">
        <f>W5*(sb_power*(1+sb_power_esc)^W6+sb_power_shift)</f>
        <v/>
      </c>
      <c r="X20" s="22">
        <f>X5*(sb_power*(1+sb_power_esc)^X6+sb_power_shift)</f>
        <v/>
      </c>
      <c r="Y20" s="22">
        <f>Y5*(sb_power*(1+sb_power_esc)^Y6+sb_power_shift)</f>
        <v/>
      </c>
      <c r="Z20" s="22">
        <f>Z5*(sb_power*(1+sb_power_esc)^Z6+sb_power_shift)</f>
        <v/>
      </c>
      <c r="AA20" s="22">
        <f>AA5*(sb_power*(1+sb_power_esc)^AA6+sb_power_shift)</f>
        <v/>
      </c>
      <c r="AB20" s="22">
        <f>AB5*(sb_power*(1+sb_power_esc)^AB6+sb_power_shift)</f>
        <v/>
      </c>
      <c r="AC20" s="22">
        <f>AC5*(sb_power*(1+sb_power_esc)^AC6+sb_power_shift)</f>
        <v/>
      </c>
      <c r="AD20" s="22">
        <f>AD5*(sb_power*(1+sb_power_esc)^AD6+sb_power_shift)</f>
        <v/>
      </c>
      <c r="AE20" s="22">
        <f>AE5*(sb_power*(1+sb_power_esc)^AE6+sb_power_shift)</f>
        <v/>
      </c>
      <c r="AF20" s="22">
        <f>AF5*(sb_power*(1+sb_power_esc)^AF6+sb_power_shift)</f>
        <v/>
      </c>
      <c r="AG20" s="22">
        <f>AG5*(sb_power*(1+sb_power_esc)^AG6+sb_power_shift)</f>
        <v/>
      </c>
      <c r="AH20" s="22">
        <f>AH5*(sb_power*(1+sb_power_esc)^AH6+sb_power_shift)</f>
        <v/>
      </c>
      <c r="AI20" s="22">
        <f>AI5*(sb_power*(1+sb_power_esc)^AI6+sb_power_shift)</f>
        <v/>
      </c>
      <c r="AJ20" s="22">
        <f>AJ5*(sb_power*(1+sb_power_esc)^AJ6+sb_power_shift)</f>
        <v/>
      </c>
    </row>
    <row r="21">
      <c r="B21" s="2" t="inlineStr">
        <is>
          <t>Power price in the energy charge</t>
        </is>
      </c>
      <c r="C21" s="5" t="inlineStr">
        <is>
          <t>$ per MWh</t>
        </is>
      </c>
      <c r="D21" s="22">
        <f>D5*(sb_power*(1+sb_power_esc)^D6+IF(sb_pass=1,sb_power_shift,0))</f>
        <v/>
      </c>
      <c r="E21" s="22">
        <f>E5*(sb_power*(1+sb_power_esc)^E6+IF(sb_pass=1,sb_power_shift,0))</f>
        <v/>
      </c>
      <c r="F21" s="22">
        <f>F5*(sb_power*(1+sb_power_esc)^F6+IF(sb_pass=1,sb_power_shift,0))</f>
        <v/>
      </c>
      <c r="G21" s="22">
        <f>G5*(sb_power*(1+sb_power_esc)^G6+IF(sb_pass=1,sb_power_shift,0))</f>
        <v/>
      </c>
      <c r="H21" s="22">
        <f>H5*(sb_power*(1+sb_power_esc)^H6+IF(sb_pass=1,sb_power_shift,0))</f>
        <v/>
      </c>
      <c r="I21" s="22">
        <f>I5*(sb_power*(1+sb_power_esc)^I6+IF(sb_pass=1,sb_power_shift,0))</f>
        <v/>
      </c>
      <c r="J21" s="22">
        <f>J5*(sb_power*(1+sb_power_esc)^J6+IF(sb_pass=1,sb_power_shift,0))</f>
        <v/>
      </c>
      <c r="K21" s="22">
        <f>K5*(sb_power*(1+sb_power_esc)^K6+IF(sb_pass=1,sb_power_shift,0))</f>
        <v/>
      </c>
      <c r="L21" s="22">
        <f>L5*(sb_power*(1+sb_power_esc)^L6+IF(sb_pass=1,sb_power_shift,0))</f>
        <v/>
      </c>
      <c r="M21" s="22">
        <f>M5*(sb_power*(1+sb_power_esc)^M6+IF(sb_pass=1,sb_power_shift,0))</f>
        <v/>
      </c>
      <c r="N21" s="22">
        <f>N5*(sb_power*(1+sb_power_esc)^N6+IF(sb_pass=1,sb_power_shift,0))</f>
        <v/>
      </c>
      <c r="O21" s="22">
        <f>O5*(sb_power*(1+sb_power_esc)^O6+IF(sb_pass=1,sb_power_shift,0))</f>
        <v/>
      </c>
      <c r="P21" s="22">
        <f>P5*(sb_power*(1+sb_power_esc)^P6+IF(sb_pass=1,sb_power_shift,0))</f>
        <v/>
      </c>
      <c r="Q21" s="22">
        <f>Q5*(sb_power*(1+sb_power_esc)^Q6+IF(sb_pass=1,sb_power_shift,0))</f>
        <v/>
      </c>
      <c r="R21" s="22">
        <f>R5*(sb_power*(1+sb_power_esc)^R6+IF(sb_pass=1,sb_power_shift,0))</f>
        <v/>
      </c>
      <c r="S21" s="22">
        <f>S5*(sb_power*(1+sb_power_esc)^S6+IF(sb_pass=1,sb_power_shift,0))</f>
        <v/>
      </c>
      <c r="T21" s="22">
        <f>T5*(sb_power*(1+sb_power_esc)^T6+IF(sb_pass=1,sb_power_shift,0))</f>
        <v/>
      </c>
      <c r="U21" s="22">
        <f>U5*(sb_power*(1+sb_power_esc)^U6+IF(sb_pass=1,sb_power_shift,0))</f>
        <v/>
      </c>
      <c r="V21" s="22">
        <f>V5*(sb_power*(1+sb_power_esc)^V6+IF(sb_pass=1,sb_power_shift,0))</f>
        <v/>
      </c>
      <c r="W21" s="22">
        <f>W5*(sb_power*(1+sb_power_esc)^W6+IF(sb_pass=1,sb_power_shift,0))</f>
        <v/>
      </c>
      <c r="X21" s="22">
        <f>X5*(sb_power*(1+sb_power_esc)^X6+IF(sb_pass=1,sb_power_shift,0))</f>
        <v/>
      </c>
      <c r="Y21" s="22">
        <f>Y5*(sb_power*(1+sb_power_esc)^Y6+IF(sb_pass=1,sb_power_shift,0))</f>
        <v/>
      </c>
      <c r="Z21" s="22">
        <f>Z5*(sb_power*(1+sb_power_esc)^Z6+IF(sb_pass=1,sb_power_shift,0))</f>
        <v/>
      </c>
      <c r="AA21" s="22">
        <f>AA5*(sb_power*(1+sb_power_esc)^AA6+IF(sb_pass=1,sb_power_shift,0))</f>
        <v/>
      </c>
      <c r="AB21" s="22">
        <f>AB5*(sb_power*(1+sb_power_esc)^AB6+IF(sb_pass=1,sb_power_shift,0))</f>
        <v/>
      </c>
      <c r="AC21" s="22">
        <f>AC5*(sb_power*(1+sb_power_esc)^AC6+IF(sb_pass=1,sb_power_shift,0))</f>
        <v/>
      </c>
      <c r="AD21" s="22">
        <f>AD5*(sb_power*(1+sb_power_esc)^AD6+IF(sb_pass=1,sb_power_shift,0))</f>
        <v/>
      </c>
      <c r="AE21" s="22">
        <f>AE5*(sb_power*(1+sb_power_esc)^AE6+IF(sb_pass=1,sb_power_shift,0))</f>
        <v/>
      </c>
      <c r="AF21" s="22">
        <f>AF5*(sb_power*(1+sb_power_esc)^AF6+IF(sb_pass=1,sb_power_shift,0))</f>
        <v/>
      </c>
      <c r="AG21" s="22">
        <f>AG5*(sb_power*(1+sb_power_esc)^AG6+IF(sb_pass=1,sb_power_shift,0))</f>
        <v/>
      </c>
      <c r="AH21" s="22">
        <f>AH5*(sb_power*(1+sb_power_esc)^AH6+IF(sb_pass=1,sb_power_shift,0))</f>
        <v/>
      </c>
      <c r="AI21" s="22">
        <f>AI5*(sb_power*(1+sb_power_esc)^AI6+IF(sb_pass=1,sb_power_shift,0))</f>
        <v/>
      </c>
      <c r="AJ21" s="22">
        <f>AJ5*(sb_power*(1+sb_power_esc)^AJ6+IF(sb_pass=1,sb_power_shift,0))</f>
        <v/>
      </c>
    </row>
    <row r="22">
      <c r="B22" s="2" t="inlineStr">
        <is>
          <t>Capacity payments</t>
        </is>
      </c>
      <c r="C22" s="5" t="inlineStr">
        <is>
          <t>$ million</t>
        </is>
      </c>
      <c r="D22" s="23">
        <f>$D$15*D18/1000000</f>
        <v/>
      </c>
      <c r="E22" s="23">
        <f>$D$15*E18/1000000</f>
        <v/>
      </c>
      <c r="F22" s="23">
        <f>$D$15*F18/1000000</f>
        <v/>
      </c>
      <c r="G22" s="23">
        <f>$D$15*G18/1000000</f>
        <v/>
      </c>
      <c r="H22" s="23">
        <f>$D$15*H18/1000000</f>
        <v/>
      </c>
      <c r="I22" s="23">
        <f>$D$15*I18/1000000</f>
        <v/>
      </c>
      <c r="J22" s="23">
        <f>$D$15*J18/1000000</f>
        <v/>
      </c>
      <c r="K22" s="23">
        <f>$D$15*K18/1000000</f>
        <v/>
      </c>
      <c r="L22" s="23">
        <f>$D$15*L18/1000000</f>
        <v/>
      </c>
      <c r="M22" s="23">
        <f>$D$15*M18/1000000</f>
        <v/>
      </c>
      <c r="N22" s="23">
        <f>$D$15*N18/1000000</f>
        <v/>
      </c>
      <c r="O22" s="23">
        <f>$D$15*O18/1000000</f>
        <v/>
      </c>
      <c r="P22" s="23">
        <f>$D$15*P18/1000000</f>
        <v/>
      </c>
      <c r="Q22" s="23">
        <f>$D$15*Q18/1000000</f>
        <v/>
      </c>
      <c r="R22" s="23">
        <f>$D$15*R18/1000000</f>
        <v/>
      </c>
      <c r="S22" s="23">
        <f>$D$15*S18/1000000</f>
        <v/>
      </c>
      <c r="T22" s="23">
        <f>$D$15*T18/1000000</f>
        <v/>
      </c>
      <c r="U22" s="23">
        <f>$D$15*U18/1000000</f>
        <v/>
      </c>
      <c r="V22" s="23">
        <f>$D$15*V18/1000000</f>
        <v/>
      </c>
      <c r="W22" s="23">
        <f>$D$15*W18/1000000</f>
        <v/>
      </c>
      <c r="X22" s="23">
        <f>$D$15*X18/1000000</f>
        <v/>
      </c>
      <c r="Y22" s="23">
        <f>$D$15*Y18/1000000</f>
        <v/>
      </c>
      <c r="Z22" s="23">
        <f>$D$15*Z18/1000000</f>
        <v/>
      </c>
      <c r="AA22" s="23">
        <f>$D$15*AA18/1000000</f>
        <v/>
      </c>
      <c r="AB22" s="23">
        <f>$D$15*AB18/1000000</f>
        <v/>
      </c>
      <c r="AC22" s="23">
        <f>$D$15*AC18/1000000</f>
        <v/>
      </c>
      <c r="AD22" s="23">
        <f>$D$15*AD18/1000000</f>
        <v/>
      </c>
      <c r="AE22" s="23">
        <f>$D$15*AE18/1000000</f>
        <v/>
      </c>
      <c r="AF22" s="23">
        <f>$D$15*AF18/1000000</f>
        <v/>
      </c>
      <c r="AG22" s="23">
        <f>$D$15*AG18/1000000</f>
        <v/>
      </c>
      <c r="AH22" s="23">
        <f>$D$15*AH18/1000000</f>
        <v/>
      </c>
      <c r="AI22" s="23">
        <f>$D$15*AI18/1000000</f>
        <v/>
      </c>
      <c r="AJ22" s="23">
        <f>$D$15*AJ18/1000000</f>
        <v/>
      </c>
    </row>
    <row r="23">
      <c r="B23" s="2" t="inlineStr">
        <is>
          <t>Fixed O&amp;M payments (indexed)</t>
        </is>
      </c>
      <c r="C23" s="5" t="inlineStr">
        <is>
          <t>$ million</t>
        </is>
      </c>
      <c r="D23" s="23">
        <f>$D$13*D7*D18/1000000</f>
        <v/>
      </c>
      <c r="E23" s="23">
        <f>$D$13*E7*E18/1000000</f>
        <v/>
      </c>
      <c r="F23" s="23">
        <f>$D$13*F7*F18/1000000</f>
        <v/>
      </c>
      <c r="G23" s="23">
        <f>$D$13*G7*G18/1000000</f>
        <v/>
      </c>
      <c r="H23" s="23">
        <f>$D$13*H7*H18/1000000</f>
        <v/>
      </c>
      <c r="I23" s="23">
        <f>$D$13*I7*I18/1000000</f>
        <v/>
      </c>
      <c r="J23" s="23">
        <f>$D$13*J7*J18/1000000</f>
        <v/>
      </c>
      <c r="K23" s="23">
        <f>$D$13*K7*K18/1000000</f>
        <v/>
      </c>
      <c r="L23" s="23">
        <f>$D$13*L7*L18/1000000</f>
        <v/>
      </c>
      <c r="M23" s="23">
        <f>$D$13*M7*M18/1000000</f>
        <v/>
      </c>
      <c r="N23" s="23">
        <f>$D$13*N7*N18/1000000</f>
        <v/>
      </c>
      <c r="O23" s="23">
        <f>$D$13*O7*O18/1000000</f>
        <v/>
      </c>
      <c r="P23" s="23">
        <f>$D$13*P7*P18/1000000</f>
        <v/>
      </c>
      <c r="Q23" s="23">
        <f>$D$13*Q7*Q18/1000000</f>
        <v/>
      </c>
      <c r="R23" s="23">
        <f>$D$13*R7*R18/1000000</f>
        <v/>
      </c>
      <c r="S23" s="23">
        <f>$D$13*S7*S18/1000000</f>
        <v/>
      </c>
      <c r="T23" s="23">
        <f>$D$13*T7*T18/1000000</f>
        <v/>
      </c>
      <c r="U23" s="23">
        <f>$D$13*U7*U18/1000000</f>
        <v/>
      </c>
      <c r="V23" s="23">
        <f>$D$13*V7*V18/1000000</f>
        <v/>
      </c>
      <c r="W23" s="23">
        <f>$D$13*W7*W18/1000000</f>
        <v/>
      </c>
      <c r="X23" s="23">
        <f>$D$13*X7*X18/1000000</f>
        <v/>
      </c>
      <c r="Y23" s="23">
        <f>$D$13*Y7*Y18/1000000</f>
        <v/>
      </c>
      <c r="Z23" s="23">
        <f>$D$13*Z7*Z18/1000000</f>
        <v/>
      </c>
      <c r="AA23" s="23">
        <f>$D$13*AA7*AA18/1000000</f>
        <v/>
      </c>
      <c r="AB23" s="23">
        <f>$D$13*AB7*AB18/1000000</f>
        <v/>
      </c>
      <c r="AC23" s="23">
        <f>$D$13*AC7*AC18/1000000</f>
        <v/>
      </c>
      <c r="AD23" s="23">
        <f>$D$13*AD7*AD18/1000000</f>
        <v/>
      </c>
      <c r="AE23" s="23">
        <f>$D$13*AE7*AE18/1000000</f>
        <v/>
      </c>
      <c r="AF23" s="23">
        <f>$D$13*AF7*AF18/1000000</f>
        <v/>
      </c>
      <c r="AG23" s="23">
        <f>$D$13*AG7*AG18/1000000</f>
        <v/>
      </c>
      <c r="AH23" s="23">
        <f>$D$13*AH7*AH18/1000000</f>
        <v/>
      </c>
      <c r="AI23" s="23">
        <f>$D$13*AI7*AI18/1000000</f>
        <v/>
      </c>
      <c r="AJ23" s="23">
        <f>$D$13*AJ7*AJ18/1000000</f>
        <v/>
      </c>
    </row>
    <row r="24">
      <c r="B24" s="2" t="inlineStr">
        <is>
          <t>Energy charge (guaranteed kWh x power price)</t>
        </is>
      </c>
      <c r="C24" s="5" t="inlineStr">
        <is>
          <t>$ million</t>
        </is>
      </c>
      <c r="D24" s="23">
        <f>D19*sb_sec*D21/1000/1000000</f>
        <v/>
      </c>
      <c r="E24" s="23">
        <f>E19*sb_sec*E21/1000/1000000</f>
        <v/>
      </c>
      <c r="F24" s="23">
        <f>F19*sb_sec*F21/1000/1000000</f>
        <v/>
      </c>
      <c r="G24" s="23">
        <f>G19*sb_sec*G21/1000/1000000</f>
        <v/>
      </c>
      <c r="H24" s="23">
        <f>H19*sb_sec*H21/1000/1000000</f>
        <v/>
      </c>
      <c r="I24" s="23">
        <f>I19*sb_sec*I21/1000/1000000</f>
        <v/>
      </c>
      <c r="J24" s="23">
        <f>J19*sb_sec*J21/1000/1000000</f>
        <v/>
      </c>
      <c r="K24" s="23">
        <f>K19*sb_sec*K21/1000/1000000</f>
        <v/>
      </c>
      <c r="L24" s="23">
        <f>L19*sb_sec*L21/1000/1000000</f>
        <v/>
      </c>
      <c r="M24" s="23">
        <f>M19*sb_sec*M21/1000/1000000</f>
        <v/>
      </c>
      <c r="N24" s="23">
        <f>N19*sb_sec*N21/1000/1000000</f>
        <v/>
      </c>
      <c r="O24" s="23">
        <f>O19*sb_sec*O21/1000/1000000</f>
        <v/>
      </c>
      <c r="P24" s="23">
        <f>P19*sb_sec*P21/1000/1000000</f>
        <v/>
      </c>
      <c r="Q24" s="23">
        <f>Q19*sb_sec*Q21/1000/1000000</f>
        <v/>
      </c>
      <c r="R24" s="23">
        <f>R19*sb_sec*R21/1000/1000000</f>
        <v/>
      </c>
      <c r="S24" s="23">
        <f>S19*sb_sec*S21/1000/1000000</f>
        <v/>
      </c>
      <c r="T24" s="23">
        <f>T19*sb_sec*T21/1000/1000000</f>
        <v/>
      </c>
      <c r="U24" s="23">
        <f>U19*sb_sec*U21/1000/1000000</f>
        <v/>
      </c>
      <c r="V24" s="23">
        <f>V19*sb_sec*V21/1000/1000000</f>
        <v/>
      </c>
      <c r="W24" s="23">
        <f>W19*sb_sec*W21/1000/1000000</f>
        <v/>
      </c>
      <c r="X24" s="23">
        <f>X19*sb_sec*X21/1000/1000000</f>
        <v/>
      </c>
      <c r="Y24" s="23">
        <f>Y19*sb_sec*Y21/1000/1000000</f>
        <v/>
      </c>
      <c r="Z24" s="23">
        <f>Z19*sb_sec*Z21/1000/1000000</f>
        <v/>
      </c>
      <c r="AA24" s="23">
        <f>AA19*sb_sec*AA21/1000/1000000</f>
        <v/>
      </c>
      <c r="AB24" s="23">
        <f>AB19*sb_sec*AB21/1000/1000000</f>
        <v/>
      </c>
      <c r="AC24" s="23">
        <f>AC19*sb_sec*AC21/1000/1000000</f>
        <v/>
      </c>
      <c r="AD24" s="23">
        <f>AD19*sb_sec*AD21/1000/1000000</f>
        <v/>
      </c>
      <c r="AE24" s="23">
        <f>AE19*sb_sec*AE21/1000/1000000</f>
        <v/>
      </c>
      <c r="AF24" s="23">
        <f>AF19*sb_sec*AF21/1000/1000000</f>
        <v/>
      </c>
      <c r="AG24" s="23">
        <f>AG19*sb_sec*AG21/1000/1000000</f>
        <v/>
      </c>
      <c r="AH24" s="23">
        <f>AH19*sb_sec*AH21/1000/1000000</f>
        <v/>
      </c>
      <c r="AI24" s="23">
        <f>AI19*sb_sec*AI21/1000/1000000</f>
        <v/>
      </c>
      <c r="AJ24" s="23">
        <f>AJ19*sb_sec*AJ21/1000/1000000</f>
        <v/>
      </c>
    </row>
    <row r="25">
      <c r="B25" s="2" t="inlineStr">
        <is>
          <t>Chemicals charge (indexed)</t>
        </is>
      </c>
      <c r="C25" s="5" t="inlineStr">
        <is>
          <t>$ million</t>
        </is>
      </c>
      <c r="D25" s="23">
        <f>D19*sb_chem*D7/1000000</f>
        <v/>
      </c>
      <c r="E25" s="23">
        <f>E19*sb_chem*E7/1000000</f>
        <v/>
      </c>
      <c r="F25" s="23">
        <f>F19*sb_chem*F7/1000000</f>
        <v/>
      </c>
      <c r="G25" s="23">
        <f>G19*sb_chem*G7/1000000</f>
        <v/>
      </c>
      <c r="H25" s="23">
        <f>H19*sb_chem*H7/1000000</f>
        <v/>
      </c>
      <c r="I25" s="23">
        <f>I19*sb_chem*I7/1000000</f>
        <v/>
      </c>
      <c r="J25" s="23">
        <f>J19*sb_chem*J7/1000000</f>
        <v/>
      </c>
      <c r="K25" s="23">
        <f>K19*sb_chem*K7/1000000</f>
        <v/>
      </c>
      <c r="L25" s="23">
        <f>L19*sb_chem*L7/1000000</f>
        <v/>
      </c>
      <c r="M25" s="23">
        <f>M19*sb_chem*M7/1000000</f>
        <v/>
      </c>
      <c r="N25" s="23">
        <f>N19*sb_chem*N7/1000000</f>
        <v/>
      </c>
      <c r="O25" s="23">
        <f>O19*sb_chem*O7/1000000</f>
        <v/>
      </c>
      <c r="P25" s="23">
        <f>P19*sb_chem*P7/1000000</f>
        <v/>
      </c>
      <c r="Q25" s="23">
        <f>Q19*sb_chem*Q7/1000000</f>
        <v/>
      </c>
      <c r="R25" s="23">
        <f>R19*sb_chem*R7/1000000</f>
        <v/>
      </c>
      <c r="S25" s="23">
        <f>S19*sb_chem*S7/1000000</f>
        <v/>
      </c>
      <c r="T25" s="23">
        <f>T19*sb_chem*T7/1000000</f>
        <v/>
      </c>
      <c r="U25" s="23">
        <f>U19*sb_chem*U7/1000000</f>
        <v/>
      </c>
      <c r="V25" s="23">
        <f>V19*sb_chem*V7/1000000</f>
        <v/>
      </c>
      <c r="W25" s="23">
        <f>W19*sb_chem*W7/1000000</f>
        <v/>
      </c>
      <c r="X25" s="23">
        <f>X19*sb_chem*X7/1000000</f>
        <v/>
      </c>
      <c r="Y25" s="23">
        <f>Y19*sb_chem*Y7/1000000</f>
        <v/>
      </c>
      <c r="Z25" s="23">
        <f>Z19*sb_chem*Z7/1000000</f>
        <v/>
      </c>
      <c r="AA25" s="23">
        <f>AA19*sb_chem*AA7/1000000</f>
        <v/>
      </c>
      <c r="AB25" s="23">
        <f>AB19*sb_chem*AB7/1000000</f>
        <v/>
      </c>
      <c r="AC25" s="23">
        <f>AC19*sb_chem*AC7/1000000</f>
        <v/>
      </c>
      <c r="AD25" s="23">
        <f>AD19*sb_chem*AD7/1000000</f>
        <v/>
      </c>
      <c r="AE25" s="23">
        <f>AE19*sb_chem*AE7/1000000</f>
        <v/>
      </c>
      <c r="AF25" s="23">
        <f>AF19*sb_chem*AF7/1000000</f>
        <v/>
      </c>
      <c r="AG25" s="23">
        <f>AG19*sb_chem*AG7/1000000</f>
        <v/>
      </c>
      <c r="AH25" s="23">
        <f>AH19*sb_chem*AH7/1000000</f>
        <v/>
      </c>
      <c r="AI25" s="23">
        <f>AI19*sb_chem*AI7/1000000</f>
        <v/>
      </c>
      <c r="AJ25" s="23">
        <f>AJ19*sb_chem*AJ7/1000000</f>
        <v/>
      </c>
    </row>
    <row r="26">
      <c r="B26" s="2" t="inlineStr">
        <is>
          <t>Capacity payments lost to delay</t>
        </is>
      </c>
      <c r="C26" s="5" t="inlineStr">
        <is>
          <t>$ million</t>
        </is>
      </c>
      <c r="D26" s="23">
        <f>IF(D4=sb_cod,D22*sb_delay,0)</f>
        <v/>
      </c>
      <c r="E26" s="23">
        <f>IF(E4=sb_cod,E22*sb_delay,0)</f>
        <v/>
      </c>
      <c r="F26" s="23">
        <f>IF(F4=sb_cod,F22*sb_delay,0)</f>
        <v/>
      </c>
      <c r="G26" s="23">
        <f>IF(G4=sb_cod,G22*sb_delay,0)</f>
        <v/>
      </c>
      <c r="H26" s="23">
        <f>IF(H4=sb_cod,H22*sb_delay,0)</f>
        <v/>
      </c>
      <c r="I26" s="23">
        <f>IF(I4=sb_cod,I22*sb_delay,0)</f>
        <v/>
      </c>
      <c r="J26" s="23">
        <f>IF(J4=sb_cod,J22*sb_delay,0)</f>
        <v/>
      </c>
      <c r="K26" s="23">
        <f>IF(K4=sb_cod,K22*sb_delay,0)</f>
        <v/>
      </c>
      <c r="L26" s="23">
        <f>IF(L4=sb_cod,L22*sb_delay,0)</f>
        <v/>
      </c>
      <c r="M26" s="23">
        <f>IF(M4=sb_cod,M22*sb_delay,0)</f>
        <v/>
      </c>
      <c r="N26" s="23">
        <f>IF(N4=sb_cod,N22*sb_delay,0)</f>
        <v/>
      </c>
      <c r="O26" s="23">
        <f>IF(O4=sb_cod,O22*sb_delay,0)</f>
        <v/>
      </c>
      <c r="P26" s="23">
        <f>IF(P4=sb_cod,P22*sb_delay,0)</f>
        <v/>
      </c>
      <c r="Q26" s="23">
        <f>IF(Q4=sb_cod,Q22*sb_delay,0)</f>
        <v/>
      </c>
      <c r="R26" s="23">
        <f>IF(R4=sb_cod,R22*sb_delay,0)</f>
        <v/>
      </c>
      <c r="S26" s="23">
        <f>IF(S4=sb_cod,S22*sb_delay,0)</f>
        <v/>
      </c>
      <c r="T26" s="23">
        <f>IF(T4=sb_cod,T22*sb_delay,0)</f>
        <v/>
      </c>
      <c r="U26" s="23">
        <f>IF(U4=sb_cod,U22*sb_delay,0)</f>
        <v/>
      </c>
      <c r="V26" s="23">
        <f>IF(V4=sb_cod,V22*sb_delay,0)</f>
        <v/>
      </c>
      <c r="W26" s="23">
        <f>IF(W4=sb_cod,W22*sb_delay,0)</f>
        <v/>
      </c>
      <c r="X26" s="23">
        <f>IF(X4=sb_cod,X22*sb_delay,0)</f>
        <v/>
      </c>
      <c r="Y26" s="23">
        <f>IF(Y4=sb_cod,Y22*sb_delay,0)</f>
        <v/>
      </c>
      <c r="Z26" s="23">
        <f>IF(Z4=sb_cod,Z22*sb_delay,0)</f>
        <v/>
      </c>
      <c r="AA26" s="23">
        <f>IF(AA4=sb_cod,AA22*sb_delay,0)</f>
        <v/>
      </c>
      <c r="AB26" s="23">
        <f>IF(AB4=sb_cod,AB22*sb_delay,0)</f>
        <v/>
      </c>
      <c r="AC26" s="23">
        <f>IF(AC4=sb_cod,AC22*sb_delay,0)</f>
        <v/>
      </c>
      <c r="AD26" s="23">
        <f>IF(AD4=sb_cod,AD22*sb_delay,0)</f>
        <v/>
      </c>
      <c r="AE26" s="23">
        <f>IF(AE4=sb_cod,AE22*sb_delay,0)</f>
        <v/>
      </c>
      <c r="AF26" s="23">
        <f>IF(AF4=sb_cod,AF22*sb_delay,0)</f>
        <v/>
      </c>
      <c r="AG26" s="23">
        <f>IF(AG4=sb_cod,AG22*sb_delay,0)</f>
        <v/>
      </c>
      <c r="AH26" s="23">
        <f>IF(AH4=sb_cod,AH22*sb_delay,0)</f>
        <v/>
      </c>
      <c r="AI26" s="23">
        <f>IF(AI4=sb_cod,AI22*sb_delay,0)</f>
        <v/>
      </c>
      <c r="AJ26" s="23">
        <f>IF(AJ4=sb_cod,AJ22*sb_delay,0)</f>
        <v/>
      </c>
    </row>
    <row r="27">
      <c r="B27" s="2" t="inlineStr">
        <is>
          <t>Lost payments not covered by delay damages</t>
        </is>
      </c>
      <c r="C27" s="5" t="inlineStr">
        <is>
          <t>$ million</t>
        </is>
      </c>
      <c r="D27" s="23">
        <f>D26*(1-sb_ld)</f>
        <v/>
      </c>
      <c r="E27" s="23">
        <f>E26*(1-sb_ld)</f>
        <v/>
      </c>
      <c r="F27" s="23">
        <f>F26*(1-sb_ld)</f>
        <v/>
      </c>
      <c r="G27" s="23">
        <f>G26*(1-sb_ld)</f>
        <v/>
      </c>
      <c r="H27" s="23">
        <f>H26*(1-sb_ld)</f>
        <v/>
      </c>
      <c r="I27" s="23">
        <f>I26*(1-sb_ld)</f>
        <v/>
      </c>
      <c r="J27" s="23">
        <f>J26*(1-sb_ld)</f>
        <v/>
      </c>
      <c r="K27" s="23">
        <f>K26*(1-sb_ld)</f>
        <v/>
      </c>
      <c r="L27" s="23">
        <f>L26*(1-sb_ld)</f>
        <v/>
      </c>
      <c r="M27" s="23">
        <f>M26*(1-sb_ld)</f>
        <v/>
      </c>
      <c r="N27" s="23">
        <f>N26*(1-sb_ld)</f>
        <v/>
      </c>
      <c r="O27" s="23">
        <f>O26*(1-sb_ld)</f>
        <v/>
      </c>
      <c r="P27" s="23">
        <f>P26*(1-sb_ld)</f>
        <v/>
      </c>
      <c r="Q27" s="23">
        <f>Q26*(1-sb_ld)</f>
        <v/>
      </c>
      <c r="R27" s="23">
        <f>R26*(1-sb_ld)</f>
        <v/>
      </c>
      <c r="S27" s="23">
        <f>S26*(1-sb_ld)</f>
        <v/>
      </c>
      <c r="T27" s="23">
        <f>T26*(1-sb_ld)</f>
        <v/>
      </c>
      <c r="U27" s="23">
        <f>U26*(1-sb_ld)</f>
        <v/>
      </c>
      <c r="V27" s="23">
        <f>V26*(1-sb_ld)</f>
        <v/>
      </c>
      <c r="W27" s="23">
        <f>W26*(1-sb_ld)</f>
        <v/>
      </c>
      <c r="X27" s="23">
        <f>X26*(1-sb_ld)</f>
        <v/>
      </c>
      <c r="Y27" s="23">
        <f>Y26*(1-sb_ld)</f>
        <v/>
      </c>
      <c r="Z27" s="23">
        <f>Z26*(1-sb_ld)</f>
        <v/>
      </c>
      <c r="AA27" s="23">
        <f>AA26*(1-sb_ld)</f>
        <v/>
      </c>
      <c r="AB27" s="23">
        <f>AB26*(1-sb_ld)</f>
        <v/>
      </c>
      <c r="AC27" s="23">
        <f>AC26*(1-sb_ld)</f>
        <v/>
      </c>
      <c r="AD27" s="23">
        <f>AD26*(1-sb_ld)</f>
        <v/>
      </c>
      <c r="AE27" s="23">
        <f>AE26*(1-sb_ld)</f>
        <v/>
      </c>
      <c r="AF27" s="23">
        <f>AF26*(1-sb_ld)</f>
        <v/>
      </c>
      <c r="AG27" s="23">
        <f>AG26*(1-sb_ld)</f>
        <v/>
      </c>
      <c r="AH27" s="23">
        <f>AH26*(1-sb_ld)</f>
        <v/>
      </c>
      <c r="AI27" s="23">
        <f>AI26*(1-sb_ld)</f>
        <v/>
      </c>
      <c r="AJ27" s="23">
        <f>AJ26*(1-sb_ld)</f>
        <v/>
      </c>
    </row>
    <row r="28">
      <c r="B28" s="3" t="inlineStr">
        <is>
          <t>Revenue</t>
        </is>
      </c>
      <c r="C28" s="5" t="inlineStr">
        <is>
          <t>$ million</t>
        </is>
      </c>
      <c r="D28" s="23">
        <f>D22+D23+D24+D25-D27</f>
        <v/>
      </c>
      <c r="E28" s="23">
        <f>E22+E23+E24+E25-E27</f>
        <v/>
      </c>
      <c r="F28" s="23">
        <f>F22+F23+F24+F25-F27</f>
        <v/>
      </c>
      <c r="G28" s="23">
        <f>G22+G23+G24+G25-G27</f>
        <v/>
      </c>
      <c r="H28" s="23">
        <f>H22+H23+H24+H25-H27</f>
        <v/>
      </c>
      <c r="I28" s="23">
        <f>I22+I23+I24+I25-I27</f>
        <v/>
      </c>
      <c r="J28" s="23">
        <f>J22+J23+J24+J25-J27</f>
        <v/>
      </c>
      <c r="K28" s="23">
        <f>K22+K23+K24+K25-K27</f>
        <v/>
      </c>
      <c r="L28" s="23">
        <f>L22+L23+L24+L25-L27</f>
        <v/>
      </c>
      <c r="M28" s="23">
        <f>M22+M23+M24+M25-M27</f>
        <v/>
      </c>
      <c r="N28" s="23">
        <f>N22+N23+N24+N25-N27</f>
        <v/>
      </c>
      <c r="O28" s="23">
        <f>O22+O23+O24+O25-O27</f>
        <v/>
      </c>
      <c r="P28" s="23">
        <f>P22+P23+P24+P25-P27</f>
        <v/>
      </c>
      <c r="Q28" s="23">
        <f>Q22+Q23+Q24+Q25-Q27</f>
        <v/>
      </c>
      <c r="R28" s="23">
        <f>R22+R23+R24+R25-R27</f>
        <v/>
      </c>
      <c r="S28" s="23">
        <f>S22+S23+S24+S25-S27</f>
        <v/>
      </c>
      <c r="T28" s="23">
        <f>T22+T23+T24+T25-T27</f>
        <v/>
      </c>
      <c r="U28" s="23">
        <f>U22+U23+U24+U25-U27</f>
        <v/>
      </c>
      <c r="V28" s="23">
        <f>V22+V23+V24+V25-V27</f>
        <v/>
      </c>
      <c r="W28" s="23">
        <f>W22+W23+W24+W25-W27</f>
        <v/>
      </c>
      <c r="X28" s="23">
        <f>X22+X23+X24+X25-X27</f>
        <v/>
      </c>
      <c r="Y28" s="23">
        <f>Y22+Y23+Y24+Y25-Y27</f>
        <v/>
      </c>
      <c r="Z28" s="23">
        <f>Z22+Z23+Z24+Z25-Z27</f>
        <v/>
      </c>
      <c r="AA28" s="23">
        <f>AA22+AA23+AA24+AA25-AA27</f>
        <v/>
      </c>
      <c r="AB28" s="23">
        <f>AB22+AB23+AB24+AB25-AB27</f>
        <v/>
      </c>
      <c r="AC28" s="23">
        <f>AC22+AC23+AC24+AC25-AC27</f>
        <v/>
      </c>
      <c r="AD28" s="23">
        <f>AD22+AD23+AD24+AD25-AD27</f>
        <v/>
      </c>
      <c r="AE28" s="23">
        <f>AE22+AE23+AE24+AE25-AE27</f>
        <v/>
      </c>
      <c r="AF28" s="23">
        <f>AF22+AF23+AF24+AF25-AF27</f>
        <v/>
      </c>
      <c r="AG28" s="23">
        <f>AG22+AG23+AG24+AG25-AG27</f>
        <v/>
      </c>
      <c r="AH28" s="23">
        <f>AH22+AH23+AH24+AH25-AH27</f>
        <v/>
      </c>
      <c r="AI28" s="23">
        <f>AI22+AI23+AI24+AI25-AI27</f>
        <v/>
      </c>
      <c r="AJ28" s="23">
        <f>AJ22+AJ23+AJ24+AJ25-AJ27</f>
        <v/>
      </c>
    </row>
    <row r="29">
      <c r="B29" s="2" t="inlineStr">
        <is>
          <t>Fixed O&amp;M</t>
        </is>
      </c>
      <c r="C29" s="5" t="inlineStr">
        <is>
          <t>$ million</t>
        </is>
      </c>
      <c r="D29" s="23">
        <f>D5*sb_fom*D7</f>
        <v/>
      </c>
      <c r="E29" s="23">
        <f>E5*sb_fom*E7</f>
        <v/>
      </c>
      <c r="F29" s="23">
        <f>F5*sb_fom*F7</f>
        <v/>
      </c>
      <c r="G29" s="23">
        <f>G5*sb_fom*G7</f>
        <v/>
      </c>
      <c r="H29" s="23">
        <f>H5*sb_fom*H7</f>
        <v/>
      </c>
      <c r="I29" s="23">
        <f>I5*sb_fom*I7</f>
        <v/>
      </c>
      <c r="J29" s="23">
        <f>J5*sb_fom*J7</f>
        <v/>
      </c>
      <c r="K29" s="23">
        <f>K5*sb_fom*K7</f>
        <v/>
      </c>
      <c r="L29" s="23">
        <f>L5*sb_fom*L7</f>
        <v/>
      </c>
      <c r="M29" s="23">
        <f>M5*sb_fom*M7</f>
        <v/>
      </c>
      <c r="N29" s="23">
        <f>N5*sb_fom*N7</f>
        <v/>
      </c>
      <c r="O29" s="23">
        <f>O5*sb_fom*O7</f>
        <v/>
      </c>
      <c r="P29" s="23">
        <f>P5*sb_fom*P7</f>
        <v/>
      </c>
      <c r="Q29" s="23">
        <f>Q5*sb_fom*Q7</f>
        <v/>
      </c>
      <c r="R29" s="23">
        <f>R5*sb_fom*R7</f>
        <v/>
      </c>
      <c r="S29" s="23">
        <f>S5*sb_fom*S7</f>
        <v/>
      </c>
      <c r="T29" s="23">
        <f>T5*sb_fom*T7</f>
        <v/>
      </c>
      <c r="U29" s="23">
        <f>U5*sb_fom*U7</f>
        <v/>
      </c>
      <c r="V29" s="23">
        <f>V5*sb_fom*V7</f>
        <v/>
      </c>
      <c r="W29" s="23">
        <f>W5*sb_fom*W7</f>
        <v/>
      </c>
      <c r="X29" s="23">
        <f>X5*sb_fom*X7</f>
        <v/>
      </c>
      <c r="Y29" s="23">
        <f>Y5*sb_fom*Y7</f>
        <v/>
      </c>
      <c r="Z29" s="23">
        <f>Z5*sb_fom*Z7</f>
        <v/>
      </c>
      <c r="AA29" s="23">
        <f>AA5*sb_fom*AA7</f>
        <v/>
      </c>
      <c r="AB29" s="23">
        <f>AB5*sb_fom*AB7</f>
        <v/>
      </c>
      <c r="AC29" s="23">
        <f>AC5*sb_fom*AC7</f>
        <v/>
      </c>
      <c r="AD29" s="23">
        <f>AD5*sb_fom*AD7</f>
        <v/>
      </c>
      <c r="AE29" s="23">
        <f>AE5*sb_fom*AE7</f>
        <v/>
      </c>
      <c r="AF29" s="23">
        <f>AF5*sb_fom*AF7</f>
        <v/>
      </c>
      <c r="AG29" s="23">
        <f>AG5*sb_fom*AG7</f>
        <v/>
      </c>
      <c r="AH29" s="23">
        <f>AH5*sb_fom*AH7</f>
        <v/>
      </c>
      <c r="AI29" s="23">
        <f>AI5*sb_fom*AI7</f>
        <v/>
      </c>
      <c r="AJ29" s="23">
        <f>AJ5*sb_fom*AJ7</f>
        <v/>
      </c>
    </row>
    <row r="30">
      <c r="B30" s="2" t="inlineStr">
        <is>
          <t>Energy cost (actual kWh x power price)</t>
        </is>
      </c>
      <c r="C30" s="5" t="inlineStr">
        <is>
          <t>$ million</t>
        </is>
      </c>
      <c r="D30" s="23">
        <f>D19*sb_sec_act*D20/1000/1000000</f>
        <v/>
      </c>
      <c r="E30" s="23">
        <f>E19*sb_sec_act*E20/1000/1000000</f>
        <v/>
      </c>
      <c r="F30" s="23">
        <f>F19*sb_sec_act*F20/1000/1000000</f>
        <v/>
      </c>
      <c r="G30" s="23">
        <f>G19*sb_sec_act*G20/1000/1000000</f>
        <v/>
      </c>
      <c r="H30" s="23">
        <f>H19*sb_sec_act*H20/1000/1000000</f>
        <v/>
      </c>
      <c r="I30" s="23">
        <f>I19*sb_sec_act*I20/1000/1000000</f>
        <v/>
      </c>
      <c r="J30" s="23">
        <f>J19*sb_sec_act*J20/1000/1000000</f>
        <v/>
      </c>
      <c r="K30" s="23">
        <f>K19*sb_sec_act*K20/1000/1000000</f>
        <v/>
      </c>
      <c r="L30" s="23">
        <f>L19*sb_sec_act*L20/1000/1000000</f>
        <v/>
      </c>
      <c r="M30" s="23">
        <f>M19*sb_sec_act*M20/1000/1000000</f>
        <v/>
      </c>
      <c r="N30" s="23">
        <f>N19*sb_sec_act*N20/1000/1000000</f>
        <v/>
      </c>
      <c r="O30" s="23">
        <f>O19*sb_sec_act*O20/1000/1000000</f>
        <v/>
      </c>
      <c r="P30" s="23">
        <f>P19*sb_sec_act*P20/1000/1000000</f>
        <v/>
      </c>
      <c r="Q30" s="23">
        <f>Q19*sb_sec_act*Q20/1000/1000000</f>
        <v/>
      </c>
      <c r="R30" s="23">
        <f>R19*sb_sec_act*R20/1000/1000000</f>
        <v/>
      </c>
      <c r="S30" s="23">
        <f>S19*sb_sec_act*S20/1000/1000000</f>
        <v/>
      </c>
      <c r="T30" s="23">
        <f>T19*sb_sec_act*T20/1000/1000000</f>
        <v/>
      </c>
      <c r="U30" s="23">
        <f>U19*sb_sec_act*U20/1000/1000000</f>
        <v/>
      </c>
      <c r="V30" s="23">
        <f>V19*sb_sec_act*V20/1000/1000000</f>
        <v/>
      </c>
      <c r="W30" s="23">
        <f>W19*sb_sec_act*W20/1000/1000000</f>
        <v/>
      </c>
      <c r="X30" s="23">
        <f>X19*sb_sec_act*X20/1000/1000000</f>
        <v/>
      </c>
      <c r="Y30" s="23">
        <f>Y19*sb_sec_act*Y20/1000/1000000</f>
        <v/>
      </c>
      <c r="Z30" s="23">
        <f>Z19*sb_sec_act*Z20/1000/1000000</f>
        <v/>
      </c>
      <c r="AA30" s="23">
        <f>AA19*sb_sec_act*AA20/1000/1000000</f>
        <v/>
      </c>
      <c r="AB30" s="23">
        <f>AB19*sb_sec_act*AB20/1000/1000000</f>
        <v/>
      </c>
      <c r="AC30" s="23">
        <f>AC19*sb_sec_act*AC20/1000/1000000</f>
        <v/>
      </c>
      <c r="AD30" s="23">
        <f>AD19*sb_sec_act*AD20/1000/1000000</f>
        <v/>
      </c>
      <c r="AE30" s="23">
        <f>AE19*sb_sec_act*AE20/1000/1000000</f>
        <v/>
      </c>
      <c r="AF30" s="23">
        <f>AF19*sb_sec_act*AF20/1000/1000000</f>
        <v/>
      </c>
      <c r="AG30" s="23">
        <f>AG19*sb_sec_act*AG20/1000/1000000</f>
        <v/>
      </c>
      <c r="AH30" s="23">
        <f>AH19*sb_sec_act*AH20/1000/1000000</f>
        <v/>
      </c>
      <c r="AI30" s="23">
        <f>AI19*sb_sec_act*AI20/1000/1000000</f>
        <v/>
      </c>
      <c r="AJ30" s="23">
        <f>AJ19*sb_sec_act*AJ20/1000/1000000</f>
        <v/>
      </c>
    </row>
    <row r="31">
      <c r="B31" s="2" t="inlineStr">
        <is>
          <t>Chemicals</t>
        </is>
      </c>
      <c r="C31" s="5" t="inlineStr">
        <is>
          <t>$ million</t>
        </is>
      </c>
      <c r="D31" s="23">
        <f>D25</f>
        <v/>
      </c>
      <c r="E31" s="23">
        <f>E25</f>
        <v/>
      </c>
      <c r="F31" s="23">
        <f>F25</f>
        <v/>
      </c>
      <c r="G31" s="23">
        <f>G25</f>
        <v/>
      </c>
      <c r="H31" s="23">
        <f>H25</f>
        <v/>
      </c>
      <c r="I31" s="23">
        <f>I25</f>
        <v/>
      </c>
      <c r="J31" s="23">
        <f>J25</f>
        <v/>
      </c>
      <c r="K31" s="23">
        <f>K25</f>
        <v/>
      </c>
      <c r="L31" s="23">
        <f>L25</f>
        <v/>
      </c>
      <c r="M31" s="23">
        <f>M25</f>
        <v/>
      </c>
      <c r="N31" s="23">
        <f>N25</f>
        <v/>
      </c>
      <c r="O31" s="23">
        <f>O25</f>
        <v/>
      </c>
      <c r="P31" s="23">
        <f>P25</f>
        <v/>
      </c>
      <c r="Q31" s="23">
        <f>Q25</f>
        <v/>
      </c>
      <c r="R31" s="23">
        <f>R25</f>
        <v/>
      </c>
      <c r="S31" s="23">
        <f>S25</f>
        <v/>
      </c>
      <c r="T31" s="23">
        <f>T25</f>
        <v/>
      </c>
      <c r="U31" s="23">
        <f>U25</f>
        <v/>
      </c>
      <c r="V31" s="23">
        <f>V25</f>
        <v/>
      </c>
      <c r="W31" s="23">
        <f>W25</f>
        <v/>
      </c>
      <c r="X31" s="23">
        <f>X25</f>
        <v/>
      </c>
      <c r="Y31" s="23">
        <f>Y25</f>
        <v/>
      </c>
      <c r="Z31" s="23">
        <f>Z25</f>
        <v/>
      </c>
      <c r="AA31" s="23">
        <f>AA25</f>
        <v/>
      </c>
      <c r="AB31" s="23">
        <f>AB25</f>
        <v/>
      </c>
      <c r="AC31" s="23">
        <f>AC25</f>
        <v/>
      </c>
      <c r="AD31" s="23">
        <f>AD25</f>
        <v/>
      </c>
      <c r="AE31" s="23">
        <f>AE25</f>
        <v/>
      </c>
      <c r="AF31" s="23">
        <f>AF25</f>
        <v/>
      </c>
      <c r="AG31" s="23">
        <f>AG25</f>
        <v/>
      </c>
      <c r="AH31" s="23">
        <f>AH25</f>
        <v/>
      </c>
      <c r="AI31" s="23">
        <f>AI25</f>
        <v/>
      </c>
      <c r="AJ31" s="23">
        <f>AJ25</f>
        <v/>
      </c>
    </row>
    <row r="32">
      <c r="B32" s="2" t="inlineStr">
        <is>
          <t>Major overhauls</t>
        </is>
      </c>
      <c r="C32" s="5" t="inlineStr">
        <is>
          <t>$ million</t>
        </is>
      </c>
      <c r="D32" s="23">
        <f>D5*IF(OR(D4=sb_major_y1,D4=sb_major_y2),sb_major*D7,0)</f>
        <v/>
      </c>
      <c r="E32" s="23">
        <f>E5*IF(OR(E4=sb_major_y1,E4=sb_major_y2),sb_major*E7,0)</f>
        <v/>
      </c>
      <c r="F32" s="23">
        <f>F5*IF(OR(F4=sb_major_y1,F4=sb_major_y2),sb_major*F7,0)</f>
        <v/>
      </c>
      <c r="G32" s="23">
        <f>G5*IF(OR(G4=sb_major_y1,G4=sb_major_y2),sb_major*G7,0)</f>
        <v/>
      </c>
      <c r="H32" s="23">
        <f>H5*IF(OR(H4=sb_major_y1,H4=sb_major_y2),sb_major*H7,0)</f>
        <v/>
      </c>
      <c r="I32" s="23">
        <f>I5*IF(OR(I4=sb_major_y1,I4=sb_major_y2),sb_major*I7,0)</f>
        <v/>
      </c>
      <c r="J32" s="23">
        <f>J5*IF(OR(J4=sb_major_y1,J4=sb_major_y2),sb_major*J7,0)</f>
        <v/>
      </c>
      <c r="K32" s="23">
        <f>K5*IF(OR(K4=sb_major_y1,K4=sb_major_y2),sb_major*K7,0)</f>
        <v/>
      </c>
      <c r="L32" s="23">
        <f>L5*IF(OR(L4=sb_major_y1,L4=sb_major_y2),sb_major*L7,0)</f>
        <v/>
      </c>
      <c r="M32" s="23">
        <f>M5*IF(OR(M4=sb_major_y1,M4=sb_major_y2),sb_major*M7,0)</f>
        <v/>
      </c>
      <c r="N32" s="23">
        <f>N5*IF(OR(N4=sb_major_y1,N4=sb_major_y2),sb_major*N7,0)</f>
        <v/>
      </c>
      <c r="O32" s="23">
        <f>O5*IF(OR(O4=sb_major_y1,O4=sb_major_y2),sb_major*O7,0)</f>
        <v/>
      </c>
      <c r="P32" s="23">
        <f>P5*IF(OR(P4=sb_major_y1,P4=sb_major_y2),sb_major*P7,0)</f>
        <v/>
      </c>
      <c r="Q32" s="23">
        <f>Q5*IF(OR(Q4=sb_major_y1,Q4=sb_major_y2),sb_major*Q7,0)</f>
        <v/>
      </c>
      <c r="R32" s="23">
        <f>R5*IF(OR(R4=sb_major_y1,R4=sb_major_y2),sb_major*R7,0)</f>
        <v/>
      </c>
      <c r="S32" s="23">
        <f>S5*IF(OR(S4=sb_major_y1,S4=sb_major_y2),sb_major*S7,0)</f>
        <v/>
      </c>
      <c r="T32" s="23">
        <f>T5*IF(OR(T4=sb_major_y1,T4=sb_major_y2),sb_major*T7,0)</f>
        <v/>
      </c>
      <c r="U32" s="23">
        <f>U5*IF(OR(U4=sb_major_y1,U4=sb_major_y2),sb_major*U7,0)</f>
        <v/>
      </c>
      <c r="V32" s="23">
        <f>V5*IF(OR(V4=sb_major_y1,V4=sb_major_y2),sb_major*V7,0)</f>
        <v/>
      </c>
      <c r="W32" s="23">
        <f>W5*IF(OR(W4=sb_major_y1,W4=sb_major_y2),sb_major*W7,0)</f>
        <v/>
      </c>
      <c r="X32" s="23">
        <f>X5*IF(OR(X4=sb_major_y1,X4=sb_major_y2),sb_major*X7,0)</f>
        <v/>
      </c>
      <c r="Y32" s="23">
        <f>Y5*IF(OR(Y4=sb_major_y1,Y4=sb_major_y2),sb_major*Y7,0)</f>
        <v/>
      </c>
      <c r="Z32" s="23">
        <f>Z5*IF(OR(Z4=sb_major_y1,Z4=sb_major_y2),sb_major*Z7,0)</f>
        <v/>
      </c>
      <c r="AA32" s="23">
        <f>AA5*IF(OR(AA4=sb_major_y1,AA4=sb_major_y2),sb_major*AA7,0)</f>
        <v/>
      </c>
      <c r="AB32" s="23">
        <f>AB5*IF(OR(AB4=sb_major_y1,AB4=sb_major_y2),sb_major*AB7,0)</f>
        <v/>
      </c>
      <c r="AC32" s="23">
        <f>AC5*IF(OR(AC4=sb_major_y1,AC4=sb_major_y2),sb_major*AC7,0)</f>
        <v/>
      </c>
      <c r="AD32" s="23">
        <f>AD5*IF(OR(AD4=sb_major_y1,AD4=sb_major_y2),sb_major*AD7,0)</f>
        <v/>
      </c>
      <c r="AE32" s="23">
        <f>AE5*IF(OR(AE4=sb_major_y1,AE4=sb_major_y2),sb_major*AE7,0)</f>
        <v/>
      </c>
      <c r="AF32" s="23">
        <f>AF5*IF(OR(AF4=sb_major_y1,AF4=sb_major_y2),sb_major*AF7,0)</f>
        <v/>
      </c>
      <c r="AG32" s="23">
        <f>AG5*IF(OR(AG4=sb_major_y1,AG4=sb_major_y2),sb_major*AG7,0)</f>
        <v/>
      </c>
      <c r="AH32" s="23">
        <f>AH5*IF(OR(AH4=sb_major_y1,AH4=sb_major_y2),sb_major*AH7,0)</f>
        <v/>
      </c>
      <c r="AI32" s="23">
        <f>AI5*IF(OR(AI4=sb_major_y1,AI4=sb_major_y2),sb_major*AI7,0)</f>
        <v/>
      </c>
      <c r="AJ32" s="23">
        <f>AJ5*IF(OR(AJ4=sb_major_y1,AJ4=sb_major_y2),sb_major*AJ7,0)</f>
        <v/>
      </c>
    </row>
    <row r="33">
      <c r="B33" s="2" t="inlineStr">
        <is>
          <t>Operating cost</t>
        </is>
      </c>
      <c r="C33" s="5" t="inlineStr">
        <is>
          <t>$ million</t>
        </is>
      </c>
      <c r="D33" s="23">
        <f>SUM(D29:D32)</f>
        <v/>
      </c>
      <c r="E33" s="23">
        <f>SUM(E29:E32)</f>
        <v/>
      </c>
      <c r="F33" s="23">
        <f>SUM(F29:F32)</f>
        <v/>
      </c>
      <c r="G33" s="23">
        <f>SUM(G29:G32)</f>
        <v/>
      </c>
      <c r="H33" s="23">
        <f>SUM(H29:H32)</f>
        <v/>
      </c>
      <c r="I33" s="23">
        <f>SUM(I29:I32)</f>
        <v/>
      </c>
      <c r="J33" s="23">
        <f>SUM(J29:J32)</f>
        <v/>
      </c>
      <c r="K33" s="23">
        <f>SUM(K29:K32)</f>
        <v/>
      </c>
      <c r="L33" s="23">
        <f>SUM(L29:L32)</f>
        <v/>
      </c>
      <c r="M33" s="23">
        <f>SUM(M29:M32)</f>
        <v/>
      </c>
      <c r="N33" s="23">
        <f>SUM(N29:N32)</f>
        <v/>
      </c>
      <c r="O33" s="23">
        <f>SUM(O29:O32)</f>
        <v/>
      </c>
      <c r="P33" s="23">
        <f>SUM(P29:P32)</f>
        <v/>
      </c>
      <c r="Q33" s="23">
        <f>SUM(Q29:Q32)</f>
        <v/>
      </c>
      <c r="R33" s="23">
        <f>SUM(R29:R32)</f>
        <v/>
      </c>
      <c r="S33" s="23">
        <f>SUM(S29:S32)</f>
        <v/>
      </c>
      <c r="T33" s="23">
        <f>SUM(T29:T32)</f>
        <v/>
      </c>
      <c r="U33" s="23">
        <f>SUM(U29:U32)</f>
        <v/>
      </c>
      <c r="V33" s="23">
        <f>SUM(V29:V32)</f>
        <v/>
      </c>
      <c r="W33" s="23">
        <f>SUM(W29:W32)</f>
        <v/>
      </c>
      <c r="X33" s="23">
        <f>SUM(X29:X32)</f>
        <v/>
      </c>
      <c r="Y33" s="23">
        <f>SUM(Y29:Y32)</f>
        <v/>
      </c>
      <c r="Z33" s="23">
        <f>SUM(Z29:Z32)</f>
        <v/>
      </c>
      <c r="AA33" s="23">
        <f>SUM(AA29:AA32)</f>
        <v/>
      </c>
      <c r="AB33" s="23">
        <f>SUM(AB29:AB32)</f>
        <v/>
      </c>
      <c r="AC33" s="23">
        <f>SUM(AC29:AC32)</f>
        <v/>
      </c>
      <c r="AD33" s="23">
        <f>SUM(AD29:AD32)</f>
        <v/>
      </c>
      <c r="AE33" s="23">
        <f>SUM(AE29:AE32)</f>
        <v/>
      </c>
      <c r="AF33" s="23">
        <f>SUM(AF29:AF32)</f>
        <v/>
      </c>
      <c r="AG33" s="23">
        <f>SUM(AG29:AG32)</f>
        <v/>
      </c>
      <c r="AH33" s="23">
        <f>SUM(AH29:AH32)</f>
        <v/>
      </c>
      <c r="AI33" s="23">
        <f>SUM(AI29:AI32)</f>
        <v/>
      </c>
      <c r="AJ33" s="23">
        <f>SUM(AJ29:AJ32)</f>
        <v/>
      </c>
    </row>
    <row r="34">
      <c r="B34" s="3" t="inlineStr">
        <is>
          <t>Cash flow available for debt service (CFADS)</t>
        </is>
      </c>
      <c r="C34" s="5" t="inlineStr">
        <is>
          <t>$ million</t>
        </is>
      </c>
      <c r="D34" s="23">
        <f>D28-D33</f>
        <v/>
      </c>
      <c r="E34" s="23">
        <f>E28-E33</f>
        <v/>
      </c>
      <c r="F34" s="23">
        <f>F28-F33</f>
        <v/>
      </c>
      <c r="G34" s="23">
        <f>G28-G33</f>
        <v/>
      </c>
      <c r="H34" s="23">
        <f>H28-H33</f>
        <v/>
      </c>
      <c r="I34" s="23">
        <f>I28-I33</f>
        <v/>
      </c>
      <c r="J34" s="23">
        <f>J28-J33</f>
        <v/>
      </c>
      <c r="K34" s="23">
        <f>K28-K33</f>
        <v/>
      </c>
      <c r="L34" s="23">
        <f>L28-L33</f>
        <v/>
      </c>
      <c r="M34" s="23">
        <f>M28-M33</f>
        <v/>
      </c>
      <c r="N34" s="23">
        <f>N28-N33</f>
        <v/>
      </c>
      <c r="O34" s="23">
        <f>O28-O33</f>
        <v/>
      </c>
      <c r="P34" s="23">
        <f>P28-P33</f>
        <v/>
      </c>
      <c r="Q34" s="23">
        <f>Q28-Q33</f>
        <v/>
      </c>
      <c r="R34" s="23">
        <f>R28-R33</f>
        <v/>
      </c>
      <c r="S34" s="23">
        <f>S28-S33</f>
        <v/>
      </c>
      <c r="T34" s="23">
        <f>T28-T33</f>
        <v/>
      </c>
      <c r="U34" s="23">
        <f>U28-U33</f>
        <v/>
      </c>
      <c r="V34" s="23">
        <f>V28-V33</f>
        <v/>
      </c>
      <c r="W34" s="23">
        <f>W28-W33</f>
        <v/>
      </c>
      <c r="X34" s="23">
        <f>X28-X33</f>
        <v/>
      </c>
      <c r="Y34" s="23">
        <f>Y28-Y33</f>
        <v/>
      </c>
      <c r="Z34" s="23">
        <f>Z28-Z33</f>
        <v/>
      </c>
      <c r="AA34" s="23">
        <f>AA28-AA33</f>
        <v/>
      </c>
      <c r="AB34" s="23">
        <f>AB28-AB33</f>
        <v/>
      </c>
      <c r="AC34" s="23">
        <f>AC28-AC33</f>
        <v/>
      </c>
      <c r="AD34" s="23">
        <f>AD28-AD33</f>
        <v/>
      </c>
      <c r="AE34" s="23">
        <f>AE28-AE33</f>
        <v/>
      </c>
      <c r="AF34" s="23">
        <f>AF28-AF33</f>
        <v/>
      </c>
      <c r="AG34" s="23">
        <f>AG28-AG33</f>
        <v/>
      </c>
      <c r="AH34" s="23">
        <f>AH28-AH33</f>
        <v/>
      </c>
      <c r="AI34" s="23">
        <f>AI28-AI33</f>
        <v/>
      </c>
      <c r="AJ34" s="23">
        <f>AJ28-AJ33</f>
        <v/>
      </c>
    </row>
    <row r="36">
      <c r="B36" s="6" t="inlineStr">
        <is>
          <t>Debt and flows</t>
        </is>
      </c>
      <c r="C36" s="7" t="n"/>
      <c r="D36" s="7" t="n"/>
      <c r="E36" s="7" t="n"/>
      <c r="F36" s="7" t="n"/>
      <c r="G36" s="7" t="n"/>
      <c r="H36" s="7" t="n"/>
      <c r="I36" s="7" t="n"/>
      <c r="J36" s="7" t="n"/>
      <c r="K36" s="7" t="n"/>
      <c r="L36" s="7" t="n"/>
      <c r="M36" s="7" t="n"/>
      <c r="N36" s="7" t="n"/>
      <c r="O36" s="7" t="n"/>
      <c r="P36" s="7" t="n"/>
      <c r="Q36" s="7" t="n"/>
      <c r="R36" s="7" t="n"/>
      <c r="S36" s="7" t="n"/>
      <c r="T36" s="7" t="n"/>
      <c r="U36" s="7" t="n"/>
      <c r="V36" s="7" t="n"/>
      <c r="W36" s="7" t="n"/>
      <c r="X36" s="7" t="n"/>
      <c r="Y36" s="7" t="n"/>
      <c r="Z36" s="7" t="n"/>
      <c r="AA36" s="7" t="n"/>
      <c r="AB36" s="7" t="n"/>
      <c r="AC36" s="7" t="n"/>
      <c r="AD36" s="7" t="n"/>
      <c r="AE36" s="7" t="n"/>
      <c r="AF36" s="7" t="n"/>
      <c r="AG36" s="7" t="n"/>
      <c r="AH36" s="7" t="n"/>
      <c r="AI36" s="7" t="n"/>
      <c r="AJ36" s="7" t="n"/>
    </row>
    <row r="37">
      <c r="B37" s="2" t="inlineStr">
        <is>
          <t>Capital cost paid</t>
        </is>
      </c>
      <c r="C37" s="5" t="inlineStr">
        <is>
          <t>$ million</t>
        </is>
      </c>
      <c r="D37" s="23">
        <f>-IF(D4=sb_start+1,sb_phase1,IF(D4=sb_start+2,1-sb_phase1,0))*$D$14</f>
        <v/>
      </c>
      <c r="E37" s="23">
        <f>-IF(E4=sb_start+1,sb_phase1,IF(E4=sb_start+2,1-sb_phase1,0))*$D$14</f>
        <v/>
      </c>
      <c r="F37" s="23">
        <f>-IF(F4=sb_start+1,sb_phase1,IF(F4=sb_start+2,1-sb_phase1,0))*$D$14</f>
        <v/>
      </c>
      <c r="G37" s="23">
        <f>-IF(G4=sb_start+1,sb_phase1,IF(G4=sb_start+2,1-sb_phase1,0))*$D$14</f>
        <v/>
      </c>
      <c r="H37" s="23">
        <f>-IF(H4=sb_start+1,sb_phase1,IF(H4=sb_start+2,1-sb_phase1,0))*$D$14</f>
        <v/>
      </c>
      <c r="I37" s="23">
        <f>-IF(I4=sb_start+1,sb_phase1,IF(I4=sb_start+2,1-sb_phase1,0))*$D$14</f>
        <v/>
      </c>
      <c r="J37" s="23">
        <f>-IF(J4=sb_start+1,sb_phase1,IF(J4=sb_start+2,1-sb_phase1,0))*$D$14</f>
        <v/>
      </c>
      <c r="K37" s="23">
        <f>-IF(K4=sb_start+1,sb_phase1,IF(K4=sb_start+2,1-sb_phase1,0))*$D$14</f>
        <v/>
      </c>
      <c r="L37" s="23">
        <f>-IF(L4=sb_start+1,sb_phase1,IF(L4=sb_start+2,1-sb_phase1,0))*$D$14</f>
        <v/>
      </c>
      <c r="M37" s="23">
        <f>-IF(M4=sb_start+1,sb_phase1,IF(M4=sb_start+2,1-sb_phase1,0))*$D$14</f>
        <v/>
      </c>
      <c r="N37" s="23">
        <f>-IF(N4=sb_start+1,sb_phase1,IF(N4=sb_start+2,1-sb_phase1,0))*$D$14</f>
        <v/>
      </c>
      <c r="O37" s="23">
        <f>-IF(O4=sb_start+1,sb_phase1,IF(O4=sb_start+2,1-sb_phase1,0))*$D$14</f>
        <v/>
      </c>
      <c r="P37" s="23">
        <f>-IF(P4=sb_start+1,sb_phase1,IF(P4=sb_start+2,1-sb_phase1,0))*$D$14</f>
        <v/>
      </c>
      <c r="Q37" s="23">
        <f>-IF(Q4=sb_start+1,sb_phase1,IF(Q4=sb_start+2,1-sb_phase1,0))*$D$14</f>
        <v/>
      </c>
      <c r="R37" s="23">
        <f>-IF(R4=sb_start+1,sb_phase1,IF(R4=sb_start+2,1-sb_phase1,0))*$D$14</f>
        <v/>
      </c>
      <c r="S37" s="23">
        <f>-IF(S4=sb_start+1,sb_phase1,IF(S4=sb_start+2,1-sb_phase1,0))*$D$14</f>
        <v/>
      </c>
      <c r="T37" s="23">
        <f>-IF(T4=sb_start+1,sb_phase1,IF(T4=sb_start+2,1-sb_phase1,0))*$D$14</f>
        <v/>
      </c>
      <c r="U37" s="23">
        <f>-IF(U4=sb_start+1,sb_phase1,IF(U4=sb_start+2,1-sb_phase1,0))*$D$14</f>
        <v/>
      </c>
      <c r="V37" s="23">
        <f>-IF(V4=sb_start+1,sb_phase1,IF(V4=sb_start+2,1-sb_phase1,0))*$D$14</f>
        <v/>
      </c>
      <c r="W37" s="23">
        <f>-IF(W4=sb_start+1,sb_phase1,IF(W4=sb_start+2,1-sb_phase1,0))*$D$14</f>
        <v/>
      </c>
      <c r="X37" s="23">
        <f>-IF(X4=sb_start+1,sb_phase1,IF(X4=sb_start+2,1-sb_phase1,0))*$D$14</f>
        <v/>
      </c>
      <c r="Y37" s="23">
        <f>-IF(Y4=sb_start+1,sb_phase1,IF(Y4=sb_start+2,1-sb_phase1,0))*$D$14</f>
        <v/>
      </c>
      <c r="Z37" s="23">
        <f>-IF(Z4=sb_start+1,sb_phase1,IF(Z4=sb_start+2,1-sb_phase1,0))*$D$14</f>
        <v/>
      </c>
      <c r="AA37" s="23">
        <f>-IF(AA4=sb_start+1,sb_phase1,IF(AA4=sb_start+2,1-sb_phase1,0))*$D$14</f>
        <v/>
      </c>
      <c r="AB37" s="23">
        <f>-IF(AB4=sb_start+1,sb_phase1,IF(AB4=sb_start+2,1-sb_phase1,0))*$D$14</f>
        <v/>
      </c>
      <c r="AC37" s="23">
        <f>-IF(AC4=sb_start+1,sb_phase1,IF(AC4=sb_start+2,1-sb_phase1,0))*$D$14</f>
        <v/>
      </c>
      <c r="AD37" s="23">
        <f>-IF(AD4=sb_start+1,sb_phase1,IF(AD4=sb_start+2,1-sb_phase1,0))*$D$14</f>
        <v/>
      </c>
      <c r="AE37" s="23">
        <f>-IF(AE4=sb_start+1,sb_phase1,IF(AE4=sb_start+2,1-sb_phase1,0))*$D$14</f>
        <v/>
      </c>
      <c r="AF37" s="23">
        <f>-IF(AF4=sb_start+1,sb_phase1,IF(AF4=sb_start+2,1-sb_phase1,0))*$D$14</f>
        <v/>
      </c>
      <c r="AG37" s="23">
        <f>-IF(AG4=sb_start+1,sb_phase1,IF(AG4=sb_start+2,1-sb_phase1,0))*$D$14</f>
        <v/>
      </c>
      <c r="AH37" s="23">
        <f>-IF(AH4=sb_start+1,sb_phase1,IF(AH4=sb_start+2,1-sb_phase1,0))*$D$14</f>
        <v/>
      </c>
      <c r="AI37" s="23">
        <f>-IF(AI4=sb_start+1,sb_phase1,IF(AI4=sb_start+2,1-sb_phase1,0))*$D$14</f>
        <v/>
      </c>
      <c r="AJ37" s="23">
        <f>-IF(AJ4=sb_start+1,sb_phase1,IF(AJ4=sb_start+2,1-sb_phase1,0))*$D$14</f>
        <v/>
      </c>
    </row>
    <row r="38">
      <c r="B38" s="2" t="inlineStr">
        <is>
          <t>Debt discount factor (tenor years)</t>
        </is>
      </c>
      <c r="D38" s="28">
        <f>IF(AND(D5=1,D6&lt;sb_tenor),1/(1+sb_kd)^(D6+1),0)</f>
        <v/>
      </c>
      <c r="E38" s="28">
        <f>IF(AND(E5=1,E6&lt;sb_tenor),1/(1+sb_kd)^(E6+1),0)</f>
        <v/>
      </c>
      <c r="F38" s="28">
        <f>IF(AND(F5=1,F6&lt;sb_tenor),1/(1+sb_kd)^(F6+1),0)</f>
        <v/>
      </c>
      <c r="G38" s="28">
        <f>IF(AND(G5=1,G6&lt;sb_tenor),1/(1+sb_kd)^(G6+1),0)</f>
        <v/>
      </c>
      <c r="H38" s="28">
        <f>IF(AND(H5=1,H6&lt;sb_tenor),1/(1+sb_kd)^(H6+1),0)</f>
        <v/>
      </c>
      <c r="I38" s="28">
        <f>IF(AND(I5=1,I6&lt;sb_tenor),1/(1+sb_kd)^(I6+1),0)</f>
        <v/>
      </c>
      <c r="J38" s="28">
        <f>IF(AND(J5=1,J6&lt;sb_tenor),1/(1+sb_kd)^(J6+1),0)</f>
        <v/>
      </c>
      <c r="K38" s="28">
        <f>IF(AND(K5=1,K6&lt;sb_tenor),1/(1+sb_kd)^(K6+1),0)</f>
        <v/>
      </c>
      <c r="L38" s="28">
        <f>IF(AND(L5=1,L6&lt;sb_tenor),1/(1+sb_kd)^(L6+1),0)</f>
        <v/>
      </c>
      <c r="M38" s="28">
        <f>IF(AND(M5=1,M6&lt;sb_tenor),1/(1+sb_kd)^(M6+1),0)</f>
        <v/>
      </c>
      <c r="N38" s="28">
        <f>IF(AND(N5=1,N6&lt;sb_tenor),1/(1+sb_kd)^(N6+1),0)</f>
        <v/>
      </c>
      <c r="O38" s="28">
        <f>IF(AND(O5=1,O6&lt;sb_tenor),1/(1+sb_kd)^(O6+1),0)</f>
        <v/>
      </c>
      <c r="P38" s="28">
        <f>IF(AND(P5=1,P6&lt;sb_tenor),1/(1+sb_kd)^(P6+1),0)</f>
        <v/>
      </c>
      <c r="Q38" s="28">
        <f>IF(AND(Q5=1,Q6&lt;sb_tenor),1/(1+sb_kd)^(Q6+1),0)</f>
        <v/>
      </c>
      <c r="R38" s="28">
        <f>IF(AND(R5=1,R6&lt;sb_tenor),1/(1+sb_kd)^(R6+1),0)</f>
        <v/>
      </c>
      <c r="S38" s="28">
        <f>IF(AND(S5=1,S6&lt;sb_tenor),1/(1+sb_kd)^(S6+1),0)</f>
        <v/>
      </c>
      <c r="T38" s="28">
        <f>IF(AND(T5=1,T6&lt;sb_tenor),1/(1+sb_kd)^(T6+1),0)</f>
        <v/>
      </c>
      <c r="U38" s="28">
        <f>IF(AND(U5=1,U6&lt;sb_tenor),1/(1+sb_kd)^(U6+1),0)</f>
        <v/>
      </c>
      <c r="V38" s="28">
        <f>IF(AND(V5=1,V6&lt;sb_tenor),1/(1+sb_kd)^(V6+1),0)</f>
        <v/>
      </c>
      <c r="W38" s="28">
        <f>IF(AND(W5=1,W6&lt;sb_tenor),1/(1+sb_kd)^(W6+1),0)</f>
        <v/>
      </c>
      <c r="X38" s="28">
        <f>IF(AND(X5=1,X6&lt;sb_tenor),1/(1+sb_kd)^(X6+1),0)</f>
        <v/>
      </c>
      <c r="Y38" s="28">
        <f>IF(AND(Y5=1,Y6&lt;sb_tenor),1/(1+sb_kd)^(Y6+1),0)</f>
        <v/>
      </c>
      <c r="Z38" s="28">
        <f>IF(AND(Z5=1,Z6&lt;sb_tenor),1/(1+sb_kd)^(Z6+1),0)</f>
        <v/>
      </c>
      <c r="AA38" s="28">
        <f>IF(AND(AA5=1,AA6&lt;sb_tenor),1/(1+sb_kd)^(AA6+1),0)</f>
        <v/>
      </c>
      <c r="AB38" s="28">
        <f>IF(AND(AB5=1,AB6&lt;sb_tenor),1/(1+sb_kd)^(AB6+1),0)</f>
        <v/>
      </c>
      <c r="AC38" s="28">
        <f>IF(AND(AC5=1,AC6&lt;sb_tenor),1/(1+sb_kd)^(AC6+1),0)</f>
        <v/>
      </c>
      <c r="AD38" s="28">
        <f>IF(AND(AD5=1,AD6&lt;sb_tenor),1/(1+sb_kd)^(AD6+1),0)</f>
        <v/>
      </c>
      <c r="AE38" s="28">
        <f>IF(AND(AE5=1,AE6&lt;sb_tenor),1/(1+sb_kd)^(AE6+1),0)</f>
        <v/>
      </c>
      <c r="AF38" s="28">
        <f>IF(AND(AF5=1,AF6&lt;sb_tenor),1/(1+sb_kd)^(AF6+1),0)</f>
        <v/>
      </c>
      <c r="AG38" s="28">
        <f>IF(AND(AG5=1,AG6&lt;sb_tenor),1/(1+sb_kd)^(AG6+1),0)</f>
        <v/>
      </c>
      <c r="AH38" s="28">
        <f>IF(AND(AH5=1,AH6&lt;sb_tenor),1/(1+sb_kd)^(AH6+1),0)</f>
        <v/>
      </c>
      <c r="AI38" s="28">
        <f>IF(AND(AI5=1,AI6&lt;sb_tenor),1/(1+sb_kd)^(AI6+1),0)</f>
        <v/>
      </c>
      <c r="AJ38" s="28">
        <f>IF(AND(AJ5=1,AJ6&lt;sb_tenor),1/(1+sb_kd)^(AJ6+1),0)</f>
        <v/>
      </c>
    </row>
    <row r="39">
      <c r="B39" s="2" t="inlineStr">
        <is>
          <t>Debt capacity at the sizing cover (PV of CFADS / cover)</t>
        </is>
      </c>
      <c r="C39" s="5" t="inlineStr">
        <is>
          <t>$ million</t>
        </is>
      </c>
      <c r="D39" s="23">
        <f>SUMPRODUCT($D$34:AJ$34,$D$38:AJ$38)/sb_dscr</f>
        <v/>
      </c>
    </row>
    <row r="40">
      <c r="B40" s="2" t="inlineStr">
        <is>
          <t>Senior debt (lower of cover sizing and gearing cap)</t>
        </is>
      </c>
      <c r="C40" s="5" t="inlineStr">
        <is>
          <t>$ million</t>
        </is>
      </c>
      <c r="D40" s="23">
        <f>MIN($D$39,sb_gear*$D$14)</f>
        <v/>
      </c>
    </row>
    <row r="41">
      <c r="B41" s="2" t="inlineStr">
        <is>
          <t>Gearing</t>
        </is>
      </c>
      <c r="C41" s="5" t="inlineStr">
        <is>
          <t>share</t>
        </is>
      </c>
      <c r="D41" s="20">
        <f>$D$40/$D$14</f>
        <v/>
      </c>
    </row>
    <row r="42">
      <c r="B42" s="2" t="inlineStr">
        <is>
          <t>Debt service (sculpted)</t>
        </is>
      </c>
      <c r="C42" s="5" t="inlineStr">
        <is>
          <t>$ million</t>
        </is>
      </c>
      <c r="D42" s="23">
        <f>IF(D38&gt;0,D34/sb_dscr*$D$40/$D$39,0)</f>
        <v/>
      </c>
      <c r="E42" s="23">
        <f>IF(E38&gt;0,E34/sb_dscr*$D$40/$D$39,0)</f>
        <v/>
      </c>
      <c r="F42" s="23">
        <f>IF(F38&gt;0,F34/sb_dscr*$D$40/$D$39,0)</f>
        <v/>
      </c>
      <c r="G42" s="23">
        <f>IF(G38&gt;0,G34/sb_dscr*$D$40/$D$39,0)</f>
        <v/>
      </c>
      <c r="H42" s="23">
        <f>IF(H38&gt;0,H34/sb_dscr*$D$40/$D$39,0)</f>
        <v/>
      </c>
      <c r="I42" s="23">
        <f>IF(I38&gt;0,I34/sb_dscr*$D$40/$D$39,0)</f>
        <v/>
      </c>
      <c r="J42" s="23">
        <f>IF(J38&gt;0,J34/sb_dscr*$D$40/$D$39,0)</f>
        <v/>
      </c>
      <c r="K42" s="23">
        <f>IF(K38&gt;0,K34/sb_dscr*$D$40/$D$39,0)</f>
        <v/>
      </c>
      <c r="L42" s="23">
        <f>IF(L38&gt;0,L34/sb_dscr*$D$40/$D$39,0)</f>
        <v/>
      </c>
      <c r="M42" s="23">
        <f>IF(M38&gt;0,M34/sb_dscr*$D$40/$D$39,0)</f>
        <v/>
      </c>
      <c r="N42" s="23">
        <f>IF(N38&gt;0,N34/sb_dscr*$D$40/$D$39,0)</f>
        <v/>
      </c>
      <c r="O42" s="23">
        <f>IF(O38&gt;0,O34/sb_dscr*$D$40/$D$39,0)</f>
        <v/>
      </c>
      <c r="P42" s="23">
        <f>IF(P38&gt;0,P34/sb_dscr*$D$40/$D$39,0)</f>
        <v/>
      </c>
      <c r="Q42" s="23">
        <f>IF(Q38&gt;0,Q34/sb_dscr*$D$40/$D$39,0)</f>
        <v/>
      </c>
      <c r="R42" s="23">
        <f>IF(R38&gt;0,R34/sb_dscr*$D$40/$D$39,0)</f>
        <v/>
      </c>
      <c r="S42" s="23">
        <f>IF(S38&gt;0,S34/sb_dscr*$D$40/$D$39,0)</f>
        <v/>
      </c>
      <c r="T42" s="23">
        <f>IF(T38&gt;0,T34/sb_dscr*$D$40/$D$39,0)</f>
        <v/>
      </c>
      <c r="U42" s="23">
        <f>IF(U38&gt;0,U34/sb_dscr*$D$40/$D$39,0)</f>
        <v/>
      </c>
      <c r="V42" s="23">
        <f>IF(V38&gt;0,V34/sb_dscr*$D$40/$D$39,0)</f>
        <v/>
      </c>
      <c r="W42" s="23">
        <f>IF(W38&gt;0,W34/sb_dscr*$D$40/$D$39,0)</f>
        <v/>
      </c>
      <c r="X42" s="23">
        <f>IF(X38&gt;0,X34/sb_dscr*$D$40/$D$39,0)</f>
        <v/>
      </c>
      <c r="Y42" s="23">
        <f>IF(Y38&gt;0,Y34/sb_dscr*$D$40/$D$39,0)</f>
        <v/>
      </c>
      <c r="Z42" s="23">
        <f>IF(Z38&gt;0,Z34/sb_dscr*$D$40/$D$39,0)</f>
        <v/>
      </c>
      <c r="AA42" s="23">
        <f>IF(AA38&gt;0,AA34/sb_dscr*$D$40/$D$39,0)</f>
        <v/>
      </c>
      <c r="AB42" s="23">
        <f>IF(AB38&gt;0,AB34/sb_dscr*$D$40/$D$39,0)</f>
        <v/>
      </c>
      <c r="AC42" s="23">
        <f>IF(AC38&gt;0,AC34/sb_dscr*$D$40/$D$39,0)</f>
        <v/>
      </c>
      <c r="AD42" s="23">
        <f>IF(AD38&gt;0,AD34/sb_dscr*$D$40/$D$39,0)</f>
        <v/>
      </c>
      <c r="AE42" s="23">
        <f>IF(AE38&gt;0,AE34/sb_dscr*$D$40/$D$39,0)</f>
        <v/>
      </c>
      <c r="AF42" s="23">
        <f>IF(AF38&gt;0,AF34/sb_dscr*$D$40/$D$39,0)</f>
        <v/>
      </c>
      <c r="AG42" s="23">
        <f>IF(AG38&gt;0,AG34/sb_dscr*$D$40/$D$39,0)</f>
        <v/>
      </c>
      <c r="AH42" s="23">
        <f>IF(AH38&gt;0,AH34/sb_dscr*$D$40/$D$39,0)</f>
        <v/>
      </c>
      <c r="AI42" s="23">
        <f>IF(AI38&gt;0,AI34/sb_dscr*$D$40/$D$39,0)</f>
        <v/>
      </c>
      <c r="AJ42" s="23">
        <f>IF(AJ38&gt;0,AJ34/sb_dscr*$D$40/$D$39,0)</f>
        <v/>
      </c>
    </row>
    <row r="43">
      <c r="B43" s="2" t="inlineStr">
        <is>
          <t>Debt service cover</t>
        </is>
      </c>
      <c r="C43" s="5" t="inlineStr">
        <is>
          <t>x</t>
        </is>
      </c>
      <c r="D43" s="30">
        <f>IF(D42&gt;0,D34/D42,"")</f>
        <v/>
      </c>
      <c r="E43" s="30">
        <f>IF(E42&gt;0,E34/E42,"")</f>
        <v/>
      </c>
      <c r="F43" s="30">
        <f>IF(F42&gt;0,F34/F42,"")</f>
        <v/>
      </c>
      <c r="G43" s="30">
        <f>IF(G42&gt;0,G34/G42,"")</f>
        <v/>
      </c>
      <c r="H43" s="30">
        <f>IF(H42&gt;0,H34/H42,"")</f>
        <v/>
      </c>
      <c r="I43" s="30">
        <f>IF(I42&gt;0,I34/I42,"")</f>
        <v/>
      </c>
      <c r="J43" s="30">
        <f>IF(J42&gt;0,J34/J42,"")</f>
        <v/>
      </c>
      <c r="K43" s="30">
        <f>IF(K42&gt;0,K34/K42,"")</f>
        <v/>
      </c>
      <c r="L43" s="30">
        <f>IF(L42&gt;0,L34/L42,"")</f>
        <v/>
      </c>
      <c r="M43" s="30">
        <f>IF(M42&gt;0,M34/M42,"")</f>
        <v/>
      </c>
      <c r="N43" s="30">
        <f>IF(N42&gt;0,N34/N42,"")</f>
        <v/>
      </c>
      <c r="O43" s="30">
        <f>IF(O42&gt;0,O34/O42,"")</f>
        <v/>
      </c>
      <c r="P43" s="30">
        <f>IF(P42&gt;0,P34/P42,"")</f>
        <v/>
      </c>
      <c r="Q43" s="30">
        <f>IF(Q42&gt;0,Q34/Q42,"")</f>
        <v/>
      </c>
      <c r="R43" s="30">
        <f>IF(R42&gt;0,R34/R42,"")</f>
        <v/>
      </c>
      <c r="S43" s="30">
        <f>IF(S42&gt;0,S34/S42,"")</f>
        <v/>
      </c>
      <c r="T43" s="30">
        <f>IF(T42&gt;0,T34/T42,"")</f>
        <v/>
      </c>
      <c r="U43" s="30">
        <f>IF(U42&gt;0,U34/U42,"")</f>
        <v/>
      </c>
      <c r="V43" s="30">
        <f>IF(V42&gt;0,V34/V42,"")</f>
        <v/>
      </c>
      <c r="W43" s="30">
        <f>IF(W42&gt;0,W34/W42,"")</f>
        <v/>
      </c>
      <c r="X43" s="30">
        <f>IF(X42&gt;0,X34/X42,"")</f>
        <v/>
      </c>
      <c r="Y43" s="30">
        <f>IF(Y42&gt;0,Y34/Y42,"")</f>
        <v/>
      </c>
      <c r="Z43" s="30">
        <f>IF(Z42&gt;0,Z34/Z42,"")</f>
        <v/>
      </c>
      <c r="AA43" s="30">
        <f>IF(AA42&gt;0,AA34/AA42,"")</f>
        <v/>
      </c>
      <c r="AB43" s="30">
        <f>IF(AB42&gt;0,AB34/AB42,"")</f>
        <v/>
      </c>
      <c r="AC43" s="30">
        <f>IF(AC42&gt;0,AC34/AC42,"")</f>
        <v/>
      </c>
      <c r="AD43" s="30">
        <f>IF(AD42&gt;0,AD34/AD42,"")</f>
        <v/>
      </c>
      <c r="AE43" s="30">
        <f>IF(AE42&gt;0,AE34/AE42,"")</f>
        <v/>
      </c>
      <c r="AF43" s="30">
        <f>IF(AF42&gt;0,AF34/AF42,"")</f>
        <v/>
      </c>
      <c r="AG43" s="30">
        <f>IF(AG42&gt;0,AG34/AG42,"")</f>
        <v/>
      </c>
      <c r="AH43" s="30">
        <f>IF(AH42&gt;0,AH34/AH42,"")</f>
        <v/>
      </c>
      <c r="AI43" s="30">
        <f>IF(AI42&gt;0,AI34/AI42,"")</f>
        <v/>
      </c>
      <c r="AJ43" s="30">
        <f>IF(AJ42&gt;0,AJ34/AJ42,"")</f>
        <v/>
      </c>
    </row>
    <row r="44">
      <c r="B44" s="3" t="inlineStr">
        <is>
          <t>Project flows (unlevered, pre-tax)</t>
        </is>
      </c>
      <c r="C44" s="5" t="inlineStr">
        <is>
          <t>$ million</t>
        </is>
      </c>
      <c r="D44" s="23">
        <f>D37+D34</f>
        <v/>
      </c>
      <c r="E44" s="23">
        <f>E37+E34</f>
        <v/>
      </c>
      <c r="F44" s="23">
        <f>F37+F34</f>
        <v/>
      </c>
      <c r="G44" s="23">
        <f>G37+G34</f>
        <v/>
      </c>
      <c r="H44" s="23">
        <f>H37+H34</f>
        <v/>
      </c>
      <c r="I44" s="23">
        <f>I37+I34</f>
        <v/>
      </c>
      <c r="J44" s="23">
        <f>J37+J34</f>
        <v/>
      </c>
      <c r="K44" s="23">
        <f>K37+K34</f>
        <v/>
      </c>
      <c r="L44" s="23">
        <f>L37+L34</f>
        <v/>
      </c>
      <c r="M44" s="23">
        <f>M37+M34</f>
        <v/>
      </c>
      <c r="N44" s="23">
        <f>N37+N34</f>
        <v/>
      </c>
      <c r="O44" s="23">
        <f>O37+O34</f>
        <v/>
      </c>
      <c r="P44" s="23">
        <f>P37+P34</f>
        <v/>
      </c>
      <c r="Q44" s="23">
        <f>Q37+Q34</f>
        <v/>
      </c>
      <c r="R44" s="23">
        <f>R37+R34</f>
        <v/>
      </c>
      <c r="S44" s="23">
        <f>S37+S34</f>
        <v/>
      </c>
      <c r="T44" s="23">
        <f>T37+T34</f>
        <v/>
      </c>
      <c r="U44" s="23">
        <f>U37+U34</f>
        <v/>
      </c>
      <c r="V44" s="23">
        <f>V37+V34</f>
        <v/>
      </c>
      <c r="W44" s="23">
        <f>W37+W34</f>
        <v/>
      </c>
      <c r="X44" s="23">
        <f>X37+X34</f>
        <v/>
      </c>
      <c r="Y44" s="23">
        <f>Y37+Y34</f>
        <v/>
      </c>
      <c r="Z44" s="23">
        <f>Z37+Z34</f>
        <v/>
      </c>
      <c r="AA44" s="23">
        <f>AA37+AA34</f>
        <v/>
      </c>
      <c r="AB44" s="23">
        <f>AB37+AB34</f>
        <v/>
      </c>
      <c r="AC44" s="23">
        <f>AC37+AC34</f>
        <v/>
      </c>
      <c r="AD44" s="23">
        <f>AD37+AD34</f>
        <v/>
      </c>
      <c r="AE44" s="23">
        <f>AE37+AE34</f>
        <v/>
      </c>
      <c r="AF44" s="23">
        <f>AF37+AF34</f>
        <v/>
      </c>
      <c r="AG44" s="23">
        <f>AG37+AG34</f>
        <v/>
      </c>
      <c r="AH44" s="23">
        <f>AH37+AH34</f>
        <v/>
      </c>
      <c r="AI44" s="23">
        <f>AI37+AI34</f>
        <v/>
      </c>
      <c r="AJ44" s="23">
        <f>AJ37+AJ34</f>
        <v/>
      </c>
    </row>
    <row r="45">
      <c r="B45" s="3" t="inlineStr">
        <is>
          <t>Equity flows (pre-tax)</t>
        </is>
      </c>
      <c r="C45" s="5" t="inlineStr">
        <is>
          <t>$ million</t>
        </is>
      </c>
      <c r="D45" s="23">
        <f>D37*(1-$D$41)+D34-D42</f>
        <v/>
      </c>
      <c r="E45" s="23">
        <f>E37*(1-$D$41)+E34-E42</f>
        <v/>
      </c>
      <c r="F45" s="23">
        <f>F37*(1-$D$41)+F34-F42</f>
        <v/>
      </c>
      <c r="G45" s="23">
        <f>G37*(1-$D$41)+G34-G42</f>
        <v/>
      </c>
      <c r="H45" s="23">
        <f>H37*(1-$D$41)+H34-H42</f>
        <v/>
      </c>
      <c r="I45" s="23">
        <f>I37*(1-$D$41)+I34-I42</f>
        <v/>
      </c>
      <c r="J45" s="23">
        <f>J37*(1-$D$41)+J34-J42</f>
        <v/>
      </c>
      <c r="K45" s="23">
        <f>K37*(1-$D$41)+K34-K42</f>
        <v/>
      </c>
      <c r="L45" s="23">
        <f>L37*(1-$D$41)+L34-L42</f>
        <v/>
      </c>
      <c r="M45" s="23">
        <f>M37*(1-$D$41)+M34-M42</f>
        <v/>
      </c>
      <c r="N45" s="23">
        <f>N37*(1-$D$41)+N34-N42</f>
        <v/>
      </c>
      <c r="O45" s="23">
        <f>O37*(1-$D$41)+O34-O42</f>
        <v/>
      </c>
      <c r="P45" s="23">
        <f>P37*(1-$D$41)+P34-P42</f>
        <v/>
      </c>
      <c r="Q45" s="23">
        <f>Q37*(1-$D$41)+Q34-Q42</f>
        <v/>
      </c>
      <c r="R45" s="23">
        <f>R37*(1-$D$41)+R34-R42</f>
        <v/>
      </c>
      <c r="S45" s="23">
        <f>S37*(1-$D$41)+S34-S42</f>
        <v/>
      </c>
      <c r="T45" s="23">
        <f>T37*(1-$D$41)+T34-T42</f>
        <v/>
      </c>
      <c r="U45" s="23">
        <f>U37*(1-$D$41)+U34-U42</f>
        <v/>
      </c>
      <c r="V45" s="23">
        <f>V37*(1-$D$41)+V34-V42</f>
        <v/>
      </c>
      <c r="W45" s="23">
        <f>W37*(1-$D$41)+W34-W42</f>
        <v/>
      </c>
      <c r="X45" s="23">
        <f>X37*(1-$D$41)+X34-X42</f>
        <v/>
      </c>
      <c r="Y45" s="23">
        <f>Y37*(1-$D$41)+Y34-Y42</f>
        <v/>
      </c>
      <c r="Z45" s="23">
        <f>Z37*(1-$D$41)+Z34-Z42</f>
        <v/>
      </c>
      <c r="AA45" s="23">
        <f>AA37*(1-$D$41)+AA34-AA42</f>
        <v/>
      </c>
      <c r="AB45" s="23">
        <f>AB37*(1-$D$41)+AB34-AB42</f>
        <v/>
      </c>
      <c r="AC45" s="23">
        <f>AC37*(1-$D$41)+AC34-AC42</f>
        <v/>
      </c>
      <c r="AD45" s="23">
        <f>AD37*(1-$D$41)+AD34-AD42</f>
        <v/>
      </c>
      <c r="AE45" s="23">
        <f>AE37*(1-$D$41)+AE34-AE42</f>
        <v/>
      </c>
      <c r="AF45" s="23">
        <f>AF37*(1-$D$41)+AF34-AF42</f>
        <v/>
      </c>
      <c r="AG45" s="23">
        <f>AG37*(1-$D$41)+AG34-AG42</f>
        <v/>
      </c>
      <c r="AH45" s="23">
        <f>AH37*(1-$D$41)+AH34-AH42</f>
        <v/>
      </c>
      <c r="AI45" s="23">
        <f>AI37*(1-$D$41)+AI34-AI42</f>
        <v/>
      </c>
      <c r="AJ45" s="23">
        <f>AJ37*(1-$D$41)+AJ34-AJ42</f>
        <v/>
      </c>
    </row>
    <row r="46">
      <c r="B46" s="2" t="inlineStr">
        <is>
          <t>Project IRR</t>
        </is>
      </c>
      <c r="C46" s="5" t="inlineStr">
        <is>
          <t>rate</t>
        </is>
      </c>
      <c r="D46" s="27">
        <f>IRR($D$44:AJ$44,0.07)</f>
        <v/>
      </c>
    </row>
    <row r="47">
      <c r="B47" s="2" t="inlineStr">
        <is>
          <t>Equity IRR</t>
        </is>
      </c>
      <c r="C47" s="5" t="inlineStr">
        <is>
          <t>rate</t>
        </is>
      </c>
      <c r="D47" s="27">
        <f>IRR($D$45:AJ$45,0.1)</f>
        <v/>
      </c>
    </row>
    <row r="48">
      <c r="B48" s="2" t="inlineStr">
        <is>
          <t>Equity invested</t>
        </is>
      </c>
      <c r="C48" s="5" t="inlineStr">
        <is>
          <t>$ million</t>
        </is>
      </c>
      <c r="D48" s="23">
        <f>-SUMPRODUCT($D$37:AJ$37)*(1-$D$41)</f>
        <v/>
      </c>
    </row>
    <row r="50">
      <c r="B50" s="6" t="inlineStr">
        <is>
          <t>Inputs to the capacity charge solve (independent of the charge: no circular reference)</t>
        </is>
      </c>
      <c r="C50" s="7" t="n"/>
      <c r="D50" s="7" t="n"/>
      <c r="E50" s="7" t="n"/>
      <c r="F50" s="7" t="n"/>
      <c r="G50" s="7" t="n"/>
      <c r="H50" s="7" t="n"/>
      <c r="I50" s="7" t="n"/>
      <c r="J50" s="7" t="n"/>
      <c r="K50" s="7" t="n"/>
      <c r="L50" s="7" t="n"/>
      <c r="M50" s="7" t="n"/>
      <c r="N50" s="7" t="n"/>
      <c r="O50" s="7" t="n"/>
      <c r="P50" s="7" t="n"/>
      <c r="Q50" s="7" t="n"/>
      <c r="R50" s="7" t="n"/>
      <c r="S50" s="7" t="n"/>
      <c r="T50" s="7" t="n"/>
      <c r="U50" s="7" t="n"/>
      <c r="V50" s="7" t="n"/>
      <c r="W50" s="7" t="n"/>
      <c r="X50" s="7" t="n"/>
      <c r="Y50" s="7" t="n"/>
      <c r="Z50" s="7" t="n"/>
      <c r="AA50" s="7" t="n"/>
      <c r="AB50" s="7" t="n"/>
      <c r="AC50" s="7" t="n"/>
      <c r="AD50" s="7" t="n"/>
      <c r="AE50" s="7" t="n"/>
      <c r="AF50" s="7" t="n"/>
      <c r="AG50" s="7" t="n"/>
      <c r="AH50" s="7" t="n"/>
      <c r="AI50" s="7" t="n"/>
      <c r="AJ50" s="7" t="n"/>
    </row>
    <row r="51">
      <c r="B51" s="2" t="inlineStr">
        <is>
          <t>CFADS per $1 of capacity charge</t>
        </is>
      </c>
      <c r="C51" s="5" t="inlineStr">
        <is>
          <t>$ million</t>
        </is>
      </c>
      <c r="D51" s="28">
        <f>D18/1000000*(1-IF(D4=sb_cod,sb_delay*(1-sb_ld),0))</f>
        <v/>
      </c>
      <c r="E51" s="28">
        <f>E18/1000000*(1-IF(E4=sb_cod,sb_delay*(1-sb_ld),0))</f>
        <v/>
      </c>
      <c r="F51" s="28">
        <f>F18/1000000*(1-IF(F4=sb_cod,sb_delay*(1-sb_ld),0))</f>
        <v/>
      </c>
      <c r="G51" s="28">
        <f>G18/1000000*(1-IF(G4=sb_cod,sb_delay*(1-sb_ld),0))</f>
        <v/>
      </c>
      <c r="H51" s="28">
        <f>H18/1000000*(1-IF(H4=sb_cod,sb_delay*(1-sb_ld),0))</f>
        <v/>
      </c>
      <c r="I51" s="28">
        <f>I18/1000000*(1-IF(I4=sb_cod,sb_delay*(1-sb_ld),0))</f>
        <v/>
      </c>
      <c r="J51" s="28">
        <f>J18/1000000*(1-IF(J4=sb_cod,sb_delay*(1-sb_ld),0))</f>
        <v/>
      </c>
      <c r="K51" s="28">
        <f>K18/1000000*(1-IF(K4=sb_cod,sb_delay*(1-sb_ld),0))</f>
        <v/>
      </c>
      <c r="L51" s="28">
        <f>L18/1000000*(1-IF(L4=sb_cod,sb_delay*(1-sb_ld),0))</f>
        <v/>
      </c>
      <c r="M51" s="28">
        <f>M18/1000000*(1-IF(M4=sb_cod,sb_delay*(1-sb_ld),0))</f>
        <v/>
      </c>
      <c r="N51" s="28">
        <f>N18/1000000*(1-IF(N4=sb_cod,sb_delay*(1-sb_ld),0))</f>
        <v/>
      </c>
      <c r="O51" s="28">
        <f>O18/1000000*(1-IF(O4=sb_cod,sb_delay*(1-sb_ld),0))</f>
        <v/>
      </c>
      <c r="P51" s="28">
        <f>P18/1000000*(1-IF(P4=sb_cod,sb_delay*(1-sb_ld),0))</f>
        <v/>
      </c>
      <c r="Q51" s="28">
        <f>Q18/1000000*(1-IF(Q4=sb_cod,sb_delay*(1-sb_ld),0))</f>
        <v/>
      </c>
      <c r="R51" s="28">
        <f>R18/1000000*(1-IF(R4=sb_cod,sb_delay*(1-sb_ld),0))</f>
        <v/>
      </c>
      <c r="S51" s="28">
        <f>S18/1000000*(1-IF(S4=sb_cod,sb_delay*(1-sb_ld),0))</f>
        <v/>
      </c>
      <c r="T51" s="28">
        <f>T18/1000000*(1-IF(T4=sb_cod,sb_delay*(1-sb_ld),0))</f>
        <v/>
      </c>
      <c r="U51" s="28">
        <f>U18/1000000*(1-IF(U4=sb_cod,sb_delay*(1-sb_ld),0))</f>
        <v/>
      </c>
      <c r="V51" s="28">
        <f>V18/1000000*(1-IF(V4=sb_cod,sb_delay*(1-sb_ld),0))</f>
        <v/>
      </c>
      <c r="W51" s="28">
        <f>W18/1000000*(1-IF(W4=sb_cod,sb_delay*(1-sb_ld),0))</f>
        <v/>
      </c>
      <c r="X51" s="28">
        <f>X18/1000000*(1-IF(X4=sb_cod,sb_delay*(1-sb_ld),0))</f>
        <v/>
      </c>
      <c r="Y51" s="28">
        <f>Y18/1000000*(1-IF(Y4=sb_cod,sb_delay*(1-sb_ld),0))</f>
        <v/>
      </c>
      <c r="Z51" s="28">
        <f>Z18/1000000*(1-IF(Z4=sb_cod,sb_delay*(1-sb_ld),0))</f>
        <v/>
      </c>
      <c r="AA51" s="28">
        <f>AA18/1000000*(1-IF(AA4=sb_cod,sb_delay*(1-sb_ld),0))</f>
        <v/>
      </c>
      <c r="AB51" s="28">
        <f>AB18/1000000*(1-IF(AB4=sb_cod,sb_delay*(1-sb_ld),0))</f>
        <v/>
      </c>
      <c r="AC51" s="28">
        <f>AC18/1000000*(1-IF(AC4=sb_cod,sb_delay*(1-sb_ld),0))</f>
        <v/>
      </c>
      <c r="AD51" s="28">
        <f>AD18/1000000*(1-IF(AD4=sb_cod,sb_delay*(1-sb_ld),0))</f>
        <v/>
      </c>
      <c r="AE51" s="28">
        <f>AE18/1000000*(1-IF(AE4=sb_cod,sb_delay*(1-sb_ld),0))</f>
        <v/>
      </c>
      <c r="AF51" s="28">
        <f>AF18/1000000*(1-IF(AF4=sb_cod,sb_delay*(1-sb_ld),0))</f>
        <v/>
      </c>
      <c r="AG51" s="28">
        <f>AG18/1000000*(1-IF(AG4=sb_cod,sb_delay*(1-sb_ld),0))</f>
        <v/>
      </c>
      <c r="AH51" s="28">
        <f>AH18/1000000*(1-IF(AH4=sb_cod,sb_delay*(1-sb_ld),0))</f>
        <v/>
      </c>
      <c r="AI51" s="28">
        <f>AI18/1000000*(1-IF(AI4=sb_cod,sb_delay*(1-sb_ld),0))</f>
        <v/>
      </c>
      <c r="AJ51" s="28">
        <f>AJ18/1000000*(1-IF(AJ4=sb_cod,sb_delay*(1-sb_ld),0))</f>
        <v/>
      </c>
    </row>
    <row r="52">
      <c r="B52" s="2" t="inlineStr">
        <is>
          <t>CFADS before capacity payments</t>
        </is>
      </c>
      <c r="C52" s="5" t="inlineStr">
        <is>
          <t>$ million</t>
        </is>
      </c>
      <c r="D52" s="23">
        <f>D23+D24+D25-D33</f>
        <v/>
      </c>
      <c r="E52" s="23">
        <f>E23+E24+E25-E33</f>
        <v/>
      </c>
      <c r="F52" s="23">
        <f>F23+F24+F25-F33</f>
        <v/>
      </c>
      <c r="G52" s="23">
        <f>G23+G24+G25-G33</f>
        <v/>
      </c>
      <c r="H52" s="23">
        <f>H23+H24+H25-H33</f>
        <v/>
      </c>
      <c r="I52" s="23">
        <f>I23+I24+I25-I33</f>
        <v/>
      </c>
      <c r="J52" s="23">
        <f>J23+J24+J25-J33</f>
        <v/>
      </c>
      <c r="K52" s="23">
        <f>K23+K24+K25-K33</f>
        <v/>
      </c>
      <c r="L52" s="23">
        <f>L23+L24+L25-L33</f>
        <v/>
      </c>
      <c r="M52" s="23">
        <f>M23+M24+M25-M33</f>
        <v/>
      </c>
      <c r="N52" s="23">
        <f>N23+N24+N25-N33</f>
        <v/>
      </c>
      <c r="O52" s="23">
        <f>O23+O24+O25-O33</f>
        <v/>
      </c>
      <c r="P52" s="23">
        <f>P23+P24+P25-P33</f>
        <v/>
      </c>
      <c r="Q52" s="23">
        <f>Q23+Q24+Q25-Q33</f>
        <v/>
      </c>
      <c r="R52" s="23">
        <f>R23+R24+R25-R33</f>
        <v/>
      </c>
      <c r="S52" s="23">
        <f>S23+S24+S25-S33</f>
        <v/>
      </c>
      <c r="T52" s="23">
        <f>T23+T24+T25-T33</f>
        <v/>
      </c>
      <c r="U52" s="23">
        <f>U23+U24+U25-U33</f>
        <v/>
      </c>
      <c r="V52" s="23">
        <f>V23+V24+V25-V33</f>
        <v/>
      </c>
      <c r="W52" s="23">
        <f>W23+W24+W25-W33</f>
        <v/>
      </c>
      <c r="X52" s="23">
        <f>X23+X24+X25-X33</f>
        <v/>
      </c>
      <c r="Y52" s="23">
        <f>Y23+Y24+Y25-Y33</f>
        <v/>
      </c>
      <c r="Z52" s="23">
        <f>Z23+Z24+Z25-Z33</f>
        <v/>
      </c>
      <c r="AA52" s="23">
        <f>AA23+AA24+AA25-AA33</f>
        <v/>
      </c>
      <c r="AB52" s="23">
        <f>AB23+AB24+AB25-AB33</f>
        <v/>
      </c>
      <c r="AC52" s="23">
        <f>AC23+AC24+AC25-AC33</f>
        <v/>
      </c>
      <c r="AD52" s="23">
        <f>AD23+AD24+AD25-AD33</f>
        <v/>
      </c>
      <c r="AE52" s="23">
        <f>AE23+AE24+AE25-AE33</f>
        <v/>
      </c>
      <c r="AF52" s="23">
        <f>AF23+AF24+AF25-AF33</f>
        <v/>
      </c>
      <c r="AG52" s="23">
        <f>AG23+AG24+AG25-AG33</f>
        <v/>
      </c>
      <c r="AH52" s="23">
        <f>AH23+AH24+AH25-AH33</f>
        <v/>
      </c>
      <c r="AI52" s="23">
        <f>AI23+AI24+AI25-AI33</f>
        <v/>
      </c>
      <c r="AJ52" s="23">
        <f>AJ23+AJ24+AJ25-AJ33</f>
        <v/>
      </c>
    </row>
    <row r="53">
      <c r="B53" s="2" t="inlineStr">
        <is>
          <t>Discount factor at the equity target</t>
        </is>
      </c>
      <c r="D53" s="28">
        <f>1/(1+sb_target)^(D4-sb_start)</f>
        <v/>
      </c>
      <c r="E53" s="28">
        <f>1/(1+sb_target)^(E4-sb_start)</f>
        <v/>
      </c>
      <c r="F53" s="28">
        <f>1/(1+sb_target)^(F4-sb_start)</f>
        <v/>
      </c>
      <c r="G53" s="28">
        <f>1/(1+sb_target)^(G4-sb_start)</f>
        <v/>
      </c>
      <c r="H53" s="28">
        <f>1/(1+sb_target)^(H4-sb_start)</f>
        <v/>
      </c>
      <c r="I53" s="28">
        <f>1/(1+sb_target)^(I4-sb_start)</f>
        <v/>
      </c>
      <c r="J53" s="28">
        <f>1/(1+sb_target)^(J4-sb_start)</f>
        <v/>
      </c>
      <c r="K53" s="28">
        <f>1/(1+sb_target)^(K4-sb_start)</f>
        <v/>
      </c>
      <c r="L53" s="28">
        <f>1/(1+sb_target)^(L4-sb_start)</f>
        <v/>
      </c>
      <c r="M53" s="28">
        <f>1/(1+sb_target)^(M4-sb_start)</f>
        <v/>
      </c>
      <c r="N53" s="28">
        <f>1/(1+sb_target)^(N4-sb_start)</f>
        <v/>
      </c>
      <c r="O53" s="28">
        <f>1/(1+sb_target)^(O4-sb_start)</f>
        <v/>
      </c>
      <c r="P53" s="28">
        <f>1/(1+sb_target)^(P4-sb_start)</f>
        <v/>
      </c>
      <c r="Q53" s="28">
        <f>1/(1+sb_target)^(Q4-sb_start)</f>
        <v/>
      </c>
      <c r="R53" s="28">
        <f>1/(1+sb_target)^(R4-sb_start)</f>
        <v/>
      </c>
      <c r="S53" s="28">
        <f>1/(1+sb_target)^(S4-sb_start)</f>
        <v/>
      </c>
      <c r="T53" s="28">
        <f>1/(1+sb_target)^(T4-sb_start)</f>
        <v/>
      </c>
      <c r="U53" s="28">
        <f>1/(1+sb_target)^(U4-sb_start)</f>
        <v/>
      </c>
      <c r="V53" s="28">
        <f>1/(1+sb_target)^(V4-sb_start)</f>
        <v/>
      </c>
      <c r="W53" s="28">
        <f>1/(1+sb_target)^(W4-sb_start)</f>
        <v/>
      </c>
      <c r="X53" s="28">
        <f>1/(1+sb_target)^(X4-sb_start)</f>
        <v/>
      </c>
      <c r="Y53" s="28">
        <f>1/(1+sb_target)^(Y4-sb_start)</f>
        <v/>
      </c>
      <c r="Z53" s="28">
        <f>1/(1+sb_target)^(Z4-sb_start)</f>
        <v/>
      </c>
      <c r="AA53" s="28">
        <f>1/(1+sb_target)^(AA4-sb_start)</f>
        <v/>
      </c>
      <c r="AB53" s="28">
        <f>1/(1+sb_target)^(AB4-sb_start)</f>
        <v/>
      </c>
      <c r="AC53" s="28">
        <f>1/(1+sb_target)^(AC4-sb_start)</f>
        <v/>
      </c>
      <c r="AD53" s="28">
        <f>1/(1+sb_target)^(AD4-sb_start)</f>
        <v/>
      </c>
      <c r="AE53" s="28">
        <f>1/(1+sb_target)^(AE4-sb_start)</f>
        <v/>
      </c>
      <c r="AF53" s="28">
        <f>1/(1+sb_target)^(AF4-sb_start)</f>
        <v/>
      </c>
      <c r="AG53" s="28">
        <f>1/(1+sb_target)^(AG4-sb_start)</f>
        <v/>
      </c>
      <c r="AH53" s="28">
        <f>1/(1+sb_target)^(AH4-sb_start)</f>
        <v/>
      </c>
      <c r="AI53" s="28">
        <f>1/(1+sb_target)^(AI4-sb_start)</f>
        <v/>
      </c>
      <c r="AJ53" s="28">
        <f>1/(1+sb_target)^(AJ4-sb_start)</f>
        <v/>
      </c>
    </row>
    <row r="54">
      <c r="B54" s="2" t="inlineStr">
        <is>
          <t>Debt service year (1 = yes)</t>
        </is>
      </c>
      <c r="D54" s="26">
        <f>IF(D38&gt;0,1,0)</f>
        <v/>
      </c>
      <c r="E54" s="26">
        <f>IF(E38&gt;0,1,0)</f>
        <v/>
      </c>
      <c r="F54" s="26">
        <f>IF(F38&gt;0,1,0)</f>
        <v/>
      </c>
      <c r="G54" s="26">
        <f>IF(G38&gt;0,1,0)</f>
        <v/>
      </c>
      <c r="H54" s="26">
        <f>IF(H38&gt;0,1,0)</f>
        <v/>
      </c>
      <c r="I54" s="26">
        <f>IF(I38&gt;0,1,0)</f>
        <v/>
      </c>
      <c r="J54" s="26">
        <f>IF(J38&gt;0,1,0)</f>
        <v/>
      </c>
      <c r="K54" s="26">
        <f>IF(K38&gt;0,1,0)</f>
        <v/>
      </c>
      <c r="L54" s="26">
        <f>IF(L38&gt;0,1,0)</f>
        <v/>
      </c>
      <c r="M54" s="26">
        <f>IF(M38&gt;0,1,0)</f>
        <v/>
      </c>
      <c r="N54" s="26">
        <f>IF(N38&gt;0,1,0)</f>
        <v/>
      </c>
      <c r="O54" s="26">
        <f>IF(O38&gt;0,1,0)</f>
        <v/>
      </c>
      <c r="P54" s="26">
        <f>IF(P38&gt;0,1,0)</f>
        <v/>
      </c>
      <c r="Q54" s="26">
        <f>IF(Q38&gt;0,1,0)</f>
        <v/>
      </c>
      <c r="R54" s="26">
        <f>IF(R38&gt;0,1,0)</f>
        <v/>
      </c>
      <c r="S54" s="26">
        <f>IF(S38&gt;0,1,0)</f>
        <v/>
      </c>
      <c r="T54" s="26">
        <f>IF(T38&gt;0,1,0)</f>
        <v/>
      </c>
      <c r="U54" s="26">
        <f>IF(U38&gt;0,1,0)</f>
        <v/>
      </c>
      <c r="V54" s="26">
        <f>IF(V38&gt;0,1,0)</f>
        <v/>
      </c>
      <c r="W54" s="26">
        <f>IF(W38&gt;0,1,0)</f>
        <v/>
      </c>
      <c r="X54" s="26">
        <f>IF(X38&gt;0,1,0)</f>
        <v/>
      </c>
      <c r="Y54" s="26">
        <f>IF(Y38&gt;0,1,0)</f>
        <v/>
      </c>
      <c r="Z54" s="26">
        <f>IF(Z38&gt;0,1,0)</f>
        <v/>
      </c>
      <c r="AA54" s="26">
        <f>IF(AA38&gt;0,1,0)</f>
        <v/>
      </c>
      <c r="AB54" s="26">
        <f>IF(AB38&gt;0,1,0)</f>
        <v/>
      </c>
      <c r="AC54" s="26">
        <f>IF(AC38&gt;0,1,0)</f>
        <v/>
      </c>
      <c r="AD54" s="26">
        <f>IF(AD38&gt;0,1,0)</f>
        <v/>
      </c>
      <c r="AE54" s="26">
        <f>IF(AE38&gt;0,1,0)</f>
        <v/>
      </c>
      <c r="AF54" s="26">
        <f>IF(AF38&gt;0,1,0)</f>
        <v/>
      </c>
      <c r="AG54" s="26">
        <f>IF(AG38&gt;0,1,0)</f>
        <v/>
      </c>
      <c r="AH54" s="26">
        <f>IF(AH38&gt;0,1,0)</f>
        <v/>
      </c>
      <c r="AI54" s="26">
        <f>IF(AI38&gt;0,1,0)</f>
        <v/>
      </c>
      <c r="AJ54" s="26">
        <f>IF(AJ38&gt;0,1,0)</f>
        <v/>
      </c>
    </row>
    <row r="57">
      <c r="B57" s="6" t="inlineStr">
        <is>
          <t>Payment mechanism and the wet year</t>
        </is>
      </c>
    </row>
    <row r="58">
      <c r="B58" s="2" t="inlineStr">
        <is>
          <t>Payment factor at the illustrative availability (below the guarantee it falls twice as fast)</t>
        </is>
      </c>
      <c r="D58" s="39">
        <f>IF(sb_avail_test&gt;=sb_guar,MIN(1,sb_avail_test/sb_guar),sb_avail_test/sb_guar-(sb_guar-sb_avail_test)/sb_guar)</f>
        <v/>
      </c>
    </row>
    <row r="59">
      <c r="B59" s="2" t="inlineStr">
        <is>
          <t>Wet year: capacity and fixed O&amp;M payments</t>
        </is>
      </c>
      <c r="D59" s="23">
        <f>INDEX($D$22:AJ$22,MATCH(sb_wet_year,$D$4:AJ$4,0))+INDEX($D$23:AJ$23,MATCH(sb_wet_year,$D$4:AJ$4,0))</f>
        <v/>
      </c>
    </row>
    <row r="60">
      <c r="B60" s="2" t="inlineStr">
        <is>
          <t>Wet-year offtake / normal offtake</t>
        </is>
      </c>
      <c r="D60" s="28">
        <f>sb_wet_disp/sb_dispatch</f>
        <v/>
      </c>
    </row>
    <row r="61">
      <c r="B61" s="2" t="inlineStr">
        <is>
          <t>Energy and chemicals charges, scaled</t>
        </is>
      </c>
      <c r="D61" s="23">
        <f>(INDEX($D$24:AJ$24,MATCH(sb_wet_year,$D$4:AJ$4,0))+INDEX($D$25:AJ$25,MATCH(sb_wet_year,$D$4:AJ$4,0)))*D60</f>
        <v/>
      </c>
    </row>
    <row r="62">
      <c r="B62" s="2" t="inlineStr">
        <is>
          <t>Energy and chemicals costs, scaled</t>
        </is>
      </c>
      <c r="D62" s="23">
        <f>(INDEX($D$30:AJ$30,MATCH(sb_wet_year,$D$4:AJ$4,0))+INDEX($D$31:AJ$31,MATCH(sb_wet_year,$D$4:AJ$4,0)))*D60</f>
        <v/>
      </c>
    </row>
    <row r="63">
      <c r="B63" s="2" t="inlineStr">
        <is>
          <t>Fixed O&amp;M and overhauls</t>
        </is>
      </c>
      <c r="D63" s="23">
        <f>INDEX($D$29:AJ$29,MATCH(sb_wet_year,$D$4:AJ$4,0))+INDEX($D$32:AJ$32,MATCH(sb_wet_year,$D$4:AJ$4,0))</f>
        <v/>
      </c>
    </row>
    <row r="64">
      <c r="B64" s="2" t="inlineStr">
        <is>
          <t>Cash flow under take-or-pay</t>
        </is>
      </c>
      <c r="D64" s="24">
        <f>D59+D61-D63-D62</f>
        <v/>
      </c>
    </row>
    <row r="65">
      <c r="B65" s="2" t="inlineStr">
        <is>
          <t>Cash flow under take-and-pay</t>
        </is>
      </c>
      <c r="D65" s="24">
        <f>D59*D60+D61-D63-D62</f>
        <v/>
      </c>
    </row>
    <row r="66">
      <c r="B66" s="2" t="inlineStr">
        <is>
          <t>Debt service in the wet year</t>
        </is>
      </c>
      <c r="D66" s="23">
        <f>INDEX($D$42:AJ$42,MATCH(sb_wet_year,$D$4:AJ$4,0))</f>
        <v/>
      </c>
    </row>
    <row r="67">
      <c r="B67" s="2" t="inlineStr">
        <is>
          <t>Cover, take-or-pay</t>
        </is>
      </c>
      <c r="D67" s="30">
        <f>D64/D66</f>
        <v/>
      </c>
    </row>
    <row r="68">
      <c r="B68" s="2" t="inlineStr">
        <is>
          <t>Cover, take-and-pay</t>
        </is>
      </c>
      <c r="D68" s="30">
        <f>D65/D66</f>
        <v/>
      </c>
    </row>
    <row r="69">
      <c r="B69" s="2" t="inlineStr">
        <is>
          <t>Take-and-pay tariff that earns the same in a normal year ($ per m3)</t>
        </is>
      </c>
      <c r="D69" s="22">
        <f>D59*1000000/INDEX($D$19:AJ$19,MATCH(sb_wet_year,$D$4:AJ$4,0))</f>
        <v/>
      </c>
    </row>
    <row r="70">
      <c r="B70" s="2" t="inlineStr">
        <is>
          <t>Loss under take-and-pay</t>
        </is>
      </c>
      <c r="D70" s="23">
        <f>D59*(1-D60)</f>
        <v/>
      </c>
    </row>
    <row r="72">
      <c r="B72" s="2" t="inlineStr">
        <is>
          <t>Authority discount factor (its own rate)</t>
        </is>
      </c>
      <c r="D72" s="28">
        <f>1/(1+sb_auth_rate)^(D4-sb_start)</f>
        <v/>
      </c>
      <c r="E72" s="28">
        <f>1/(1+sb_auth_rate)^(E4-sb_start)</f>
        <v/>
      </c>
      <c r="F72" s="28">
        <f>1/(1+sb_auth_rate)^(F4-sb_start)</f>
        <v/>
      </c>
      <c r="G72" s="28">
        <f>1/(1+sb_auth_rate)^(G4-sb_start)</f>
        <v/>
      </c>
      <c r="H72" s="28">
        <f>1/(1+sb_auth_rate)^(H4-sb_start)</f>
        <v/>
      </c>
      <c r="I72" s="28">
        <f>1/(1+sb_auth_rate)^(I4-sb_start)</f>
        <v/>
      </c>
      <c r="J72" s="28">
        <f>1/(1+sb_auth_rate)^(J4-sb_start)</f>
        <v/>
      </c>
      <c r="K72" s="28">
        <f>1/(1+sb_auth_rate)^(K4-sb_start)</f>
        <v/>
      </c>
      <c r="L72" s="28">
        <f>1/(1+sb_auth_rate)^(L4-sb_start)</f>
        <v/>
      </c>
      <c r="M72" s="28">
        <f>1/(1+sb_auth_rate)^(M4-sb_start)</f>
        <v/>
      </c>
      <c r="N72" s="28">
        <f>1/(1+sb_auth_rate)^(N4-sb_start)</f>
        <v/>
      </c>
      <c r="O72" s="28">
        <f>1/(1+sb_auth_rate)^(O4-sb_start)</f>
        <v/>
      </c>
      <c r="P72" s="28">
        <f>1/(1+sb_auth_rate)^(P4-sb_start)</f>
        <v/>
      </c>
      <c r="Q72" s="28">
        <f>1/(1+sb_auth_rate)^(Q4-sb_start)</f>
        <v/>
      </c>
      <c r="R72" s="28">
        <f>1/(1+sb_auth_rate)^(R4-sb_start)</f>
        <v/>
      </c>
      <c r="S72" s="28">
        <f>1/(1+sb_auth_rate)^(S4-sb_start)</f>
        <v/>
      </c>
      <c r="T72" s="28">
        <f>1/(1+sb_auth_rate)^(T4-sb_start)</f>
        <v/>
      </c>
      <c r="U72" s="28">
        <f>1/(1+sb_auth_rate)^(U4-sb_start)</f>
        <v/>
      </c>
      <c r="V72" s="28">
        <f>1/(1+sb_auth_rate)^(V4-sb_start)</f>
        <v/>
      </c>
      <c r="W72" s="28">
        <f>1/(1+sb_auth_rate)^(W4-sb_start)</f>
        <v/>
      </c>
      <c r="X72" s="28">
        <f>1/(1+sb_auth_rate)^(X4-sb_start)</f>
        <v/>
      </c>
      <c r="Y72" s="28">
        <f>1/(1+sb_auth_rate)^(Y4-sb_start)</f>
        <v/>
      </c>
      <c r="Z72" s="28">
        <f>1/(1+sb_auth_rate)^(Z4-sb_start)</f>
        <v/>
      </c>
      <c r="AA72" s="28">
        <f>1/(1+sb_auth_rate)^(AA4-sb_start)</f>
        <v/>
      </c>
      <c r="AB72" s="28">
        <f>1/(1+sb_auth_rate)^(AB4-sb_start)</f>
        <v/>
      </c>
      <c r="AC72" s="28">
        <f>1/(1+sb_auth_rate)^(AC4-sb_start)</f>
        <v/>
      </c>
      <c r="AD72" s="28">
        <f>1/(1+sb_auth_rate)^(AD4-sb_start)</f>
        <v/>
      </c>
      <c r="AE72" s="28">
        <f>1/(1+sb_auth_rate)^(AE4-sb_start)</f>
        <v/>
      </c>
      <c r="AF72" s="28">
        <f>1/(1+sb_auth_rate)^(AF4-sb_start)</f>
        <v/>
      </c>
      <c r="AG72" s="28">
        <f>1/(1+sb_auth_rate)^(AG4-sb_start)</f>
        <v/>
      </c>
      <c r="AH72" s="28">
        <f>1/(1+sb_auth_rate)^(AH4-sb_start)</f>
        <v/>
      </c>
      <c r="AI72" s="28">
        <f>1/(1+sb_auth_rate)^(AI4-sb_start)</f>
        <v/>
      </c>
      <c r="AJ72" s="28">
        <f>1/(1+sb_auth_rate)^(AJ4-sb_start)</f>
        <v/>
      </c>
    </row>
    <row r="73">
      <c r="B73" s="2" t="inlineStr">
        <is>
          <t>Sorrel Bay cost per acre-foot delivered</t>
        </is>
      </c>
      <c r="D73" s="19">
        <f>IF(D5=1,D28*1000000/D19*u_af,0)</f>
        <v/>
      </c>
      <c r="E73" s="19">
        <f>IF(E5=1,E28*1000000/E19*u_af,0)</f>
        <v/>
      </c>
      <c r="F73" s="19">
        <f>IF(F5=1,F28*1000000/F19*u_af,0)</f>
        <v/>
      </c>
      <c r="G73" s="19">
        <f>IF(G5=1,G28*1000000/G19*u_af,0)</f>
        <v/>
      </c>
      <c r="H73" s="19">
        <f>IF(H5=1,H28*1000000/H19*u_af,0)</f>
        <v/>
      </c>
      <c r="I73" s="19">
        <f>IF(I5=1,I28*1000000/I19*u_af,0)</f>
        <v/>
      </c>
      <c r="J73" s="19">
        <f>IF(J5=1,J28*1000000/J19*u_af,0)</f>
        <v/>
      </c>
      <c r="K73" s="19">
        <f>IF(K5=1,K28*1000000/K19*u_af,0)</f>
        <v/>
      </c>
      <c r="L73" s="19">
        <f>IF(L5=1,L28*1000000/L19*u_af,0)</f>
        <v/>
      </c>
      <c r="M73" s="19">
        <f>IF(M5=1,M28*1000000/M19*u_af,0)</f>
        <v/>
      </c>
      <c r="N73" s="19">
        <f>IF(N5=1,N28*1000000/N19*u_af,0)</f>
        <v/>
      </c>
      <c r="O73" s="19">
        <f>IF(O5=1,O28*1000000/O19*u_af,0)</f>
        <v/>
      </c>
      <c r="P73" s="19">
        <f>IF(P5=1,P28*1000000/P19*u_af,0)</f>
        <v/>
      </c>
      <c r="Q73" s="19">
        <f>IF(Q5=1,Q28*1000000/Q19*u_af,0)</f>
        <v/>
      </c>
      <c r="R73" s="19">
        <f>IF(R5=1,R28*1000000/R19*u_af,0)</f>
        <v/>
      </c>
      <c r="S73" s="19">
        <f>IF(S5=1,S28*1000000/S19*u_af,0)</f>
        <v/>
      </c>
      <c r="T73" s="19">
        <f>IF(T5=1,T28*1000000/T19*u_af,0)</f>
        <v/>
      </c>
      <c r="U73" s="19">
        <f>IF(U5=1,U28*1000000/U19*u_af,0)</f>
        <v/>
      </c>
      <c r="V73" s="19">
        <f>IF(V5=1,V28*1000000/V19*u_af,0)</f>
        <v/>
      </c>
      <c r="W73" s="19">
        <f>IF(W5=1,W28*1000000/W19*u_af,0)</f>
        <v/>
      </c>
      <c r="X73" s="19">
        <f>IF(X5=1,X28*1000000/X19*u_af,0)</f>
        <v/>
      </c>
      <c r="Y73" s="19">
        <f>IF(Y5=1,Y28*1000000/Y19*u_af,0)</f>
        <v/>
      </c>
      <c r="Z73" s="19">
        <f>IF(Z5=1,Z28*1000000/Z19*u_af,0)</f>
        <v/>
      </c>
      <c r="AA73" s="19">
        <f>IF(AA5=1,AA28*1000000/AA19*u_af,0)</f>
        <v/>
      </c>
      <c r="AB73" s="19">
        <f>IF(AB5=1,AB28*1000000/AB19*u_af,0)</f>
        <v/>
      </c>
      <c r="AC73" s="19">
        <f>IF(AC5=1,AC28*1000000/AC19*u_af,0)</f>
        <v/>
      </c>
      <c r="AD73" s="19">
        <f>IF(AD5=1,AD28*1000000/AD19*u_af,0)</f>
        <v/>
      </c>
      <c r="AE73" s="19">
        <f>IF(AE5=1,AE28*1000000/AE19*u_af,0)</f>
        <v/>
      </c>
      <c r="AF73" s="19">
        <f>IF(AF5=1,AF28*1000000/AF19*u_af,0)</f>
        <v/>
      </c>
      <c r="AG73" s="19">
        <f>IF(AG5=1,AG28*1000000/AG19*u_af,0)</f>
        <v/>
      </c>
      <c r="AH73" s="19">
        <f>IF(AH5=1,AH28*1000000/AH19*u_af,0)</f>
        <v/>
      </c>
      <c r="AI73" s="19">
        <f>IF(AI5=1,AI28*1000000/AI19*u_af,0)</f>
        <v/>
      </c>
      <c r="AJ73" s="19">
        <f>IF(AJ5=1,AJ28*1000000/AJ19*u_af,0)</f>
        <v/>
      </c>
    </row>
    <row r="74">
      <c r="B74" s="2" t="inlineStr">
        <is>
          <t>Imported water per acre-foot</t>
        </is>
      </c>
      <c r="D74" s="19">
        <f>IF(D5=1,sb_alt_af*(1+sb_alt_esc)^D6,0)</f>
        <v/>
      </c>
      <c r="E74" s="19">
        <f>IF(E5=1,sb_alt_af*(1+sb_alt_esc)^E6,0)</f>
        <v/>
      </c>
      <c r="F74" s="19">
        <f>IF(F5=1,sb_alt_af*(1+sb_alt_esc)^F6,0)</f>
        <v/>
      </c>
      <c r="G74" s="19">
        <f>IF(G5=1,sb_alt_af*(1+sb_alt_esc)^G6,0)</f>
        <v/>
      </c>
      <c r="H74" s="19">
        <f>IF(H5=1,sb_alt_af*(1+sb_alt_esc)^H6,0)</f>
        <v/>
      </c>
      <c r="I74" s="19">
        <f>IF(I5=1,sb_alt_af*(1+sb_alt_esc)^I6,0)</f>
        <v/>
      </c>
      <c r="J74" s="19">
        <f>IF(J5=1,sb_alt_af*(1+sb_alt_esc)^J6,0)</f>
        <v/>
      </c>
      <c r="K74" s="19">
        <f>IF(K5=1,sb_alt_af*(1+sb_alt_esc)^K6,0)</f>
        <v/>
      </c>
      <c r="L74" s="19">
        <f>IF(L5=1,sb_alt_af*(1+sb_alt_esc)^L6,0)</f>
        <v/>
      </c>
      <c r="M74" s="19">
        <f>IF(M5=1,sb_alt_af*(1+sb_alt_esc)^M6,0)</f>
        <v/>
      </c>
      <c r="N74" s="19">
        <f>IF(N5=1,sb_alt_af*(1+sb_alt_esc)^N6,0)</f>
        <v/>
      </c>
      <c r="O74" s="19">
        <f>IF(O5=1,sb_alt_af*(1+sb_alt_esc)^O6,0)</f>
        <v/>
      </c>
      <c r="P74" s="19">
        <f>IF(P5=1,sb_alt_af*(1+sb_alt_esc)^P6,0)</f>
        <v/>
      </c>
      <c r="Q74" s="19">
        <f>IF(Q5=1,sb_alt_af*(1+sb_alt_esc)^Q6,0)</f>
        <v/>
      </c>
      <c r="R74" s="19">
        <f>IF(R5=1,sb_alt_af*(1+sb_alt_esc)^R6,0)</f>
        <v/>
      </c>
      <c r="S74" s="19">
        <f>IF(S5=1,sb_alt_af*(1+sb_alt_esc)^S6,0)</f>
        <v/>
      </c>
      <c r="T74" s="19">
        <f>IF(T5=1,sb_alt_af*(1+sb_alt_esc)^T6,0)</f>
        <v/>
      </c>
      <c r="U74" s="19">
        <f>IF(U5=1,sb_alt_af*(1+sb_alt_esc)^U6,0)</f>
        <v/>
      </c>
      <c r="V74" s="19">
        <f>IF(V5=1,sb_alt_af*(1+sb_alt_esc)^V6,0)</f>
        <v/>
      </c>
      <c r="W74" s="19">
        <f>IF(W5=1,sb_alt_af*(1+sb_alt_esc)^W6,0)</f>
        <v/>
      </c>
      <c r="X74" s="19">
        <f>IF(X5=1,sb_alt_af*(1+sb_alt_esc)^X6,0)</f>
        <v/>
      </c>
      <c r="Y74" s="19">
        <f>IF(Y5=1,sb_alt_af*(1+sb_alt_esc)^Y6,0)</f>
        <v/>
      </c>
      <c r="Z74" s="19">
        <f>IF(Z5=1,sb_alt_af*(1+sb_alt_esc)^Z6,0)</f>
        <v/>
      </c>
      <c r="AA74" s="19">
        <f>IF(AA5=1,sb_alt_af*(1+sb_alt_esc)^AA6,0)</f>
        <v/>
      </c>
      <c r="AB74" s="19">
        <f>IF(AB5=1,sb_alt_af*(1+sb_alt_esc)^AB6,0)</f>
        <v/>
      </c>
      <c r="AC74" s="19">
        <f>IF(AC5=1,sb_alt_af*(1+sb_alt_esc)^AC6,0)</f>
        <v/>
      </c>
      <c r="AD74" s="19">
        <f>IF(AD5=1,sb_alt_af*(1+sb_alt_esc)^AD6,0)</f>
        <v/>
      </c>
      <c r="AE74" s="19">
        <f>IF(AE5=1,sb_alt_af*(1+sb_alt_esc)^AE6,0)</f>
        <v/>
      </c>
      <c r="AF74" s="19">
        <f>IF(AF5=1,sb_alt_af*(1+sb_alt_esc)^AF6,0)</f>
        <v/>
      </c>
      <c r="AG74" s="19">
        <f>IF(AG5=1,sb_alt_af*(1+sb_alt_esc)^AG6,0)</f>
        <v/>
      </c>
      <c r="AH74" s="19">
        <f>IF(AH5=1,sb_alt_af*(1+sb_alt_esc)^AH6,0)</f>
        <v/>
      </c>
      <c r="AI74" s="19">
        <f>IF(AI5=1,sb_alt_af*(1+sb_alt_esc)^AI6,0)</f>
        <v/>
      </c>
      <c r="AJ74" s="19">
        <f>IF(AJ5=1,sb_alt_af*(1+sb_alt_esc)^AJ6,0)</f>
        <v/>
      </c>
    </row>
    <row r="75">
      <c r="B75" s="2" t="inlineStr">
        <is>
          <t>Year imported water is dearer (else 9999)</t>
        </is>
      </c>
      <c r="D75" s="26">
        <f>IF(AND(D5=1,D74&gt;=D73),D4,9999)</f>
        <v/>
      </c>
      <c r="E75" s="26">
        <f>IF(AND(E5=1,E74&gt;=E73),E4,9999)</f>
        <v/>
      </c>
      <c r="F75" s="26">
        <f>IF(AND(F5=1,F74&gt;=F73),F4,9999)</f>
        <v/>
      </c>
      <c r="G75" s="26">
        <f>IF(AND(G5=1,G74&gt;=G73),G4,9999)</f>
        <v/>
      </c>
      <c r="H75" s="26">
        <f>IF(AND(H5=1,H74&gt;=H73),H4,9999)</f>
        <v/>
      </c>
      <c r="I75" s="26">
        <f>IF(AND(I5=1,I74&gt;=I73),I4,9999)</f>
        <v/>
      </c>
      <c r="J75" s="26">
        <f>IF(AND(J5=1,J74&gt;=J73),J4,9999)</f>
        <v/>
      </c>
      <c r="K75" s="26">
        <f>IF(AND(K5=1,K74&gt;=K73),K4,9999)</f>
        <v/>
      </c>
      <c r="L75" s="26">
        <f>IF(AND(L5=1,L74&gt;=L73),L4,9999)</f>
        <v/>
      </c>
      <c r="M75" s="26">
        <f>IF(AND(M5=1,M74&gt;=M73),M4,9999)</f>
        <v/>
      </c>
      <c r="N75" s="26">
        <f>IF(AND(N5=1,N74&gt;=N73),N4,9999)</f>
        <v/>
      </c>
      <c r="O75" s="26">
        <f>IF(AND(O5=1,O74&gt;=O73),O4,9999)</f>
        <v/>
      </c>
      <c r="P75" s="26">
        <f>IF(AND(P5=1,P74&gt;=P73),P4,9999)</f>
        <v/>
      </c>
      <c r="Q75" s="26">
        <f>IF(AND(Q5=1,Q74&gt;=Q73),Q4,9999)</f>
        <v/>
      </c>
      <c r="R75" s="26">
        <f>IF(AND(R5=1,R74&gt;=R73),R4,9999)</f>
        <v/>
      </c>
      <c r="S75" s="26">
        <f>IF(AND(S5=1,S74&gt;=S73),S4,9999)</f>
        <v/>
      </c>
      <c r="T75" s="26">
        <f>IF(AND(T5=1,T74&gt;=T73),T4,9999)</f>
        <v/>
      </c>
      <c r="U75" s="26">
        <f>IF(AND(U5=1,U74&gt;=U73),U4,9999)</f>
        <v/>
      </c>
      <c r="V75" s="26">
        <f>IF(AND(V5=1,V74&gt;=V73),V4,9999)</f>
        <v/>
      </c>
      <c r="W75" s="26">
        <f>IF(AND(W5=1,W74&gt;=W73),W4,9999)</f>
        <v/>
      </c>
      <c r="X75" s="26">
        <f>IF(AND(X5=1,X74&gt;=X73),X4,9999)</f>
        <v/>
      </c>
      <c r="Y75" s="26">
        <f>IF(AND(Y5=1,Y74&gt;=Y73),Y4,9999)</f>
        <v/>
      </c>
      <c r="Z75" s="26">
        <f>IF(AND(Z5=1,Z74&gt;=Z73),Z4,9999)</f>
        <v/>
      </c>
      <c r="AA75" s="26">
        <f>IF(AND(AA5=1,AA74&gt;=AA73),AA4,9999)</f>
        <v/>
      </c>
      <c r="AB75" s="26">
        <f>IF(AND(AB5=1,AB74&gt;=AB73),AB4,9999)</f>
        <v/>
      </c>
      <c r="AC75" s="26">
        <f>IF(AND(AC5=1,AC74&gt;=AC73),AC4,9999)</f>
        <v/>
      </c>
      <c r="AD75" s="26">
        <f>IF(AND(AD5=1,AD74&gt;=AD73),AD4,9999)</f>
        <v/>
      </c>
      <c r="AE75" s="26">
        <f>IF(AND(AE5=1,AE74&gt;=AE73),AE4,9999)</f>
        <v/>
      </c>
      <c r="AF75" s="26">
        <f>IF(AND(AF5=1,AF74&gt;=AF73),AF4,9999)</f>
        <v/>
      </c>
      <c r="AG75" s="26">
        <f>IF(AND(AG5=1,AG74&gt;=AG73),AG4,9999)</f>
        <v/>
      </c>
      <c r="AH75" s="26">
        <f>IF(AND(AH5=1,AH74&gt;=AH73),AH4,9999)</f>
        <v/>
      </c>
      <c r="AI75" s="26">
        <f>IF(AND(AI5=1,AI74&gt;=AI73),AI4,9999)</f>
        <v/>
      </c>
      <c r="AJ75" s="26">
        <f>IF(AND(AJ5=1,AJ74&gt;=AJ73),AJ4,9999)</f>
        <v/>
      </c>
    </row>
  </sheetData>
  <pageMargins left="0.75" right="0.75" top="1" bottom="1" header="0.5" footer="0.5"/>
  <drawing xmlns:r="http://schemas.openxmlformats.org/officeDocument/2006/relationships" r:id="rId1"/>
</worksheet>
</file>

<file path=xl/worksheets/sheet16.xml><?xml version="1.0" encoding="utf-8"?>
<worksheet xmlns="http://schemas.openxmlformats.org/spreadsheetml/2006/main">
  <sheetPr>
    <outlinePr summaryBelow="1" summaryRight="1"/>
    <pageSetUpPr/>
  </sheetPr>
  <dimension ref="B2:H136"/>
  <sheetViews>
    <sheetView showGridLines="0" workbookViewId="0">
      <selection activeCell="A1" sqref="A1"/>
    </sheetView>
  </sheetViews>
  <sheetFormatPr baseColWidth="8" defaultRowHeight="15"/>
  <cols>
    <col width="2" customWidth="1" min="1" max="1"/>
    <col width="62" customWidth="1" min="2" max="2"/>
    <col width="14" customWidth="1" min="3" max="3"/>
    <col width="14" customWidth="1" min="4" max="4"/>
    <col width="14" customWidth="1" min="5" max="5"/>
    <col width="14" customWidth="1" min="6" max="6"/>
    <col width="14" customWidth="1" min="7" max="7"/>
    <col width="14" customWidth="1" min="8" max="8"/>
  </cols>
  <sheetData>
    <row r="2">
      <c r="B2" s="1" t="inlineStr">
        <is>
          <t>Sorrel Bay: financing, returns, the capacity charge solve and the bid sensitivities</t>
        </is>
      </c>
    </row>
    <row r="3">
      <c r="B3" s="5" t="inlineStr">
        <is>
          <t>Basis: pre-tax. The capacity charge is solved by a visible 40-row bisection on the equity return.</t>
        </is>
      </c>
    </row>
    <row r="5">
      <c r="B5" s="6" t="inlineStr">
        <is>
          <t>Capacity charge</t>
        </is>
      </c>
      <c r="E5" s="3" t="inlineStr">
        <is>
          <t>Solve inputs (PV sums)</t>
        </is>
      </c>
    </row>
    <row r="6">
      <c r="B6" s="3" t="inlineStr">
        <is>
          <t>Capacity charge used ($ per m3 of available capacity, flat nominal)</t>
        </is>
      </c>
      <c r="C6" s="40">
        <f>IF(sb_cc_mode=1,C12,sb_cc_typed)</f>
        <v/>
      </c>
      <c r="E6" s="5" t="inlineStr">
        <is>
          <t>Debt capacity per $1 of charge</t>
        </is>
      </c>
      <c r="H6" s="38">
        <f>SUMPRODUCT('SB_Ops'!$D$51:AJ$51,'SB_Ops'!$D$38:AJ$38)/sb_dscr</f>
        <v/>
      </c>
    </row>
    <row r="7">
      <c r="E7" s="5" t="inlineStr">
        <is>
          <t>Debt capacity from the other payments</t>
        </is>
      </c>
      <c r="H7" s="38">
        <f>SUMPRODUCT('SB_Ops'!$D$52:AJ$52,'SB_Ops'!$D$38:AJ$38)/sb_dscr</f>
        <v/>
      </c>
    </row>
    <row r="8">
      <c r="E8" s="5" t="inlineStr">
        <is>
          <t>PV at the target of CFADS per $1 of charge</t>
        </is>
      </c>
      <c r="H8" s="38">
        <f>SUMPRODUCT('SB_Ops'!$D$51:AJ$51,'SB_Ops'!$D$53:AJ$53)</f>
        <v/>
      </c>
    </row>
    <row r="9">
      <c r="E9" s="5" t="inlineStr">
        <is>
          <t>PV at the target of the other CFADS</t>
        </is>
      </c>
      <c r="H9" s="38">
        <f>SUMPRODUCT('SB_Ops'!$D$52:AJ$52,'SB_Ops'!$D$53:AJ$53)</f>
        <v/>
      </c>
    </row>
    <row r="10">
      <c r="E10" s="5" t="inlineStr">
        <is>
          <t>PV at the target of CFADS per $1 of charge, debt service years</t>
        </is>
      </c>
      <c r="H10" s="38">
        <f>SUMPRODUCT('SB_Ops'!$D$51:AJ$51,'SB_Ops'!$D$53:AJ$53,'SB_Ops'!$D$54:AJ$54)</f>
        <v/>
      </c>
    </row>
    <row r="11">
      <c r="B11" s="3" t="inlineStr">
        <is>
          <t>Capacity charge solved for the equity target (bisection below, rows 50 to 91)</t>
        </is>
      </c>
      <c r="E11" s="5" t="inlineStr">
        <is>
          <t>PV at the target of the other CFADS, debt service years</t>
        </is>
      </c>
      <c r="H11" s="38">
        <f>SUMPRODUCT('SB_Ops'!$D$52:AJ$52,'SB_Ops'!$D$53:AJ$53,'SB_Ops'!$D$54:AJ$54)</f>
        <v/>
      </c>
    </row>
    <row r="12">
      <c r="B12" s="5" t="inlineStr">
        <is>
          <t>Converged value (last row of the bisection)</t>
        </is>
      </c>
      <c r="C12" s="40">
        <f>E91</f>
        <v/>
      </c>
      <c r="E12" s="5" t="inlineStr">
        <is>
          <t>PV at the target of the capital cost</t>
        </is>
      </c>
      <c r="H12" s="38">
        <f>-SUMPRODUCT('SB_Ops'!$D$37:AJ$37,'SB_Ops'!$D$53:AJ$53)</f>
        <v/>
      </c>
    </row>
    <row r="13">
      <c r="E13" s="5" t="inlineStr">
        <is>
          <t>Capital cost</t>
        </is>
      </c>
      <c r="H13" s="38">
        <f>'SB_Ops'!$D$14</f>
        <v/>
      </c>
    </row>
    <row r="14">
      <c r="B14" s="6" t="inlineStr">
        <is>
          <t>Debt</t>
        </is>
      </c>
    </row>
    <row r="15">
      <c r="B15" s="2" t="inlineStr">
        <is>
          <t>Debt capacity at the sizing cover</t>
        </is>
      </c>
      <c r="C15" s="23">
        <f>'SB_Ops'!$D$39</f>
        <v/>
      </c>
    </row>
    <row r="16">
      <c r="B16" s="2" t="inlineStr">
        <is>
          <t>Gearing cap x capital cost</t>
        </is>
      </c>
      <c r="C16" s="23">
        <f>sb_gear*'SB_Ops'!$D$14</f>
        <v/>
      </c>
    </row>
    <row r="17">
      <c r="B17" s="3" t="inlineStr">
        <is>
          <t>Senior debt</t>
        </is>
      </c>
      <c r="C17" s="24">
        <f>'SB_Ops'!$D$40</f>
        <v/>
      </c>
    </row>
    <row r="18">
      <c r="B18" s="2" t="inlineStr">
        <is>
          <t>Gearing</t>
        </is>
      </c>
      <c r="C18" s="20">
        <f>'SB_Ops'!$D$41</f>
        <v/>
      </c>
    </row>
    <row r="19">
      <c r="B19" s="2" t="inlineStr">
        <is>
          <t>Binding constraint</t>
        </is>
      </c>
      <c r="C19" s="2">
        <f>IF(C17&lt;C15-0.000001,"gearing cap","cover sizing")</f>
        <v/>
      </c>
    </row>
    <row r="20">
      <c r="B20" s="2" t="inlineStr">
        <is>
          <t>Debt service in 2030</t>
        </is>
      </c>
      <c r="C20" s="23">
        <f>'SB_Ops'!$G$42</f>
        <v/>
      </c>
    </row>
    <row r="21">
      <c r="B21" s="2" t="inlineStr">
        <is>
          <t>Minimum debt service cover</t>
        </is>
      </c>
      <c r="C21" s="30">
        <f>MIN('SB_Ops'!$D$43:AJ$43)</f>
        <v/>
      </c>
    </row>
    <row r="22">
      <c r="B22" s="2" t="inlineStr">
        <is>
          <t>Equity invested</t>
        </is>
      </c>
      <c r="C22" s="23">
        <f>'SB_Ops'!$D$48</f>
        <v/>
      </c>
    </row>
    <row r="23">
      <c r="B23" s="2" t="inlineStr">
        <is>
          <t>Brannock's equity</t>
        </is>
      </c>
      <c r="C23" s="23">
        <f>C22*sb_owner</f>
        <v/>
      </c>
    </row>
    <row r="24">
      <c r="B24" s="2" t="inlineStr">
        <is>
          <t>Kestle's equity</t>
        </is>
      </c>
      <c r="C24" s="23">
        <f>C22*(1-sb_owner)</f>
        <v/>
      </c>
    </row>
    <row r="25">
      <c r="B25" s="2" t="inlineStr">
        <is>
          <t>Project IRR (unlevered, pre-tax)</t>
        </is>
      </c>
      <c r="C25" s="27">
        <f>'SB_Ops'!$D$46</f>
        <v/>
      </c>
    </row>
    <row r="26">
      <c r="B26" s="3" t="inlineStr">
        <is>
          <t>Equity IRR (pre-tax)</t>
        </is>
      </c>
      <c r="C26" s="29">
        <f>'SB_Ops'!$D$47</f>
        <v/>
      </c>
    </row>
    <row r="28">
      <c r="B28" s="6" t="inlineStr">
        <is>
          <t>Bid: debt one point dearer, capacity charge re-solved (second bisection below, rows 95 to 136)</t>
        </is>
      </c>
    </row>
    <row r="29">
      <c r="B29" s="5" t="inlineStr">
        <is>
          <t>Debt capacity per $1 of charge at the higher rate</t>
        </is>
      </c>
      <c r="C29" s="38">
        <f>SUMPRODUCT('SB_Ops'!$D$51:AJ$51,Scenarios!$D$1873:$AJ$1873)/sb_dscr</f>
        <v/>
      </c>
    </row>
    <row r="30">
      <c r="B30" s="5" t="inlineStr">
        <is>
          <t>Debt capacity from the other payments at the higher rate</t>
        </is>
      </c>
      <c r="C30" s="38">
        <f>SUMPRODUCT('SB_Ops'!$D$52:AJ$52,Scenarios!$D$1873:$AJ$1873)/sb_dscr</f>
        <v/>
      </c>
    </row>
    <row r="31">
      <c r="B31" s="3" t="inlineStr">
        <is>
          <t>Capacity charge needed with debt one point dearer</t>
        </is>
      </c>
      <c r="C31" s="40">
        <f>'SB_Finance'!$E$136</f>
        <v/>
      </c>
      <c r="D31" s="5" t="inlineStr">
        <is>
          <t>$ per m3</t>
        </is>
      </c>
    </row>
    <row r="32">
      <c r="B32" s="2" t="inlineStr">
        <is>
          <t>Debt rate in that case</t>
        </is>
      </c>
      <c r="C32" s="20">
        <f>sb_kd+sb_kd_step</f>
        <v/>
      </c>
    </row>
    <row r="33">
      <c r="B33" s="2" t="inlineStr">
        <is>
          <t>Capacity charge bid lower by the cut</t>
        </is>
      </c>
      <c r="C33" s="38">
        <f>C6*(1-sb_bid_cut)</f>
        <v/>
      </c>
      <c r="D33" s="5" t="inlineStr">
        <is>
          <t>$ per m3</t>
        </is>
      </c>
    </row>
    <row r="34">
      <c r="B34" s="2" t="inlineStr">
        <is>
          <t>Equity IRR at the lower charge (scenario C8)</t>
        </is>
      </c>
      <c r="C34" s="27">
        <f>Scenarios!$D$1868</f>
        <v/>
      </c>
    </row>
    <row r="36">
      <c r="B36" s="6" t="inlineStr">
        <is>
          <t>Sell-down at commercial operation (end of 2029)</t>
        </is>
      </c>
    </row>
    <row r="37">
      <c r="B37" s="2" t="inlineStr">
        <is>
          <t>100 percent of the equity at the buyer's rate</t>
        </is>
      </c>
      <c r="C37" s="23">
        <f>NPV(sb_sell_rate,'SB_Ops'!$G$45:$AJ$45)</f>
        <v/>
      </c>
    </row>
    <row r="38">
      <c r="B38" s="2" t="inlineStr">
        <is>
          <t>Price of the stake sold</t>
        </is>
      </c>
      <c r="C38" s="23">
        <f>C37*sb_sell_share</f>
        <v/>
      </c>
    </row>
    <row r="39">
      <c r="B39" s="2" t="inlineStr">
        <is>
          <t>Equity invested in that stake</t>
        </is>
      </c>
      <c r="C39" s="23">
        <f>C22*sb_sell_share</f>
        <v/>
      </c>
    </row>
    <row r="40">
      <c r="B40" s="2" t="inlineStr">
        <is>
          <t>Gain</t>
        </is>
      </c>
      <c r="C40" s="23">
        <f>C38-C39</f>
        <v/>
      </c>
    </row>
    <row r="41">
      <c r="B41" s="2" t="inlineStr">
        <is>
          <t>Money multiple</t>
        </is>
      </c>
      <c r="C41" s="30">
        <f>C38/C39</f>
        <v/>
      </c>
    </row>
    <row r="43">
      <c r="B43" s="2" t="inlineStr">
        <is>
          <t>Brannock's flows on the stake sold (2027, 2028, 2029)</t>
        </is>
      </c>
      <c r="C43" s="23">
        <f>0</f>
        <v/>
      </c>
      <c r="D43" s="23">
        <f>'SB_Ops'!$E$45*sb_sell_share</f>
        <v/>
      </c>
      <c r="E43" s="23">
        <f>'SB_Ops'!$F$45*sb_sell_share+C38</f>
        <v/>
      </c>
    </row>
    <row r="44">
      <c r="B44" s="2" t="inlineStr">
        <is>
          <t>IRR on the stake sold</t>
        </is>
      </c>
      <c r="C44" s="27">
        <f>IRR(C43:E43,0.1)</f>
        <v/>
      </c>
    </row>
    <row r="46">
      <c r="B46" s="6" t="inlineStr">
        <is>
          <t>Delay (scenario C2)</t>
        </is>
      </c>
    </row>
    <row r="47">
      <c r="B47" s="2" t="inlineStr">
        <is>
          <t>Capacity payments lost to a six-month delay</t>
        </is>
      </c>
      <c r="C47" s="23">
        <f>Scenarios!$G$1559</f>
        <v/>
      </c>
    </row>
    <row r="48">
      <c r="B48" s="2" t="inlineStr">
        <is>
          <t>Absorbed by the project (not covered by delay damages)</t>
        </is>
      </c>
      <c r="C48" s="23">
        <f>Scenarios!$G$1560</f>
        <v/>
      </c>
    </row>
    <row r="50">
      <c r="B50" s="6" t="inlineStr">
        <is>
          <t>Bisection: capacity charge that gives the equity target (40 rows; low and high start at the bounds on Inputs)</t>
        </is>
      </c>
    </row>
    <row r="51">
      <c r="B51" s="3" t="inlineStr">
        <is>
          <t>Step</t>
        </is>
      </c>
      <c r="C51" s="3" t="inlineStr">
        <is>
          <t>Low</t>
        </is>
      </c>
      <c r="D51" s="3" t="inlineStr">
        <is>
          <t>High</t>
        </is>
      </c>
      <c r="E51" s="3" t="inlineStr">
        <is>
          <t>Mid</t>
        </is>
      </c>
      <c r="F51" s="3" t="inlineStr">
        <is>
          <t>Equity NPV at target</t>
        </is>
      </c>
    </row>
    <row r="52">
      <c r="B52" s="26" t="n">
        <v>1</v>
      </c>
      <c r="C52" s="38">
        <f>sb_bis_lo</f>
        <v/>
      </c>
      <c r="D52" s="38">
        <f>sb_bis_hi</f>
        <v/>
      </c>
      <c r="E52" s="41">
        <f>(C52+D52)/2</f>
        <v/>
      </c>
      <c r="F52" s="42">
        <f>-(1-MIN(E52*$H$6+$H$7,sb_gear*$H$13)/$H$13)*$H$12+E52*$H$8+$H$9-MIN(E52*$H$6+$H$7,sb_gear*$H$13)/(E52*$H$6+$H$7)/sb_dscr*(E52*$H$10+$H$11)</f>
        <v/>
      </c>
    </row>
    <row r="53">
      <c r="B53" s="26" t="n">
        <v>2</v>
      </c>
      <c r="C53" s="41">
        <f>IF(F52&lt;0,E52,C52)</f>
        <v/>
      </c>
      <c r="D53" s="41">
        <f>IF(F52&lt;0,D52,E52)</f>
        <v/>
      </c>
      <c r="E53" s="41">
        <f>(C53+D53)/2</f>
        <v/>
      </c>
      <c r="F53" s="42">
        <f>-(1-MIN(E53*$H$6+$H$7,sb_gear*$H$13)/$H$13)*$H$12+E53*$H$8+$H$9-MIN(E53*$H$6+$H$7,sb_gear*$H$13)/(E53*$H$6+$H$7)/sb_dscr*(E53*$H$10+$H$11)</f>
        <v/>
      </c>
    </row>
    <row r="54">
      <c r="B54" s="26" t="n">
        <v>3</v>
      </c>
      <c r="C54" s="41">
        <f>IF(F53&lt;0,E53,C53)</f>
        <v/>
      </c>
      <c r="D54" s="41">
        <f>IF(F53&lt;0,D53,E53)</f>
        <v/>
      </c>
      <c r="E54" s="41">
        <f>(C54+D54)/2</f>
        <v/>
      </c>
      <c r="F54" s="42">
        <f>-(1-MIN(E54*$H$6+$H$7,sb_gear*$H$13)/$H$13)*$H$12+E54*$H$8+$H$9-MIN(E54*$H$6+$H$7,sb_gear*$H$13)/(E54*$H$6+$H$7)/sb_dscr*(E54*$H$10+$H$11)</f>
        <v/>
      </c>
    </row>
    <row r="55">
      <c r="B55" s="26" t="n">
        <v>4</v>
      </c>
      <c r="C55" s="41">
        <f>IF(F54&lt;0,E54,C54)</f>
        <v/>
      </c>
      <c r="D55" s="41">
        <f>IF(F54&lt;0,D54,E54)</f>
        <v/>
      </c>
      <c r="E55" s="41">
        <f>(C55+D55)/2</f>
        <v/>
      </c>
      <c r="F55" s="42">
        <f>-(1-MIN(E55*$H$6+$H$7,sb_gear*$H$13)/$H$13)*$H$12+E55*$H$8+$H$9-MIN(E55*$H$6+$H$7,sb_gear*$H$13)/(E55*$H$6+$H$7)/sb_dscr*(E55*$H$10+$H$11)</f>
        <v/>
      </c>
    </row>
    <row r="56">
      <c r="B56" s="26" t="n">
        <v>5</v>
      </c>
      <c r="C56" s="41">
        <f>IF(F55&lt;0,E55,C55)</f>
        <v/>
      </c>
      <c r="D56" s="41">
        <f>IF(F55&lt;0,D55,E55)</f>
        <v/>
      </c>
      <c r="E56" s="41">
        <f>(C56+D56)/2</f>
        <v/>
      </c>
      <c r="F56" s="42">
        <f>-(1-MIN(E56*$H$6+$H$7,sb_gear*$H$13)/$H$13)*$H$12+E56*$H$8+$H$9-MIN(E56*$H$6+$H$7,sb_gear*$H$13)/(E56*$H$6+$H$7)/sb_dscr*(E56*$H$10+$H$11)</f>
        <v/>
      </c>
    </row>
    <row r="57">
      <c r="B57" s="26" t="n">
        <v>6</v>
      </c>
      <c r="C57" s="41">
        <f>IF(F56&lt;0,E56,C56)</f>
        <v/>
      </c>
      <c r="D57" s="41">
        <f>IF(F56&lt;0,D56,E56)</f>
        <v/>
      </c>
      <c r="E57" s="41">
        <f>(C57+D57)/2</f>
        <v/>
      </c>
      <c r="F57" s="42">
        <f>-(1-MIN(E57*$H$6+$H$7,sb_gear*$H$13)/$H$13)*$H$12+E57*$H$8+$H$9-MIN(E57*$H$6+$H$7,sb_gear*$H$13)/(E57*$H$6+$H$7)/sb_dscr*(E57*$H$10+$H$11)</f>
        <v/>
      </c>
    </row>
    <row r="58">
      <c r="B58" s="26" t="n">
        <v>7</v>
      </c>
      <c r="C58" s="41">
        <f>IF(F57&lt;0,E57,C57)</f>
        <v/>
      </c>
      <c r="D58" s="41">
        <f>IF(F57&lt;0,D57,E57)</f>
        <v/>
      </c>
      <c r="E58" s="41">
        <f>(C58+D58)/2</f>
        <v/>
      </c>
      <c r="F58" s="42">
        <f>-(1-MIN(E58*$H$6+$H$7,sb_gear*$H$13)/$H$13)*$H$12+E58*$H$8+$H$9-MIN(E58*$H$6+$H$7,sb_gear*$H$13)/(E58*$H$6+$H$7)/sb_dscr*(E58*$H$10+$H$11)</f>
        <v/>
      </c>
    </row>
    <row r="59">
      <c r="B59" s="26" t="n">
        <v>8</v>
      </c>
      <c r="C59" s="41">
        <f>IF(F58&lt;0,E58,C58)</f>
        <v/>
      </c>
      <c r="D59" s="41">
        <f>IF(F58&lt;0,D58,E58)</f>
        <v/>
      </c>
      <c r="E59" s="41">
        <f>(C59+D59)/2</f>
        <v/>
      </c>
      <c r="F59" s="42">
        <f>-(1-MIN(E59*$H$6+$H$7,sb_gear*$H$13)/$H$13)*$H$12+E59*$H$8+$H$9-MIN(E59*$H$6+$H$7,sb_gear*$H$13)/(E59*$H$6+$H$7)/sb_dscr*(E59*$H$10+$H$11)</f>
        <v/>
      </c>
    </row>
    <row r="60">
      <c r="B60" s="26" t="n">
        <v>9</v>
      </c>
      <c r="C60" s="41">
        <f>IF(F59&lt;0,E59,C59)</f>
        <v/>
      </c>
      <c r="D60" s="41">
        <f>IF(F59&lt;0,D59,E59)</f>
        <v/>
      </c>
      <c r="E60" s="41">
        <f>(C60+D60)/2</f>
        <v/>
      </c>
      <c r="F60" s="42">
        <f>-(1-MIN(E60*$H$6+$H$7,sb_gear*$H$13)/$H$13)*$H$12+E60*$H$8+$H$9-MIN(E60*$H$6+$H$7,sb_gear*$H$13)/(E60*$H$6+$H$7)/sb_dscr*(E60*$H$10+$H$11)</f>
        <v/>
      </c>
    </row>
    <row r="61">
      <c r="B61" s="26" t="n">
        <v>10</v>
      </c>
      <c r="C61" s="41">
        <f>IF(F60&lt;0,E60,C60)</f>
        <v/>
      </c>
      <c r="D61" s="41">
        <f>IF(F60&lt;0,D60,E60)</f>
        <v/>
      </c>
      <c r="E61" s="41">
        <f>(C61+D61)/2</f>
        <v/>
      </c>
      <c r="F61" s="42">
        <f>-(1-MIN(E61*$H$6+$H$7,sb_gear*$H$13)/$H$13)*$H$12+E61*$H$8+$H$9-MIN(E61*$H$6+$H$7,sb_gear*$H$13)/(E61*$H$6+$H$7)/sb_dscr*(E61*$H$10+$H$11)</f>
        <v/>
      </c>
    </row>
    <row r="62">
      <c r="B62" s="26" t="n">
        <v>11</v>
      </c>
      <c r="C62" s="41">
        <f>IF(F61&lt;0,E61,C61)</f>
        <v/>
      </c>
      <c r="D62" s="41">
        <f>IF(F61&lt;0,D61,E61)</f>
        <v/>
      </c>
      <c r="E62" s="41">
        <f>(C62+D62)/2</f>
        <v/>
      </c>
      <c r="F62" s="42">
        <f>-(1-MIN(E62*$H$6+$H$7,sb_gear*$H$13)/$H$13)*$H$12+E62*$H$8+$H$9-MIN(E62*$H$6+$H$7,sb_gear*$H$13)/(E62*$H$6+$H$7)/sb_dscr*(E62*$H$10+$H$11)</f>
        <v/>
      </c>
    </row>
    <row r="63">
      <c r="B63" s="26" t="n">
        <v>12</v>
      </c>
      <c r="C63" s="41">
        <f>IF(F62&lt;0,E62,C62)</f>
        <v/>
      </c>
      <c r="D63" s="41">
        <f>IF(F62&lt;0,D62,E62)</f>
        <v/>
      </c>
      <c r="E63" s="41">
        <f>(C63+D63)/2</f>
        <v/>
      </c>
      <c r="F63" s="42">
        <f>-(1-MIN(E63*$H$6+$H$7,sb_gear*$H$13)/$H$13)*$H$12+E63*$H$8+$H$9-MIN(E63*$H$6+$H$7,sb_gear*$H$13)/(E63*$H$6+$H$7)/sb_dscr*(E63*$H$10+$H$11)</f>
        <v/>
      </c>
    </row>
    <row r="64">
      <c r="B64" s="26" t="n">
        <v>13</v>
      </c>
      <c r="C64" s="41">
        <f>IF(F63&lt;0,E63,C63)</f>
        <v/>
      </c>
      <c r="D64" s="41">
        <f>IF(F63&lt;0,D63,E63)</f>
        <v/>
      </c>
      <c r="E64" s="41">
        <f>(C64+D64)/2</f>
        <v/>
      </c>
      <c r="F64" s="42">
        <f>-(1-MIN(E64*$H$6+$H$7,sb_gear*$H$13)/$H$13)*$H$12+E64*$H$8+$H$9-MIN(E64*$H$6+$H$7,sb_gear*$H$13)/(E64*$H$6+$H$7)/sb_dscr*(E64*$H$10+$H$11)</f>
        <v/>
      </c>
    </row>
    <row r="65">
      <c r="B65" s="26" t="n">
        <v>14</v>
      </c>
      <c r="C65" s="41">
        <f>IF(F64&lt;0,E64,C64)</f>
        <v/>
      </c>
      <c r="D65" s="41">
        <f>IF(F64&lt;0,D64,E64)</f>
        <v/>
      </c>
      <c r="E65" s="41">
        <f>(C65+D65)/2</f>
        <v/>
      </c>
      <c r="F65" s="42">
        <f>-(1-MIN(E65*$H$6+$H$7,sb_gear*$H$13)/$H$13)*$H$12+E65*$H$8+$H$9-MIN(E65*$H$6+$H$7,sb_gear*$H$13)/(E65*$H$6+$H$7)/sb_dscr*(E65*$H$10+$H$11)</f>
        <v/>
      </c>
    </row>
    <row r="66">
      <c r="B66" s="26" t="n">
        <v>15</v>
      </c>
      <c r="C66" s="41">
        <f>IF(F65&lt;0,E65,C65)</f>
        <v/>
      </c>
      <c r="D66" s="41">
        <f>IF(F65&lt;0,D65,E65)</f>
        <v/>
      </c>
      <c r="E66" s="41">
        <f>(C66+D66)/2</f>
        <v/>
      </c>
      <c r="F66" s="42">
        <f>-(1-MIN(E66*$H$6+$H$7,sb_gear*$H$13)/$H$13)*$H$12+E66*$H$8+$H$9-MIN(E66*$H$6+$H$7,sb_gear*$H$13)/(E66*$H$6+$H$7)/sb_dscr*(E66*$H$10+$H$11)</f>
        <v/>
      </c>
    </row>
    <row r="67">
      <c r="B67" s="26" t="n">
        <v>16</v>
      </c>
      <c r="C67" s="41">
        <f>IF(F66&lt;0,E66,C66)</f>
        <v/>
      </c>
      <c r="D67" s="41">
        <f>IF(F66&lt;0,D66,E66)</f>
        <v/>
      </c>
      <c r="E67" s="41">
        <f>(C67+D67)/2</f>
        <v/>
      </c>
      <c r="F67" s="42">
        <f>-(1-MIN(E67*$H$6+$H$7,sb_gear*$H$13)/$H$13)*$H$12+E67*$H$8+$H$9-MIN(E67*$H$6+$H$7,sb_gear*$H$13)/(E67*$H$6+$H$7)/sb_dscr*(E67*$H$10+$H$11)</f>
        <v/>
      </c>
    </row>
    <row r="68">
      <c r="B68" s="26" t="n">
        <v>17</v>
      </c>
      <c r="C68" s="41">
        <f>IF(F67&lt;0,E67,C67)</f>
        <v/>
      </c>
      <c r="D68" s="41">
        <f>IF(F67&lt;0,D67,E67)</f>
        <v/>
      </c>
      <c r="E68" s="41">
        <f>(C68+D68)/2</f>
        <v/>
      </c>
      <c r="F68" s="42">
        <f>-(1-MIN(E68*$H$6+$H$7,sb_gear*$H$13)/$H$13)*$H$12+E68*$H$8+$H$9-MIN(E68*$H$6+$H$7,sb_gear*$H$13)/(E68*$H$6+$H$7)/sb_dscr*(E68*$H$10+$H$11)</f>
        <v/>
      </c>
    </row>
    <row r="69">
      <c r="B69" s="26" t="n">
        <v>18</v>
      </c>
      <c r="C69" s="41">
        <f>IF(F68&lt;0,E68,C68)</f>
        <v/>
      </c>
      <c r="D69" s="41">
        <f>IF(F68&lt;0,D68,E68)</f>
        <v/>
      </c>
      <c r="E69" s="41">
        <f>(C69+D69)/2</f>
        <v/>
      </c>
      <c r="F69" s="42">
        <f>-(1-MIN(E69*$H$6+$H$7,sb_gear*$H$13)/$H$13)*$H$12+E69*$H$8+$H$9-MIN(E69*$H$6+$H$7,sb_gear*$H$13)/(E69*$H$6+$H$7)/sb_dscr*(E69*$H$10+$H$11)</f>
        <v/>
      </c>
    </row>
    <row r="70">
      <c r="B70" s="26" t="n">
        <v>19</v>
      </c>
      <c r="C70" s="41">
        <f>IF(F69&lt;0,E69,C69)</f>
        <v/>
      </c>
      <c r="D70" s="41">
        <f>IF(F69&lt;0,D69,E69)</f>
        <v/>
      </c>
      <c r="E70" s="41">
        <f>(C70+D70)/2</f>
        <v/>
      </c>
      <c r="F70" s="42">
        <f>-(1-MIN(E70*$H$6+$H$7,sb_gear*$H$13)/$H$13)*$H$12+E70*$H$8+$H$9-MIN(E70*$H$6+$H$7,sb_gear*$H$13)/(E70*$H$6+$H$7)/sb_dscr*(E70*$H$10+$H$11)</f>
        <v/>
      </c>
    </row>
    <row r="71">
      <c r="B71" s="26" t="n">
        <v>20</v>
      </c>
      <c r="C71" s="41">
        <f>IF(F70&lt;0,E70,C70)</f>
        <v/>
      </c>
      <c r="D71" s="41">
        <f>IF(F70&lt;0,D70,E70)</f>
        <v/>
      </c>
      <c r="E71" s="41">
        <f>(C71+D71)/2</f>
        <v/>
      </c>
      <c r="F71" s="42">
        <f>-(1-MIN(E71*$H$6+$H$7,sb_gear*$H$13)/$H$13)*$H$12+E71*$H$8+$H$9-MIN(E71*$H$6+$H$7,sb_gear*$H$13)/(E71*$H$6+$H$7)/sb_dscr*(E71*$H$10+$H$11)</f>
        <v/>
      </c>
    </row>
    <row r="72">
      <c r="B72" s="26" t="n">
        <v>21</v>
      </c>
      <c r="C72" s="41">
        <f>IF(F71&lt;0,E71,C71)</f>
        <v/>
      </c>
      <c r="D72" s="41">
        <f>IF(F71&lt;0,D71,E71)</f>
        <v/>
      </c>
      <c r="E72" s="41">
        <f>(C72+D72)/2</f>
        <v/>
      </c>
      <c r="F72" s="42">
        <f>-(1-MIN(E72*$H$6+$H$7,sb_gear*$H$13)/$H$13)*$H$12+E72*$H$8+$H$9-MIN(E72*$H$6+$H$7,sb_gear*$H$13)/(E72*$H$6+$H$7)/sb_dscr*(E72*$H$10+$H$11)</f>
        <v/>
      </c>
    </row>
    <row r="73">
      <c r="B73" s="26" t="n">
        <v>22</v>
      </c>
      <c r="C73" s="41">
        <f>IF(F72&lt;0,E72,C72)</f>
        <v/>
      </c>
      <c r="D73" s="41">
        <f>IF(F72&lt;0,D72,E72)</f>
        <v/>
      </c>
      <c r="E73" s="41">
        <f>(C73+D73)/2</f>
        <v/>
      </c>
      <c r="F73" s="42">
        <f>-(1-MIN(E73*$H$6+$H$7,sb_gear*$H$13)/$H$13)*$H$12+E73*$H$8+$H$9-MIN(E73*$H$6+$H$7,sb_gear*$H$13)/(E73*$H$6+$H$7)/sb_dscr*(E73*$H$10+$H$11)</f>
        <v/>
      </c>
    </row>
    <row r="74">
      <c r="B74" s="26" t="n">
        <v>23</v>
      </c>
      <c r="C74" s="41">
        <f>IF(F73&lt;0,E73,C73)</f>
        <v/>
      </c>
      <c r="D74" s="41">
        <f>IF(F73&lt;0,D73,E73)</f>
        <v/>
      </c>
      <c r="E74" s="41">
        <f>(C74+D74)/2</f>
        <v/>
      </c>
      <c r="F74" s="42">
        <f>-(1-MIN(E74*$H$6+$H$7,sb_gear*$H$13)/$H$13)*$H$12+E74*$H$8+$H$9-MIN(E74*$H$6+$H$7,sb_gear*$H$13)/(E74*$H$6+$H$7)/sb_dscr*(E74*$H$10+$H$11)</f>
        <v/>
      </c>
    </row>
    <row r="75">
      <c r="B75" s="26" t="n">
        <v>24</v>
      </c>
      <c r="C75" s="41">
        <f>IF(F74&lt;0,E74,C74)</f>
        <v/>
      </c>
      <c r="D75" s="41">
        <f>IF(F74&lt;0,D74,E74)</f>
        <v/>
      </c>
      <c r="E75" s="41">
        <f>(C75+D75)/2</f>
        <v/>
      </c>
      <c r="F75" s="42">
        <f>-(1-MIN(E75*$H$6+$H$7,sb_gear*$H$13)/$H$13)*$H$12+E75*$H$8+$H$9-MIN(E75*$H$6+$H$7,sb_gear*$H$13)/(E75*$H$6+$H$7)/sb_dscr*(E75*$H$10+$H$11)</f>
        <v/>
      </c>
    </row>
    <row r="76">
      <c r="B76" s="26" t="n">
        <v>25</v>
      </c>
      <c r="C76" s="41">
        <f>IF(F75&lt;0,E75,C75)</f>
        <v/>
      </c>
      <c r="D76" s="41">
        <f>IF(F75&lt;0,D75,E75)</f>
        <v/>
      </c>
      <c r="E76" s="41">
        <f>(C76+D76)/2</f>
        <v/>
      </c>
      <c r="F76" s="42">
        <f>-(1-MIN(E76*$H$6+$H$7,sb_gear*$H$13)/$H$13)*$H$12+E76*$H$8+$H$9-MIN(E76*$H$6+$H$7,sb_gear*$H$13)/(E76*$H$6+$H$7)/sb_dscr*(E76*$H$10+$H$11)</f>
        <v/>
      </c>
    </row>
    <row r="77">
      <c r="B77" s="26" t="n">
        <v>26</v>
      </c>
      <c r="C77" s="41">
        <f>IF(F76&lt;0,E76,C76)</f>
        <v/>
      </c>
      <c r="D77" s="41">
        <f>IF(F76&lt;0,D76,E76)</f>
        <v/>
      </c>
      <c r="E77" s="41">
        <f>(C77+D77)/2</f>
        <v/>
      </c>
      <c r="F77" s="42">
        <f>-(1-MIN(E77*$H$6+$H$7,sb_gear*$H$13)/$H$13)*$H$12+E77*$H$8+$H$9-MIN(E77*$H$6+$H$7,sb_gear*$H$13)/(E77*$H$6+$H$7)/sb_dscr*(E77*$H$10+$H$11)</f>
        <v/>
      </c>
    </row>
    <row r="78">
      <c r="B78" s="26" t="n">
        <v>27</v>
      </c>
      <c r="C78" s="41">
        <f>IF(F77&lt;0,E77,C77)</f>
        <v/>
      </c>
      <c r="D78" s="41">
        <f>IF(F77&lt;0,D77,E77)</f>
        <v/>
      </c>
      <c r="E78" s="41">
        <f>(C78+D78)/2</f>
        <v/>
      </c>
      <c r="F78" s="42">
        <f>-(1-MIN(E78*$H$6+$H$7,sb_gear*$H$13)/$H$13)*$H$12+E78*$H$8+$H$9-MIN(E78*$H$6+$H$7,sb_gear*$H$13)/(E78*$H$6+$H$7)/sb_dscr*(E78*$H$10+$H$11)</f>
        <v/>
      </c>
    </row>
    <row r="79">
      <c r="B79" s="26" t="n">
        <v>28</v>
      </c>
      <c r="C79" s="41">
        <f>IF(F78&lt;0,E78,C78)</f>
        <v/>
      </c>
      <c r="D79" s="41">
        <f>IF(F78&lt;0,D78,E78)</f>
        <v/>
      </c>
      <c r="E79" s="41">
        <f>(C79+D79)/2</f>
        <v/>
      </c>
      <c r="F79" s="42">
        <f>-(1-MIN(E79*$H$6+$H$7,sb_gear*$H$13)/$H$13)*$H$12+E79*$H$8+$H$9-MIN(E79*$H$6+$H$7,sb_gear*$H$13)/(E79*$H$6+$H$7)/sb_dscr*(E79*$H$10+$H$11)</f>
        <v/>
      </c>
    </row>
    <row r="80">
      <c r="B80" s="26" t="n">
        <v>29</v>
      </c>
      <c r="C80" s="41">
        <f>IF(F79&lt;0,E79,C79)</f>
        <v/>
      </c>
      <c r="D80" s="41">
        <f>IF(F79&lt;0,D79,E79)</f>
        <v/>
      </c>
      <c r="E80" s="41">
        <f>(C80+D80)/2</f>
        <v/>
      </c>
      <c r="F80" s="42">
        <f>-(1-MIN(E80*$H$6+$H$7,sb_gear*$H$13)/$H$13)*$H$12+E80*$H$8+$H$9-MIN(E80*$H$6+$H$7,sb_gear*$H$13)/(E80*$H$6+$H$7)/sb_dscr*(E80*$H$10+$H$11)</f>
        <v/>
      </c>
    </row>
    <row r="81">
      <c r="B81" s="26" t="n">
        <v>30</v>
      </c>
      <c r="C81" s="41">
        <f>IF(F80&lt;0,E80,C80)</f>
        <v/>
      </c>
      <c r="D81" s="41">
        <f>IF(F80&lt;0,D80,E80)</f>
        <v/>
      </c>
      <c r="E81" s="41">
        <f>(C81+D81)/2</f>
        <v/>
      </c>
      <c r="F81" s="42">
        <f>-(1-MIN(E81*$H$6+$H$7,sb_gear*$H$13)/$H$13)*$H$12+E81*$H$8+$H$9-MIN(E81*$H$6+$H$7,sb_gear*$H$13)/(E81*$H$6+$H$7)/sb_dscr*(E81*$H$10+$H$11)</f>
        <v/>
      </c>
    </row>
    <row r="82">
      <c r="B82" s="26" t="n">
        <v>31</v>
      </c>
      <c r="C82" s="41">
        <f>IF(F81&lt;0,E81,C81)</f>
        <v/>
      </c>
      <c r="D82" s="41">
        <f>IF(F81&lt;0,D81,E81)</f>
        <v/>
      </c>
      <c r="E82" s="41">
        <f>(C82+D82)/2</f>
        <v/>
      </c>
      <c r="F82" s="42">
        <f>-(1-MIN(E82*$H$6+$H$7,sb_gear*$H$13)/$H$13)*$H$12+E82*$H$8+$H$9-MIN(E82*$H$6+$H$7,sb_gear*$H$13)/(E82*$H$6+$H$7)/sb_dscr*(E82*$H$10+$H$11)</f>
        <v/>
      </c>
    </row>
    <row r="83">
      <c r="B83" s="26" t="n">
        <v>32</v>
      </c>
      <c r="C83" s="41">
        <f>IF(F82&lt;0,E82,C82)</f>
        <v/>
      </c>
      <c r="D83" s="41">
        <f>IF(F82&lt;0,D82,E82)</f>
        <v/>
      </c>
      <c r="E83" s="41">
        <f>(C83+D83)/2</f>
        <v/>
      </c>
      <c r="F83" s="42">
        <f>-(1-MIN(E83*$H$6+$H$7,sb_gear*$H$13)/$H$13)*$H$12+E83*$H$8+$H$9-MIN(E83*$H$6+$H$7,sb_gear*$H$13)/(E83*$H$6+$H$7)/sb_dscr*(E83*$H$10+$H$11)</f>
        <v/>
      </c>
    </row>
    <row r="84">
      <c r="B84" s="26" t="n">
        <v>33</v>
      </c>
      <c r="C84" s="41">
        <f>IF(F83&lt;0,E83,C83)</f>
        <v/>
      </c>
      <c r="D84" s="41">
        <f>IF(F83&lt;0,D83,E83)</f>
        <v/>
      </c>
      <c r="E84" s="41">
        <f>(C84+D84)/2</f>
        <v/>
      </c>
      <c r="F84" s="42">
        <f>-(1-MIN(E84*$H$6+$H$7,sb_gear*$H$13)/$H$13)*$H$12+E84*$H$8+$H$9-MIN(E84*$H$6+$H$7,sb_gear*$H$13)/(E84*$H$6+$H$7)/sb_dscr*(E84*$H$10+$H$11)</f>
        <v/>
      </c>
    </row>
    <row r="85">
      <c r="B85" s="26" t="n">
        <v>34</v>
      </c>
      <c r="C85" s="41">
        <f>IF(F84&lt;0,E84,C84)</f>
        <v/>
      </c>
      <c r="D85" s="41">
        <f>IF(F84&lt;0,D84,E84)</f>
        <v/>
      </c>
      <c r="E85" s="41">
        <f>(C85+D85)/2</f>
        <v/>
      </c>
      <c r="F85" s="42">
        <f>-(1-MIN(E85*$H$6+$H$7,sb_gear*$H$13)/$H$13)*$H$12+E85*$H$8+$H$9-MIN(E85*$H$6+$H$7,sb_gear*$H$13)/(E85*$H$6+$H$7)/sb_dscr*(E85*$H$10+$H$11)</f>
        <v/>
      </c>
    </row>
    <row r="86">
      <c r="B86" s="26" t="n">
        <v>35</v>
      </c>
      <c r="C86" s="41">
        <f>IF(F85&lt;0,E85,C85)</f>
        <v/>
      </c>
      <c r="D86" s="41">
        <f>IF(F85&lt;0,D85,E85)</f>
        <v/>
      </c>
      <c r="E86" s="41">
        <f>(C86+D86)/2</f>
        <v/>
      </c>
      <c r="F86" s="42">
        <f>-(1-MIN(E86*$H$6+$H$7,sb_gear*$H$13)/$H$13)*$H$12+E86*$H$8+$H$9-MIN(E86*$H$6+$H$7,sb_gear*$H$13)/(E86*$H$6+$H$7)/sb_dscr*(E86*$H$10+$H$11)</f>
        <v/>
      </c>
    </row>
    <row r="87">
      <c r="B87" s="26" t="n">
        <v>36</v>
      </c>
      <c r="C87" s="41">
        <f>IF(F86&lt;0,E86,C86)</f>
        <v/>
      </c>
      <c r="D87" s="41">
        <f>IF(F86&lt;0,D86,E86)</f>
        <v/>
      </c>
      <c r="E87" s="41">
        <f>(C87+D87)/2</f>
        <v/>
      </c>
      <c r="F87" s="42">
        <f>-(1-MIN(E87*$H$6+$H$7,sb_gear*$H$13)/$H$13)*$H$12+E87*$H$8+$H$9-MIN(E87*$H$6+$H$7,sb_gear*$H$13)/(E87*$H$6+$H$7)/sb_dscr*(E87*$H$10+$H$11)</f>
        <v/>
      </c>
    </row>
    <row r="88">
      <c r="B88" s="26" t="n">
        <v>37</v>
      </c>
      <c r="C88" s="41">
        <f>IF(F87&lt;0,E87,C87)</f>
        <v/>
      </c>
      <c r="D88" s="41">
        <f>IF(F87&lt;0,D87,E87)</f>
        <v/>
      </c>
      <c r="E88" s="41">
        <f>(C88+D88)/2</f>
        <v/>
      </c>
      <c r="F88" s="42">
        <f>-(1-MIN(E88*$H$6+$H$7,sb_gear*$H$13)/$H$13)*$H$12+E88*$H$8+$H$9-MIN(E88*$H$6+$H$7,sb_gear*$H$13)/(E88*$H$6+$H$7)/sb_dscr*(E88*$H$10+$H$11)</f>
        <v/>
      </c>
    </row>
    <row r="89">
      <c r="B89" s="26" t="n">
        <v>38</v>
      </c>
      <c r="C89" s="41">
        <f>IF(F88&lt;0,E88,C88)</f>
        <v/>
      </c>
      <c r="D89" s="41">
        <f>IF(F88&lt;0,D88,E88)</f>
        <v/>
      </c>
      <c r="E89" s="41">
        <f>(C89+D89)/2</f>
        <v/>
      </c>
      <c r="F89" s="42">
        <f>-(1-MIN(E89*$H$6+$H$7,sb_gear*$H$13)/$H$13)*$H$12+E89*$H$8+$H$9-MIN(E89*$H$6+$H$7,sb_gear*$H$13)/(E89*$H$6+$H$7)/sb_dscr*(E89*$H$10+$H$11)</f>
        <v/>
      </c>
    </row>
    <row r="90">
      <c r="B90" s="26" t="n">
        <v>39</v>
      </c>
      <c r="C90" s="41">
        <f>IF(F89&lt;0,E89,C89)</f>
        <v/>
      </c>
      <c r="D90" s="41">
        <f>IF(F89&lt;0,D89,E89)</f>
        <v/>
      </c>
      <c r="E90" s="41">
        <f>(C90+D90)/2</f>
        <v/>
      </c>
      <c r="F90" s="42">
        <f>-(1-MIN(E90*$H$6+$H$7,sb_gear*$H$13)/$H$13)*$H$12+E90*$H$8+$H$9-MIN(E90*$H$6+$H$7,sb_gear*$H$13)/(E90*$H$6+$H$7)/sb_dscr*(E90*$H$10+$H$11)</f>
        <v/>
      </c>
    </row>
    <row r="91">
      <c r="B91" s="26" t="n">
        <v>40</v>
      </c>
      <c r="C91" s="41">
        <f>IF(F90&lt;0,E90,C90)</f>
        <v/>
      </c>
      <c r="D91" s="41">
        <f>IF(F90&lt;0,D90,E90)</f>
        <v/>
      </c>
      <c r="E91" s="41">
        <f>(C91+D91)/2</f>
        <v/>
      </c>
      <c r="F91" s="42">
        <f>-(1-MIN(E91*$H$6+$H$7,sb_gear*$H$13)/$H$13)*$H$12+E91*$H$8+$H$9-MIN(E91*$H$6+$H$7,sb_gear*$H$13)/(E91*$H$6+$H$7)/sb_dscr*(E91*$H$10+$H$11)</f>
        <v/>
      </c>
    </row>
    <row r="95">
      <c r="B95" s="6" t="inlineStr">
        <is>
          <t>Bisection: capacity charge for the equity target with debt one point dearer</t>
        </is>
      </c>
    </row>
    <row r="96">
      <c r="B96" s="3" t="inlineStr">
        <is>
          <t>Step</t>
        </is>
      </c>
      <c r="C96" s="3" t="inlineStr">
        <is>
          <t>Low</t>
        </is>
      </c>
      <c r="D96" s="3" t="inlineStr">
        <is>
          <t>High</t>
        </is>
      </c>
      <c r="E96" s="3" t="inlineStr">
        <is>
          <t>Mid</t>
        </is>
      </c>
      <c r="F96" s="3" t="inlineStr">
        <is>
          <t>Equity NPV at target</t>
        </is>
      </c>
    </row>
    <row r="97">
      <c r="B97" s="26" t="n">
        <v>1</v>
      </c>
      <c r="C97" s="38">
        <f>sb_bis_lo</f>
        <v/>
      </c>
      <c r="D97" s="38">
        <f>sb_bis_hi</f>
        <v/>
      </c>
      <c r="E97" s="41">
        <f>(C97+D97)/2</f>
        <v/>
      </c>
      <c r="F97" s="42">
        <f>-(1-MIN(E97*$C$29+$C$30,sb_gear*$H$13)/$H$13)*$H$12+E97*$H$8+$H$9-MIN(E97*$C$29+$C$30,sb_gear*$H$13)/(E97*$C$29+$C$30)/sb_dscr*(E97*$H$10+$H$11)</f>
        <v/>
      </c>
    </row>
    <row r="98">
      <c r="B98" s="26" t="n">
        <v>2</v>
      </c>
      <c r="C98" s="41">
        <f>IF(F97&lt;0,E97,C97)</f>
        <v/>
      </c>
      <c r="D98" s="41">
        <f>IF(F97&lt;0,D97,E97)</f>
        <v/>
      </c>
      <c r="E98" s="41">
        <f>(C98+D98)/2</f>
        <v/>
      </c>
      <c r="F98" s="42">
        <f>-(1-MIN(E98*$C$29+$C$30,sb_gear*$H$13)/$H$13)*$H$12+E98*$H$8+$H$9-MIN(E98*$C$29+$C$30,sb_gear*$H$13)/(E98*$C$29+$C$30)/sb_dscr*(E98*$H$10+$H$11)</f>
        <v/>
      </c>
    </row>
    <row r="99">
      <c r="B99" s="26" t="n">
        <v>3</v>
      </c>
      <c r="C99" s="41">
        <f>IF(F98&lt;0,E98,C98)</f>
        <v/>
      </c>
      <c r="D99" s="41">
        <f>IF(F98&lt;0,D98,E98)</f>
        <v/>
      </c>
      <c r="E99" s="41">
        <f>(C99+D99)/2</f>
        <v/>
      </c>
      <c r="F99" s="42">
        <f>-(1-MIN(E99*$C$29+$C$30,sb_gear*$H$13)/$H$13)*$H$12+E99*$H$8+$H$9-MIN(E99*$C$29+$C$30,sb_gear*$H$13)/(E99*$C$29+$C$30)/sb_dscr*(E99*$H$10+$H$11)</f>
        <v/>
      </c>
    </row>
    <row r="100">
      <c r="B100" s="26" t="n">
        <v>4</v>
      </c>
      <c r="C100" s="41">
        <f>IF(F99&lt;0,E99,C99)</f>
        <v/>
      </c>
      <c r="D100" s="41">
        <f>IF(F99&lt;0,D99,E99)</f>
        <v/>
      </c>
      <c r="E100" s="41">
        <f>(C100+D100)/2</f>
        <v/>
      </c>
      <c r="F100" s="42">
        <f>-(1-MIN(E100*$C$29+$C$30,sb_gear*$H$13)/$H$13)*$H$12+E100*$H$8+$H$9-MIN(E100*$C$29+$C$30,sb_gear*$H$13)/(E100*$C$29+$C$30)/sb_dscr*(E100*$H$10+$H$11)</f>
        <v/>
      </c>
    </row>
    <row r="101">
      <c r="B101" s="26" t="n">
        <v>5</v>
      </c>
      <c r="C101" s="41">
        <f>IF(F100&lt;0,E100,C100)</f>
        <v/>
      </c>
      <c r="D101" s="41">
        <f>IF(F100&lt;0,D100,E100)</f>
        <v/>
      </c>
      <c r="E101" s="41">
        <f>(C101+D101)/2</f>
        <v/>
      </c>
      <c r="F101" s="42">
        <f>-(1-MIN(E101*$C$29+$C$30,sb_gear*$H$13)/$H$13)*$H$12+E101*$H$8+$H$9-MIN(E101*$C$29+$C$30,sb_gear*$H$13)/(E101*$C$29+$C$30)/sb_dscr*(E101*$H$10+$H$11)</f>
        <v/>
      </c>
    </row>
    <row r="102">
      <c r="B102" s="26" t="n">
        <v>6</v>
      </c>
      <c r="C102" s="41">
        <f>IF(F101&lt;0,E101,C101)</f>
        <v/>
      </c>
      <c r="D102" s="41">
        <f>IF(F101&lt;0,D101,E101)</f>
        <v/>
      </c>
      <c r="E102" s="41">
        <f>(C102+D102)/2</f>
        <v/>
      </c>
      <c r="F102" s="42">
        <f>-(1-MIN(E102*$C$29+$C$30,sb_gear*$H$13)/$H$13)*$H$12+E102*$H$8+$H$9-MIN(E102*$C$29+$C$30,sb_gear*$H$13)/(E102*$C$29+$C$30)/sb_dscr*(E102*$H$10+$H$11)</f>
        <v/>
      </c>
    </row>
    <row r="103">
      <c r="B103" s="26" t="n">
        <v>7</v>
      </c>
      <c r="C103" s="41">
        <f>IF(F102&lt;0,E102,C102)</f>
        <v/>
      </c>
      <c r="D103" s="41">
        <f>IF(F102&lt;0,D102,E102)</f>
        <v/>
      </c>
      <c r="E103" s="41">
        <f>(C103+D103)/2</f>
        <v/>
      </c>
      <c r="F103" s="42">
        <f>-(1-MIN(E103*$C$29+$C$30,sb_gear*$H$13)/$H$13)*$H$12+E103*$H$8+$H$9-MIN(E103*$C$29+$C$30,sb_gear*$H$13)/(E103*$C$29+$C$30)/sb_dscr*(E103*$H$10+$H$11)</f>
        <v/>
      </c>
    </row>
    <row r="104">
      <c r="B104" s="26" t="n">
        <v>8</v>
      </c>
      <c r="C104" s="41">
        <f>IF(F103&lt;0,E103,C103)</f>
        <v/>
      </c>
      <c r="D104" s="41">
        <f>IF(F103&lt;0,D103,E103)</f>
        <v/>
      </c>
      <c r="E104" s="41">
        <f>(C104+D104)/2</f>
        <v/>
      </c>
      <c r="F104" s="42">
        <f>-(1-MIN(E104*$C$29+$C$30,sb_gear*$H$13)/$H$13)*$H$12+E104*$H$8+$H$9-MIN(E104*$C$29+$C$30,sb_gear*$H$13)/(E104*$C$29+$C$30)/sb_dscr*(E104*$H$10+$H$11)</f>
        <v/>
      </c>
    </row>
    <row r="105">
      <c r="B105" s="26" t="n">
        <v>9</v>
      </c>
      <c r="C105" s="41">
        <f>IF(F104&lt;0,E104,C104)</f>
        <v/>
      </c>
      <c r="D105" s="41">
        <f>IF(F104&lt;0,D104,E104)</f>
        <v/>
      </c>
      <c r="E105" s="41">
        <f>(C105+D105)/2</f>
        <v/>
      </c>
      <c r="F105" s="42">
        <f>-(1-MIN(E105*$C$29+$C$30,sb_gear*$H$13)/$H$13)*$H$12+E105*$H$8+$H$9-MIN(E105*$C$29+$C$30,sb_gear*$H$13)/(E105*$C$29+$C$30)/sb_dscr*(E105*$H$10+$H$11)</f>
        <v/>
      </c>
    </row>
    <row r="106">
      <c r="B106" s="26" t="n">
        <v>10</v>
      </c>
      <c r="C106" s="41">
        <f>IF(F105&lt;0,E105,C105)</f>
        <v/>
      </c>
      <c r="D106" s="41">
        <f>IF(F105&lt;0,D105,E105)</f>
        <v/>
      </c>
      <c r="E106" s="41">
        <f>(C106+D106)/2</f>
        <v/>
      </c>
      <c r="F106" s="42">
        <f>-(1-MIN(E106*$C$29+$C$30,sb_gear*$H$13)/$H$13)*$H$12+E106*$H$8+$H$9-MIN(E106*$C$29+$C$30,sb_gear*$H$13)/(E106*$C$29+$C$30)/sb_dscr*(E106*$H$10+$H$11)</f>
        <v/>
      </c>
    </row>
    <row r="107">
      <c r="B107" s="26" t="n">
        <v>11</v>
      </c>
      <c r="C107" s="41">
        <f>IF(F106&lt;0,E106,C106)</f>
        <v/>
      </c>
      <c r="D107" s="41">
        <f>IF(F106&lt;0,D106,E106)</f>
        <v/>
      </c>
      <c r="E107" s="41">
        <f>(C107+D107)/2</f>
        <v/>
      </c>
      <c r="F107" s="42">
        <f>-(1-MIN(E107*$C$29+$C$30,sb_gear*$H$13)/$H$13)*$H$12+E107*$H$8+$H$9-MIN(E107*$C$29+$C$30,sb_gear*$H$13)/(E107*$C$29+$C$30)/sb_dscr*(E107*$H$10+$H$11)</f>
        <v/>
      </c>
    </row>
    <row r="108">
      <c r="B108" s="26" t="n">
        <v>12</v>
      </c>
      <c r="C108" s="41">
        <f>IF(F107&lt;0,E107,C107)</f>
        <v/>
      </c>
      <c r="D108" s="41">
        <f>IF(F107&lt;0,D107,E107)</f>
        <v/>
      </c>
      <c r="E108" s="41">
        <f>(C108+D108)/2</f>
        <v/>
      </c>
      <c r="F108" s="42">
        <f>-(1-MIN(E108*$C$29+$C$30,sb_gear*$H$13)/$H$13)*$H$12+E108*$H$8+$H$9-MIN(E108*$C$29+$C$30,sb_gear*$H$13)/(E108*$C$29+$C$30)/sb_dscr*(E108*$H$10+$H$11)</f>
        <v/>
      </c>
    </row>
    <row r="109">
      <c r="B109" s="26" t="n">
        <v>13</v>
      </c>
      <c r="C109" s="41">
        <f>IF(F108&lt;0,E108,C108)</f>
        <v/>
      </c>
      <c r="D109" s="41">
        <f>IF(F108&lt;0,D108,E108)</f>
        <v/>
      </c>
      <c r="E109" s="41">
        <f>(C109+D109)/2</f>
        <v/>
      </c>
      <c r="F109" s="42">
        <f>-(1-MIN(E109*$C$29+$C$30,sb_gear*$H$13)/$H$13)*$H$12+E109*$H$8+$H$9-MIN(E109*$C$29+$C$30,sb_gear*$H$13)/(E109*$C$29+$C$30)/sb_dscr*(E109*$H$10+$H$11)</f>
        <v/>
      </c>
    </row>
    <row r="110">
      <c r="B110" s="26" t="n">
        <v>14</v>
      </c>
      <c r="C110" s="41">
        <f>IF(F109&lt;0,E109,C109)</f>
        <v/>
      </c>
      <c r="D110" s="41">
        <f>IF(F109&lt;0,D109,E109)</f>
        <v/>
      </c>
      <c r="E110" s="41">
        <f>(C110+D110)/2</f>
        <v/>
      </c>
      <c r="F110" s="42">
        <f>-(1-MIN(E110*$C$29+$C$30,sb_gear*$H$13)/$H$13)*$H$12+E110*$H$8+$H$9-MIN(E110*$C$29+$C$30,sb_gear*$H$13)/(E110*$C$29+$C$30)/sb_dscr*(E110*$H$10+$H$11)</f>
        <v/>
      </c>
    </row>
    <row r="111">
      <c r="B111" s="26" t="n">
        <v>15</v>
      </c>
      <c r="C111" s="41">
        <f>IF(F110&lt;0,E110,C110)</f>
        <v/>
      </c>
      <c r="D111" s="41">
        <f>IF(F110&lt;0,D110,E110)</f>
        <v/>
      </c>
      <c r="E111" s="41">
        <f>(C111+D111)/2</f>
        <v/>
      </c>
      <c r="F111" s="42">
        <f>-(1-MIN(E111*$C$29+$C$30,sb_gear*$H$13)/$H$13)*$H$12+E111*$H$8+$H$9-MIN(E111*$C$29+$C$30,sb_gear*$H$13)/(E111*$C$29+$C$30)/sb_dscr*(E111*$H$10+$H$11)</f>
        <v/>
      </c>
    </row>
    <row r="112">
      <c r="B112" s="26" t="n">
        <v>16</v>
      </c>
      <c r="C112" s="41">
        <f>IF(F111&lt;0,E111,C111)</f>
        <v/>
      </c>
      <c r="D112" s="41">
        <f>IF(F111&lt;0,D111,E111)</f>
        <v/>
      </c>
      <c r="E112" s="41">
        <f>(C112+D112)/2</f>
        <v/>
      </c>
      <c r="F112" s="42">
        <f>-(1-MIN(E112*$C$29+$C$30,sb_gear*$H$13)/$H$13)*$H$12+E112*$H$8+$H$9-MIN(E112*$C$29+$C$30,sb_gear*$H$13)/(E112*$C$29+$C$30)/sb_dscr*(E112*$H$10+$H$11)</f>
        <v/>
      </c>
    </row>
    <row r="113">
      <c r="B113" s="26" t="n">
        <v>17</v>
      </c>
      <c r="C113" s="41">
        <f>IF(F112&lt;0,E112,C112)</f>
        <v/>
      </c>
      <c r="D113" s="41">
        <f>IF(F112&lt;0,D112,E112)</f>
        <v/>
      </c>
      <c r="E113" s="41">
        <f>(C113+D113)/2</f>
        <v/>
      </c>
      <c r="F113" s="42">
        <f>-(1-MIN(E113*$C$29+$C$30,sb_gear*$H$13)/$H$13)*$H$12+E113*$H$8+$H$9-MIN(E113*$C$29+$C$30,sb_gear*$H$13)/(E113*$C$29+$C$30)/sb_dscr*(E113*$H$10+$H$11)</f>
        <v/>
      </c>
    </row>
    <row r="114">
      <c r="B114" s="26" t="n">
        <v>18</v>
      </c>
      <c r="C114" s="41">
        <f>IF(F113&lt;0,E113,C113)</f>
        <v/>
      </c>
      <c r="D114" s="41">
        <f>IF(F113&lt;0,D113,E113)</f>
        <v/>
      </c>
      <c r="E114" s="41">
        <f>(C114+D114)/2</f>
        <v/>
      </c>
      <c r="F114" s="42">
        <f>-(1-MIN(E114*$C$29+$C$30,sb_gear*$H$13)/$H$13)*$H$12+E114*$H$8+$H$9-MIN(E114*$C$29+$C$30,sb_gear*$H$13)/(E114*$C$29+$C$30)/sb_dscr*(E114*$H$10+$H$11)</f>
        <v/>
      </c>
    </row>
    <row r="115">
      <c r="B115" s="26" t="n">
        <v>19</v>
      </c>
      <c r="C115" s="41">
        <f>IF(F114&lt;0,E114,C114)</f>
        <v/>
      </c>
      <c r="D115" s="41">
        <f>IF(F114&lt;0,D114,E114)</f>
        <v/>
      </c>
      <c r="E115" s="41">
        <f>(C115+D115)/2</f>
        <v/>
      </c>
      <c r="F115" s="42">
        <f>-(1-MIN(E115*$C$29+$C$30,sb_gear*$H$13)/$H$13)*$H$12+E115*$H$8+$H$9-MIN(E115*$C$29+$C$30,sb_gear*$H$13)/(E115*$C$29+$C$30)/sb_dscr*(E115*$H$10+$H$11)</f>
        <v/>
      </c>
    </row>
    <row r="116">
      <c r="B116" s="26" t="n">
        <v>20</v>
      </c>
      <c r="C116" s="41">
        <f>IF(F115&lt;0,E115,C115)</f>
        <v/>
      </c>
      <c r="D116" s="41">
        <f>IF(F115&lt;0,D115,E115)</f>
        <v/>
      </c>
      <c r="E116" s="41">
        <f>(C116+D116)/2</f>
        <v/>
      </c>
      <c r="F116" s="42">
        <f>-(1-MIN(E116*$C$29+$C$30,sb_gear*$H$13)/$H$13)*$H$12+E116*$H$8+$H$9-MIN(E116*$C$29+$C$30,sb_gear*$H$13)/(E116*$C$29+$C$30)/sb_dscr*(E116*$H$10+$H$11)</f>
        <v/>
      </c>
    </row>
    <row r="117">
      <c r="B117" s="26" t="n">
        <v>21</v>
      </c>
      <c r="C117" s="41">
        <f>IF(F116&lt;0,E116,C116)</f>
        <v/>
      </c>
      <c r="D117" s="41">
        <f>IF(F116&lt;0,D116,E116)</f>
        <v/>
      </c>
      <c r="E117" s="41">
        <f>(C117+D117)/2</f>
        <v/>
      </c>
      <c r="F117" s="42">
        <f>-(1-MIN(E117*$C$29+$C$30,sb_gear*$H$13)/$H$13)*$H$12+E117*$H$8+$H$9-MIN(E117*$C$29+$C$30,sb_gear*$H$13)/(E117*$C$29+$C$30)/sb_dscr*(E117*$H$10+$H$11)</f>
        <v/>
      </c>
    </row>
    <row r="118">
      <c r="B118" s="26" t="n">
        <v>22</v>
      </c>
      <c r="C118" s="41">
        <f>IF(F117&lt;0,E117,C117)</f>
        <v/>
      </c>
      <c r="D118" s="41">
        <f>IF(F117&lt;0,D117,E117)</f>
        <v/>
      </c>
      <c r="E118" s="41">
        <f>(C118+D118)/2</f>
        <v/>
      </c>
      <c r="F118" s="42">
        <f>-(1-MIN(E118*$C$29+$C$30,sb_gear*$H$13)/$H$13)*$H$12+E118*$H$8+$H$9-MIN(E118*$C$29+$C$30,sb_gear*$H$13)/(E118*$C$29+$C$30)/sb_dscr*(E118*$H$10+$H$11)</f>
        <v/>
      </c>
    </row>
    <row r="119">
      <c r="B119" s="26" t="n">
        <v>23</v>
      </c>
      <c r="C119" s="41">
        <f>IF(F118&lt;0,E118,C118)</f>
        <v/>
      </c>
      <c r="D119" s="41">
        <f>IF(F118&lt;0,D118,E118)</f>
        <v/>
      </c>
      <c r="E119" s="41">
        <f>(C119+D119)/2</f>
        <v/>
      </c>
      <c r="F119" s="42">
        <f>-(1-MIN(E119*$C$29+$C$30,sb_gear*$H$13)/$H$13)*$H$12+E119*$H$8+$H$9-MIN(E119*$C$29+$C$30,sb_gear*$H$13)/(E119*$C$29+$C$30)/sb_dscr*(E119*$H$10+$H$11)</f>
        <v/>
      </c>
    </row>
    <row r="120">
      <c r="B120" s="26" t="n">
        <v>24</v>
      </c>
      <c r="C120" s="41">
        <f>IF(F119&lt;0,E119,C119)</f>
        <v/>
      </c>
      <c r="D120" s="41">
        <f>IF(F119&lt;0,D119,E119)</f>
        <v/>
      </c>
      <c r="E120" s="41">
        <f>(C120+D120)/2</f>
        <v/>
      </c>
      <c r="F120" s="42">
        <f>-(1-MIN(E120*$C$29+$C$30,sb_gear*$H$13)/$H$13)*$H$12+E120*$H$8+$H$9-MIN(E120*$C$29+$C$30,sb_gear*$H$13)/(E120*$C$29+$C$30)/sb_dscr*(E120*$H$10+$H$11)</f>
        <v/>
      </c>
    </row>
    <row r="121">
      <c r="B121" s="26" t="n">
        <v>25</v>
      </c>
      <c r="C121" s="41">
        <f>IF(F120&lt;0,E120,C120)</f>
        <v/>
      </c>
      <c r="D121" s="41">
        <f>IF(F120&lt;0,D120,E120)</f>
        <v/>
      </c>
      <c r="E121" s="41">
        <f>(C121+D121)/2</f>
        <v/>
      </c>
      <c r="F121" s="42">
        <f>-(1-MIN(E121*$C$29+$C$30,sb_gear*$H$13)/$H$13)*$H$12+E121*$H$8+$H$9-MIN(E121*$C$29+$C$30,sb_gear*$H$13)/(E121*$C$29+$C$30)/sb_dscr*(E121*$H$10+$H$11)</f>
        <v/>
      </c>
    </row>
    <row r="122">
      <c r="B122" s="26" t="n">
        <v>26</v>
      </c>
      <c r="C122" s="41">
        <f>IF(F121&lt;0,E121,C121)</f>
        <v/>
      </c>
      <c r="D122" s="41">
        <f>IF(F121&lt;0,D121,E121)</f>
        <v/>
      </c>
      <c r="E122" s="41">
        <f>(C122+D122)/2</f>
        <v/>
      </c>
      <c r="F122" s="42">
        <f>-(1-MIN(E122*$C$29+$C$30,sb_gear*$H$13)/$H$13)*$H$12+E122*$H$8+$H$9-MIN(E122*$C$29+$C$30,sb_gear*$H$13)/(E122*$C$29+$C$30)/sb_dscr*(E122*$H$10+$H$11)</f>
        <v/>
      </c>
    </row>
    <row r="123">
      <c r="B123" s="26" t="n">
        <v>27</v>
      </c>
      <c r="C123" s="41">
        <f>IF(F122&lt;0,E122,C122)</f>
        <v/>
      </c>
      <c r="D123" s="41">
        <f>IF(F122&lt;0,D122,E122)</f>
        <v/>
      </c>
      <c r="E123" s="41">
        <f>(C123+D123)/2</f>
        <v/>
      </c>
      <c r="F123" s="42">
        <f>-(1-MIN(E123*$C$29+$C$30,sb_gear*$H$13)/$H$13)*$H$12+E123*$H$8+$H$9-MIN(E123*$C$29+$C$30,sb_gear*$H$13)/(E123*$C$29+$C$30)/sb_dscr*(E123*$H$10+$H$11)</f>
        <v/>
      </c>
    </row>
    <row r="124">
      <c r="B124" s="26" t="n">
        <v>28</v>
      </c>
      <c r="C124" s="41">
        <f>IF(F123&lt;0,E123,C123)</f>
        <v/>
      </c>
      <c r="D124" s="41">
        <f>IF(F123&lt;0,D123,E123)</f>
        <v/>
      </c>
      <c r="E124" s="41">
        <f>(C124+D124)/2</f>
        <v/>
      </c>
      <c r="F124" s="42">
        <f>-(1-MIN(E124*$C$29+$C$30,sb_gear*$H$13)/$H$13)*$H$12+E124*$H$8+$H$9-MIN(E124*$C$29+$C$30,sb_gear*$H$13)/(E124*$C$29+$C$30)/sb_dscr*(E124*$H$10+$H$11)</f>
        <v/>
      </c>
    </row>
    <row r="125">
      <c r="B125" s="26" t="n">
        <v>29</v>
      </c>
      <c r="C125" s="41">
        <f>IF(F124&lt;0,E124,C124)</f>
        <v/>
      </c>
      <c r="D125" s="41">
        <f>IF(F124&lt;0,D124,E124)</f>
        <v/>
      </c>
      <c r="E125" s="41">
        <f>(C125+D125)/2</f>
        <v/>
      </c>
      <c r="F125" s="42">
        <f>-(1-MIN(E125*$C$29+$C$30,sb_gear*$H$13)/$H$13)*$H$12+E125*$H$8+$H$9-MIN(E125*$C$29+$C$30,sb_gear*$H$13)/(E125*$C$29+$C$30)/sb_dscr*(E125*$H$10+$H$11)</f>
        <v/>
      </c>
    </row>
    <row r="126">
      <c r="B126" s="26" t="n">
        <v>30</v>
      </c>
      <c r="C126" s="41">
        <f>IF(F125&lt;0,E125,C125)</f>
        <v/>
      </c>
      <c r="D126" s="41">
        <f>IF(F125&lt;0,D125,E125)</f>
        <v/>
      </c>
      <c r="E126" s="41">
        <f>(C126+D126)/2</f>
        <v/>
      </c>
      <c r="F126" s="42">
        <f>-(1-MIN(E126*$C$29+$C$30,sb_gear*$H$13)/$H$13)*$H$12+E126*$H$8+$H$9-MIN(E126*$C$29+$C$30,sb_gear*$H$13)/(E126*$C$29+$C$30)/sb_dscr*(E126*$H$10+$H$11)</f>
        <v/>
      </c>
    </row>
    <row r="127">
      <c r="B127" s="26" t="n">
        <v>31</v>
      </c>
      <c r="C127" s="41">
        <f>IF(F126&lt;0,E126,C126)</f>
        <v/>
      </c>
      <c r="D127" s="41">
        <f>IF(F126&lt;0,D126,E126)</f>
        <v/>
      </c>
      <c r="E127" s="41">
        <f>(C127+D127)/2</f>
        <v/>
      </c>
      <c r="F127" s="42">
        <f>-(1-MIN(E127*$C$29+$C$30,sb_gear*$H$13)/$H$13)*$H$12+E127*$H$8+$H$9-MIN(E127*$C$29+$C$30,sb_gear*$H$13)/(E127*$C$29+$C$30)/sb_dscr*(E127*$H$10+$H$11)</f>
        <v/>
      </c>
    </row>
    <row r="128">
      <c r="B128" s="26" t="n">
        <v>32</v>
      </c>
      <c r="C128" s="41">
        <f>IF(F127&lt;0,E127,C127)</f>
        <v/>
      </c>
      <c r="D128" s="41">
        <f>IF(F127&lt;0,D127,E127)</f>
        <v/>
      </c>
      <c r="E128" s="41">
        <f>(C128+D128)/2</f>
        <v/>
      </c>
      <c r="F128" s="42">
        <f>-(1-MIN(E128*$C$29+$C$30,sb_gear*$H$13)/$H$13)*$H$12+E128*$H$8+$H$9-MIN(E128*$C$29+$C$30,sb_gear*$H$13)/(E128*$C$29+$C$30)/sb_dscr*(E128*$H$10+$H$11)</f>
        <v/>
      </c>
    </row>
    <row r="129">
      <c r="B129" s="26" t="n">
        <v>33</v>
      </c>
      <c r="C129" s="41">
        <f>IF(F128&lt;0,E128,C128)</f>
        <v/>
      </c>
      <c r="D129" s="41">
        <f>IF(F128&lt;0,D128,E128)</f>
        <v/>
      </c>
      <c r="E129" s="41">
        <f>(C129+D129)/2</f>
        <v/>
      </c>
      <c r="F129" s="42">
        <f>-(1-MIN(E129*$C$29+$C$30,sb_gear*$H$13)/$H$13)*$H$12+E129*$H$8+$H$9-MIN(E129*$C$29+$C$30,sb_gear*$H$13)/(E129*$C$29+$C$30)/sb_dscr*(E129*$H$10+$H$11)</f>
        <v/>
      </c>
    </row>
    <row r="130">
      <c r="B130" s="26" t="n">
        <v>34</v>
      </c>
      <c r="C130" s="41">
        <f>IF(F129&lt;0,E129,C129)</f>
        <v/>
      </c>
      <c r="D130" s="41">
        <f>IF(F129&lt;0,D129,E129)</f>
        <v/>
      </c>
      <c r="E130" s="41">
        <f>(C130+D130)/2</f>
        <v/>
      </c>
      <c r="F130" s="42">
        <f>-(1-MIN(E130*$C$29+$C$30,sb_gear*$H$13)/$H$13)*$H$12+E130*$H$8+$H$9-MIN(E130*$C$29+$C$30,sb_gear*$H$13)/(E130*$C$29+$C$30)/sb_dscr*(E130*$H$10+$H$11)</f>
        <v/>
      </c>
    </row>
    <row r="131">
      <c r="B131" s="26" t="n">
        <v>35</v>
      </c>
      <c r="C131" s="41">
        <f>IF(F130&lt;0,E130,C130)</f>
        <v/>
      </c>
      <c r="D131" s="41">
        <f>IF(F130&lt;0,D130,E130)</f>
        <v/>
      </c>
      <c r="E131" s="41">
        <f>(C131+D131)/2</f>
        <v/>
      </c>
      <c r="F131" s="42">
        <f>-(1-MIN(E131*$C$29+$C$30,sb_gear*$H$13)/$H$13)*$H$12+E131*$H$8+$H$9-MIN(E131*$C$29+$C$30,sb_gear*$H$13)/(E131*$C$29+$C$30)/sb_dscr*(E131*$H$10+$H$11)</f>
        <v/>
      </c>
    </row>
    <row r="132">
      <c r="B132" s="26" t="n">
        <v>36</v>
      </c>
      <c r="C132" s="41">
        <f>IF(F131&lt;0,E131,C131)</f>
        <v/>
      </c>
      <c r="D132" s="41">
        <f>IF(F131&lt;0,D131,E131)</f>
        <v/>
      </c>
      <c r="E132" s="41">
        <f>(C132+D132)/2</f>
        <v/>
      </c>
      <c r="F132" s="42">
        <f>-(1-MIN(E132*$C$29+$C$30,sb_gear*$H$13)/$H$13)*$H$12+E132*$H$8+$H$9-MIN(E132*$C$29+$C$30,sb_gear*$H$13)/(E132*$C$29+$C$30)/sb_dscr*(E132*$H$10+$H$11)</f>
        <v/>
      </c>
    </row>
    <row r="133">
      <c r="B133" s="26" t="n">
        <v>37</v>
      </c>
      <c r="C133" s="41">
        <f>IF(F132&lt;0,E132,C132)</f>
        <v/>
      </c>
      <c r="D133" s="41">
        <f>IF(F132&lt;0,D132,E132)</f>
        <v/>
      </c>
      <c r="E133" s="41">
        <f>(C133+D133)/2</f>
        <v/>
      </c>
      <c r="F133" s="42">
        <f>-(1-MIN(E133*$C$29+$C$30,sb_gear*$H$13)/$H$13)*$H$12+E133*$H$8+$H$9-MIN(E133*$C$29+$C$30,sb_gear*$H$13)/(E133*$C$29+$C$30)/sb_dscr*(E133*$H$10+$H$11)</f>
        <v/>
      </c>
    </row>
    <row r="134">
      <c r="B134" s="26" t="n">
        <v>38</v>
      </c>
      <c r="C134" s="41">
        <f>IF(F133&lt;0,E133,C133)</f>
        <v/>
      </c>
      <c r="D134" s="41">
        <f>IF(F133&lt;0,D133,E133)</f>
        <v/>
      </c>
      <c r="E134" s="41">
        <f>(C134+D134)/2</f>
        <v/>
      </c>
      <c r="F134" s="42">
        <f>-(1-MIN(E134*$C$29+$C$30,sb_gear*$H$13)/$H$13)*$H$12+E134*$H$8+$H$9-MIN(E134*$C$29+$C$30,sb_gear*$H$13)/(E134*$C$29+$C$30)/sb_dscr*(E134*$H$10+$H$11)</f>
        <v/>
      </c>
    </row>
    <row r="135">
      <c r="B135" s="26" t="n">
        <v>39</v>
      </c>
      <c r="C135" s="41">
        <f>IF(F134&lt;0,E134,C134)</f>
        <v/>
      </c>
      <c r="D135" s="41">
        <f>IF(F134&lt;0,D134,E134)</f>
        <v/>
      </c>
      <c r="E135" s="41">
        <f>(C135+D135)/2</f>
        <v/>
      </c>
      <c r="F135" s="42">
        <f>-(1-MIN(E135*$C$29+$C$30,sb_gear*$H$13)/$H$13)*$H$12+E135*$H$8+$H$9-MIN(E135*$C$29+$C$30,sb_gear*$H$13)/(E135*$C$29+$C$30)/sb_dscr*(E135*$H$10+$H$11)</f>
        <v/>
      </c>
    </row>
    <row r="136">
      <c r="B136" s="26" t="n">
        <v>40</v>
      </c>
      <c r="C136" s="41">
        <f>IF(F135&lt;0,E135,C135)</f>
        <v/>
      </c>
      <c r="D136" s="41">
        <f>IF(F135&lt;0,D135,E135)</f>
        <v/>
      </c>
      <c r="E136" s="41">
        <f>(C136+D136)/2</f>
        <v/>
      </c>
      <c r="F136" s="42">
        <f>-(1-MIN(E136*$C$29+$C$30,sb_gear*$H$13)/$H$13)*$H$12+E136*$H$8+$H$9-MIN(E136*$C$29+$C$30,sb_gear*$H$13)/(E136*$C$29+$C$30)/sb_dscr*(E136*$H$10+$H$11)</f>
        <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B2:D42"/>
  <sheetViews>
    <sheetView showGridLines="0" workbookViewId="0">
      <selection activeCell="A1" sqref="A1"/>
    </sheetView>
  </sheetViews>
  <sheetFormatPr baseColWidth="8" defaultRowHeight="15"/>
  <cols>
    <col width="2" customWidth="1" min="1" max="1"/>
    <col width="62" customWidth="1" min="2" max="2"/>
    <col width="14" customWidth="1" min="3" max="3"/>
    <col width="18" customWidth="1" min="4" max="4"/>
  </cols>
  <sheetData>
    <row r="2">
      <c r="B2" s="1" t="inlineStr">
        <is>
          <t>Sorrel Bay: the Authority's view (tariff, levelized cost, public financing, imported water)</t>
        </is>
      </c>
    </row>
    <row r="3">
      <c r="B3" s="5" t="inlineStr">
        <is>
          <t>Basis: pre-tax project; the Authority discounts at its own rate.</t>
        </is>
      </c>
    </row>
    <row r="5">
      <c r="B5" s="6" t="inlineStr">
        <is>
          <t>2030 tariff ($ per m3)</t>
        </is>
      </c>
    </row>
    <row r="6">
      <c r="B6" s="2" t="inlineStr">
        <is>
          <t>Capacity charge per m3 of available capacity</t>
        </is>
      </c>
      <c r="C6" s="38">
        <f>'SB_Finance'!$C$6</f>
        <v/>
      </c>
      <c r="D6" s="5" t="inlineStr">
        <is>
          <t>$ per m3</t>
        </is>
      </c>
    </row>
    <row r="7">
      <c r="B7" s="2" t="inlineStr">
        <is>
          <t>Fixed O&amp;M charge per m3 of available capacity</t>
        </is>
      </c>
      <c r="C7" s="38">
        <f>'SB_Ops'!$D$13</f>
        <v/>
      </c>
      <c r="D7" s="5" t="inlineStr">
        <is>
          <t>$ per m3</t>
        </is>
      </c>
    </row>
    <row r="8">
      <c r="B8" s="2" t="inlineStr">
        <is>
          <t>Energy charge per m3 delivered (guaranteed kWh x 2030 power price)</t>
        </is>
      </c>
      <c r="C8" s="39">
        <f>sb_sec*sb_power/1000</f>
        <v/>
      </c>
      <c r="D8" s="5" t="inlineStr">
        <is>
          <t>$ per m3</t>
        </is>
      </c>
    </row>
    <row r="9">
      <c r="B9" s="2" t="inlineStr">
        <is>
          <t>Chemicals per m3 delivered</t>
        </is>
      </c>
      <c r="C9" s="22">
        <f>sb_chem</f>
        <v/>
      </c>
      <c r="D9" s="5" t="inlineStr">
        <is>
          <t>$ per m3</t>
        </is>
      </c>
    </row>
    <row r="10">
      <c r="B10" s="2" t="inlineStr">
        <is>
          <t>Capacity per m3 delivered (x guarantee / (availability x offtake))</t>
        </is>
      </c>
      <c r="C10" s="22">
        <f>C6*sb_guar/(sb_avail*sb_dispatch)</f>
        <v/>
      </c>
      <c r="D10" s="5" t="inlineStr">
        <is>
          <t>$ per m3</t>
        </is>
      </c>
    </row>
    <row r="11">
      <c r="B11" s="2" t="inlineStr">
        <is>
          <t>Fixed O&amp;M per m3 delivered</t>
        </is>
      </c>
      <c r="C11" s="22">
        <f>C7*sb_guar/(sb_avail*sb_dispatch)</f>
        <v/>
      </c>
      <c r="D11" s="5" t="inlineStr">
        <is>
          <t>$ per m3</t>
        </is>
      </c>
    </row>
    <row r="12">
      <c r="B12" s="3" t="inlineStr">
        <is>
          <t>Total per m3 delivered</t>
        </is>
      </c>
      <c r="C12" s="37">
        <f>C10+C11+C8+C9</f>
        <v/>
      </c>
      <c r="D12" s="5" t="inlineStr">
        <is>
          <t>$ per m3</t>
        </is>
      </c>
    </row>
    <row r="13">
      <c r="B13" s="2" t="inlineStr">
        <is>
          <t>Per acre-foot</t>
        </is>
      </c>
      <c r="C13" s="19">
        <f>C12*u_af</f>
        <v/>
      </c>
      <c r="D13" s="5" t="inlineStr">
        <is>
          <t>$</t>
        </is>
      </c>
    </row>
    <row r="14">
      <c r="B14" s="2" t="inlineStr">
        <is>
          <t>Per 1,000 gallons</t>
        </is>
      </c>
      <c r="C14" s="22">
        <f>C12/u_gal*1000</f>
        <v/>
      </c>
      <c r="D14" s="5" t="inlineStr">
        <is>
          <t>$</t>
        </is>
      </c>
    </row>
    <row r="16">
      <c r="B16" s="6" t="inlineStr">
        <is>
          <t>Energy and emissions</t>
        </is>
      </c>
    </row>
    <row r="17">
      <c r="B17" s="2" t="inlineStr">
        <is>
          <t>Energy a year at the guaranteed kWh per m3</t>
        </is>
      </c>
      <c r="C17" s="19">
        <f>sb_sec*'SB_Capex'!$C$10/1000</f>
        <v/>
      </c>
      <c r="D17" s="5" t="inlineStr">
        <is>
          <t>MWh</t>
        </is>
      </c>
    </row>
    <row r="18">
      <c r="B18" s="2" t="inlineStr">
        <is>
          <t>Energy share of the 2030 tariff per m3 delivered</t>
        </is>
      </c>
      <c r="C18" s="20">
        <f>C8/C12</f>
        <v/>
      </c>
      <c r="D18" s="5" t="inlineStr">
        <is>
          <t>share</t>
        </is>
      </c>
    </row>
    <row r="19">
      <c r="B19" s="2" t="inlineStr">
        <is>
          <t>Energy share of 2030 operating cost</t>
        </is>
      </c>
      <c r="C19" s="20">
        <f>'SB_Ops'!$G$30/'SB_Ops'!$G$33</f>
        <v/>
      </c>
      <c r="D19" s="5" t="inlineStr">
        <is>
          <t>share</t>
        </is>
      </c>
    </row>
    <row r="20">
      <c r="B20" s="2" t="inlineStr">
        <is>
          <t>kg of CO2 per m3 at the case grid factor</t>
        </is>
      </c>
      <c r="C20" s="22">
        <f>sb_sec*pr_grid</f>
        <v/>
      </c>
      <c r="D20" s="5" t="inlineStr">
        <is>
          <t>kg</t>
        </is>
      </c>
    </row>
    <row r="21">
      <c r="B21" s="2" t="inlineStr">
        <is>
          <t>Tonnes of CO2 a year</t>
        </is>
      </c>
      <c r="C21" s="19">
        <f>C17*pr_grid</f>
        <v/>
      </c>
      <c r="D21" s="5" t="inlineStr">
        <is>
          <t>tonnes</t>
        </is>
      </c>
    </row>
    <row r="22">
      <c r="B22" s="2" t="inlineStr">
        <is>
          <t>First major overhaul, nominal</t>
        </is>
      </c>
      <c r="C22" s="23">
        <f>sb_major*(1+sb_cpi)^(sb_major_y1-sb_cod)</f>
        <v/>
      </c>
      <c r="D22" s="5" t="inlineStr">
        <is>
          <t>$ million</t>
        </is>
      </c>
    </row>
    <row r="23">
      <c r="B23" s="2" t="inlineStr">
        <is>
          <t>Second major overhaul, nominal</t>
        </is>
      </c>
      <c r="C23" s="23">
        <f>sb_major*(1+sb_cpi)^(sb_major_y2-sb_cod)</f>
        <v/>
      </c>
      <c r="D23" s="5" t="inlineStr">
        <is>
          <t>$ million</t>
        </is>
      </c>
    </row>
    <row r="25">
      <c r="B25" s="6" t="inlineStr">
        <is>
          <t>Levelized cost of water to the Authority</t>
        </is>
      </c>
    </row>
    <row r="26">
      <c r="B26" s="3" t="inlineStr">
        <is>
          <t>Levelized cost per m3 delivered, 2030 to 2059</t>
        </is>
      </c>
      <c r="C26" s="37">
        <f>SUMPRODUCT('SB_Ops'!$D$28:AJ$28,'SB_Ops'!$D$72:$AJ$72)*1000000/SUMPRODUCT('SB_Ops'!$D$19:AJ$19,'SB_Ops'!$D$72:$AJ$72)</f>
        <v/>
      </c>
      <c r="D26" s="5" t="inlineStr">
        <is>
          <t>$ per m3</t>
        </is>
      </c>
    </row>
    <row r="27">
      <c r="B27" s="2" t="inlineStr">
        <is>
          <t>Per acre-foot</t>
        </is>
      </c>
      <c r="C27" s="19">
        <f>C26*u_af</f>
        <v/>
      </c>
      <c r="D27" s="5" t="inlineStr">
        <is>
          <t>$</t>
        </is>
      </c>
    </row>
    <row r="29">
      <c r="B29" s="6" t="inlineStr">
        <is>
          <t>Public alternative: the Authority builds and finances (design-build-operate)</t>
        </is>
      </c>
    </row>
    <row r="30">
      <c r="B30" s="2" t="inlineStr">
        <is>
          <t>Amount to finance (capital cost less the financing line avoided)</t>
        </is>
      </c>
      <c r="C30" s="23">
        <f>'SB_Capex'!$C$23-sb_cx_fin*sb_pub_avoid</f>
        <v/>
      </c>
      <c r="D30" s="5" t="inlineStr">
        <is>
          <t>$ million</t>
        </is>
      </c>
    </row>
    <row r="31">
      <c r="B31" s="2" t="inlineStr">
        <is>
          <t>Annuity factor, WIFIA</t>
        </is>
      </c>
      <c r="C31" s="41">
        <f>sb_pub_kw/(1-(1+sb_pub_kw)^-sb_pub_nw)</f>
        <v/>
      </c>
    </row>
    <row r="32">
      <c r="B32" s="2" t="inlineStr">
        <is>
          <t>Annuity factor, tax-exempt bonds</t>
        </is>
      </c>
      <c r="C32" s="41">
        <f>sb_pub_km/(1-(1+sb_pub_km)^-sb_pub_nm)</f>
        <v/>
      </c>
    </row>
    <row r="33">
      <c r="B33" s="2" t="inlineStr">
        <is>
          <t>Level debt service a year</t>
        </is>
      </c>
      <c r="C33" s="23">
        <f>C30*sb_pub_wifia*C31+C30*(1-sb_pub_wifia)*C32</f>
        <v/>
      </c>
      <c r="D33" s="5" t="inlineStr">
        <is>
          <t>$ million</t>
        </is>
      </c>
    </row>
    <row r="34">
      <c r="B34" s="2" t="inlineStr">
        <is>
          <t>Per m3 delivered</t>
        </is>
      </c>
      <c r="C34" s="22">
        <f>C33*1000000/'SB_Capex'!$C$10</f>
        <v/>
      </c>
      <c r="D34" s="5" t="inlineStr">
        <is>
          <t>$ per m3</t>
        </is>
      </c>
    </row>
    <row r="35">
      <c r="B35" s="2" t="inlineStr">
        <is>
          <t>Private capacity payments, 2030</t>
        </is>
      </c>
      <c r="C35" s="23">
        <f>'SB_Ops'!$G$22</f>
        <v/>
      </c>
      <c r="D35" s="5" t="inlineStr">
        <is>
          <t>$ million</t>
        </is>
      </c>
    </row>
    <row r="36">
      <c r="B36" s="2" t="inlineStr">
        <is>
          <t>Per m3 delivered</t>
        </is>
      </c>
      <c r="C36" s="22">
        <f>C35*1000000/'SB_Capex'!$C$10</f>
        <v/>
      </c>
      <c r="D36" s="5" t="inlineStr">
        <is>
          <t>$ per m3</t>
        </is>
      </c>
    </row>
    <row r="37">
      <c r="B37" s="3" t="inlineStr">
        <is>
          <t>Private structure costs more by</t>
        </is>
      </c>
      <c r="C37" s="24">
        <f>C35-C33</f>
        <v/>
      </c>
      <c r="D37" s="5" t="inlineStr">
        <is>
          <t>$ million a year</t>
        </is>
      </c>
    </row>
    <row r="39">
      <c r="B39" s="6" t="inlineStr">
        <is>
          <t>Imported water alternative</t>
        </is>
      </c>
    </row>
    <row r="40">
      <c r="B40" s="2" t="inlineStr">
        <is>
          <t>Sorrel Bay cost per acre-foot, 2030</t>
        </is>
      </c>
      <c r="C40" s="19">
        <f>'SB_Ops'!$G$73</f>
        <v/>
      </c>
      <c r="D40" s="5" t="inlineStr">
        <is>
          <t>$</t>
        </is>
      </c>
    </row>
    <row r="41">
      <c r="B41" s="2" t="inlineStr">
        <is>
          <t>Sorrel Bay cost per acre-foot, 2040</t>
        </is>
      </c>
      <c r="C41" s="19">
        <f>'SB_Ops'!$Q$73</f>
        <v/>
      </c>
      <c r="D41" s="5" t="inlineStr">
        <is>
          <t>$</t>
        </is>
      </c>
    </row>
    <row r="42">
      <c r="B42" s="2" t="inlineStr">
        <is>
          <t>First year imported water costs more</t>
        </is>
      </c>
      <c r="C42" s="26">
        <f>MIN('SB_Ops'!$D$75:$AJ$75)</f>
        <v/>
      </c>
      <c r="D42" s="5" t="inlineStr">
        <is>
          <t>year</t>
        </is>
      </c>
    </row>
  </sheetData>
  <pageMargins left="0.75" right="0.75" top="1" bottom="1" header="0.5" footer="0.5"/>
  <drawing xmlns:r="http://schemas.openxmlformats.org/officeDocument/2006/relationships" r:id="rId1"/>
</worksheet>
</file>

<file path=xl/worksheets/sheet18.xml><?xml version="1.0" encoding="utf-8"?>
<worksheet xmlns="http://schemas.openxmlformats.org/spreadsheetml/2006/main">
  <sheetPr>
    <outlinePr summaryBelow="1" summaryRight="1"/>
    <pageSetUpPr/>
  </sheetPr>
  <dimension ref="B2:Y26"/>
  <sheetViews>
    <sheetView showGridLines="0" workbookViewId="0">
      <selection activeCell="A1" sqref="A1"/>
    </sheetView>
  </sheetViews>
  <sheetFormatPr baseColWidth="8" defaultRowHeight="15"/>
  <cols>
    <col width="2" customWidth="1" min="1" max="1"/>
    <col width="50" customWidth="1" min="2" max="2"/>
    <col width="11"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 width="9" customWidth="1" min="23" max="23"/>
    <col width="9" customWidth="1" min="24" max="24"/>
    <col width="9" customWidth="1" min="25" max="25"/>
  </cols>
  <sheetData>
    <row r="2">
      <c r="B2" s="1" t="inlineStr">
        <is>
          <t>Halcyon Ridge: the reclaimed water contract ($ million)</t>
        </is>
      </c>
    </row>
    <row r="3">
      <c r="B3" s="5" t="inlineStr">
        <is>
          <t>Basis: unlevered, before tax, Pell River's unregulated affiliate. Flows at each year end, t = 0 is 31 December 2027.</t>
        </is>
      </c>
    </row>
    <row r="5">
      <c r="B5" s="2" t="inlineStr">
        <is>
          <t>Year</t>
        </is>
      </c>
      <c r="D5" s="18">
        <f>pr_close+1+0</f>
        <v/>
      </c>
      <c r="E5" s="18">
        <f>D5+1</f>
        <v/>
      </c>
      <c r="F5" s="18">
        <f>E5+1</f>
        <v/>
      </c>
      <c r="G5" s="18">
        <f>F5+1</f>
        <v/>
      </c>
      <c r="H5" s="18">
        <f>G5+1</f>
        <v/>
      </c>
      <c r="I5" s="18">
        <f>H5+1</f>
        <v/>
      </c>
      <c r="J5" s="18">
        <f>I5+1</f>
        <v/>
      </c>
      <c r="K5" s="18">
        <f>J5+1</f>
        <v/>
      </c>
      <c r="L5" s="18">
        <f>K5+1</f>
        <v/>
      </c>
      <c r="M5" s="18">
        <f>L5+1</f>
        <v/>
      </c>
      <c r="N5" s="18">
        <f>M5+1</f>
        <v/>
      </c>
      <c r="O5" s="18">
        <f>N5+1</f>
        <v/>
      </c>
      <c r="P5" s="18">
        <f>O5+1</f>
        <v/>
      </c>
      <c r="Q5" s="18">
        <f>P5+1</f>
        <v/>
      </c>
      <c r="R5" s="18">
        <f>Q5+1</f>
        <v/>
      </c>
      <c r="S5" s="18">
        <f>R5+1</f>
        <v/>
      </c>
      <c r="T5" s="18">
        <f>S5+1</f>
        <v/>
      </c>
      <c r="U5" s="18">
        <f>T5+1</f>
        <v/>
      </c>
      <c r="V5" s="18">
        <f>U5+1</f>
        <v/>
      </c>
      <c r="W5" s="18">
        <f>V5+1</f>
        <v/>
      </c>
      <c r="X5" s="18">
        <f>W5+1</f>
        <v/>
      </c>
      <c r="Y5" s="18">
        <f>X5+1</f>
        <v/>
      </c>
    </row>
    <row r="6">
      <c r="B6" s="2" t="inlineStr">
        <is>
          <t>Contract year index</t>
        </is>
      </c>
      <c r="D6" s="26">
        <f>D5-hal_start</f>
        <v/>
      </c>
      <c r="E6" s="26">
        <f>E5-hal_start</f>
        <v/>
      </c>
      <c r="F6" s="26">
        <f>F5-hal_start</f>
        <v/>
      </c>
      <c r="G6" s="26">
        <f>G5-hal_start</f>
        <v/>
      </c>
      <c r="H6" s="26">
        <f>H5-hal_start</f>
        <v/>
      </c>
      <c r="I6" s="26">
        <f>I5-hal_start</f>
        <v/>
      </c>
      <c r="J6" s="26">
        <f>J5-hal_start</f>
        <v/>
      </c>
      <c r="K6" s="26">
        <f>K5-hal_start</f>
        <v/>
      </c>
      <c r="L6" s="26">
        <f>L5-hal_start</f>
        <v/>
      </c>
      <c r="M6" s="26">
        <f>M5-hal_start</f>
        <v/>
      </c>
      <c r="N6" s="26">
        <f>N5-hal_start</f>
        <v/>
      </c>
      <c r="O6" s="26">
        <f>O5-hal_start</f>
        <v/>
      </c>
      <c r="P6" s="26">
        <f>P5-hal_start</f>
        <v/>
      </c>
      <c r="Q6" s="26">
        <f>Q5-hal_start</f>
        <v/>
      </c>
      <c r="R6" s="26">
        <f>R5-hal_start</f>
        <v/>
      </c>
      <c r="S6" s="26">
        <f>S5-hal_start</f>
        <v/>
      </c>
      <c r="T6" s="26">
        <f>T5-hal_start</f>
        <v/>
      </c>
      <c r="U6" s="26">
        <f>U5-hal_start</f>
        <v/>
      </c>
      <c r="V6" s="26">
        <f>V5-hal_start</f>
        <v/>
      </c>
      <c r="W6" s="26">
        <f>W5-hal_start</f>
        <v/>
      </c>
      <c r="X6" s="26">
        <f>X5-hal_start</f>
        <v/>
      </c>
      <c r="Y6" s="26">
        <f>Y5-hal_start</f>
        <v/>
      </c>
    </row>
    <row r="7">
      <c r="B7" s="6" t="inlineStr">
        <is>
          <t>Average take</t>
        </is>
      </c>
    </row>
    <row r="8">
      <c r="B8" s="2" t="inlineStr">
        <is>
          <t>Revenue</t>
        </is>
      </c>
      <c r="D8" s="22">
        <f>IF(AND(D5&gt;=hal_start,D5&lt;hal_start+hal_years),MAX(hal_avg,hal_min)*1000*365*hal_price*(1+hal_price_esc)^D6/1000000+hal_fee,0)</f>
        <v/>
      </c>
      <c r="E8" s="22">
        <f>IF(AND(E5&gt;=hal_start,E5&lt;hal_start+hal_years),MAX(hal_avg,hal_min)*1000*365*hal_price*(1+hal_price_esc)^E6/1000000+hal_fee,0)</f>
        <v/>
      </c>
      <c r="F8" s="22">
        <f>IF(AND(F5&gt;=hal_start,F5&lt;hal_start+hal_years),MAX(hal_avg,hal_min)*1000*365*hal_price*(1+hal_price_esc)^F6/1000000+hal_fee,0)</f>
        <v/>
      </c>
      <c r="G8" s="22">
        <f>IF(AND(G5&gt;=hal_start,G5&lt;hal_start+hal_years),MAX(hal_avg,hal_min)*1000*365*hal_price*(1+hal_price_esc)^G6/1000000+hal_fee,0)</f>
        <v/>
      </c>
      <c r="H8" s="22">
        <f>IF(AND(H5&gt;=hal_start,H5&lt;hal_start+hal_years),MAX(hal_avg,hal_min)*1000*365*hal_price*(1+hal_price_esc)^H6/1000000+hal_fee,0)</f>
        <v/>
      </c>
      <c r="I8" s="22">
        <f>IF(AND(I5&gt;=hal_start,I5&lt;hal_start+hal_years),MAX(hal_avg,hal_min)*1000*365*hal_price*(1+hal_price_esc)^I6/1000000+hal_fee,0)</f>
        <v/>
      </c>
      <c r="J8" s="22">
        <f>IF(AND(J5&gt;=hal_start,J5&lt;hal_start+hal_years),MAX(hal_avg,hal_min)*1000*365*hal_price*(1+hal_price_esc)^J6/1000000+hal_fee,0)</f>
        <v/>
      </c>
      <c r="K8" s="22">
        <f>IF(AND(K5&gt;=hal_start,K5&lt;hal_start+hal_years),MAX(hal_avg,hal_min)*1000*365*hal_price*(1+hal_price_esc)^K6/1000000+hal_fee,0)</f>
        <v/>
      </c>
      <c r="L8" s="22">
        <f>IF(AND(L5&gt;=hal_start,L5&lt;hal_start+hal_years),MAX(hal_avg,hal_min)*1000*365*hal_price*(1+hal_price_esc)^L6/1000000+hal_fee,0)</f>
        <v/>
      </c>
      <c r="M8" s="22">
        <f>IF(AND(M5&gt;=hal_start,M5&lt;hal_start+hal_years),MAX(hal_avg,hal_min)*1000*365*hal_price*(1+hal_price_esc)^M6/1000000+hal_fee,0)</f>
        <v/>
      </c>
      <c r="N8" s="22">
        <f>IF(AND(N5&gt;=hal_start,N5&lt;hal_start+hal_years),MAX(hal_avg,hal_min)*1000*365*hal_price*(1+hal_price_esc)^N6/1000000+hal_fee,0)</f>
        <v/>
      </c>
      <c r="O8" s="22">
        <f>IF(AND(O5&gt;=hal_start,O5&lt;hal_start+hal_years),MAX(hal_avg,hal_min)*1000*365*hal_price*(1+hal_price_esc)^O6/1000000+hal_fee,0)</f>
        <v/>
      </c>
      <c r="P8" s="22">
        <f>IF(AND(P5&gt;=hal_start,P5&lt;hal_start+hal_years),MAX(hal_avg,hal_min)*1000*365*hal_price*(1+hal_price_esc)^P6/1000000+hal_fee,0)</f>
        <v/>
      </c>
      <c r="Q8" s="22">
        <f>IF(AND(Q5&gt;=hal_start,Q5&lt;hal_start+hal_years),MAX(hal_avg,hal_min)*1000*365*hal_price*(1+hal_price_esc)^Q6/1000000+hal_fee,0)</f>
        <v/>
      </c>
      <c r="R8" s="22">
        <f>IF(AND(R5&gt;=hal_start,R5&lt;hal_start+hal_years),MAX(hal_avg,hal_min)*1000*365*hal_price*(1+hal_price_esc)^R6/1000000+hal_fee,0)</f>
        <v/>
      </c>
      <c r="S8" s="22">
        <f>IF(AND(S5&gt;=hal_start,S5&lt;hal_start+hal_years),MAX(hal_avg,hal_min)*1000*365*hal_price*(1+hal_price_esc)^S6/1000000+hal_fee,0)</f>
        <v/>
      </c>
      <c r="T8" s="22">
        <f>IF(AND(T5&gt;=hal_start,T5&lt;hal_start+hal_years),MAX(hal_avg,hal_min)*1000*365*hal_price*(1+hal_price_esc)^T6/1000000+hal_fee,0)</f>
        <v/>
      </c>
      <c r="U8" s="22">
        <f>IF(AND(U5&gt;=hal_start,U5&lt;hal_start+hal_years),MAX(hal_avg,hal_min)*1000*365*hal_price*(1+hal_price_esc)^U6/1000000+hal_fee,0)</f>
        <v/>
      </c>
      <c r="V8" s="22">
        <f>IF(AND(V5&gt;=hal_start,V5&lt;hal_start+hal_years),MAX(hal_avg,hal_min)*1000*365*hal_price*(1+hal_price_esc)^V6/1000000+hal_fee,0)</f>
        <v/>
      </c>
      <c r="W8" s="22">
        <f>IF(AND(W5&gt;=hal_start,W5&lt;hal_start+hal_years),MAX(hal_avg,hal_min)*1000*365*hal_price*(1+hal_price_esc)^W6/1000000+hal_fee,0)</f>
        <v/>
      </c>
      <c r="X8" s="22">
        <f>IF(AND(X5&gt;=hal_start,X5&lt;hal_start+hal_years),MAX(hal_avg,hal_min)*1000*365*hal_price*(1+hal_price_esc)^X6/1000000+hal_fee,0)</f>
        <v/>
      </c>
      <c r="Y8" s="22">
        <f>IF(AND(Y5&gt;=hal_start,Y5&lt;hal_start+hal_years),MAX(hal_avg,hal_min)*1000*365*hal_price*(1+hal_price_esc)^Y6/1000000+hal_fee,0)</f>
        <v/>
      </c>
    </row>
    <row r="9">
      <c r="B9" s="2" t="inlineStr">
        <is>
          <t>Operating cost</t>
        </is>
      </c>
      <c r="D9" s="22">
        <f>IF(AND(D5&gt;=hal_start,D5&lt;hal_start+hal_years),hal_fom*(1+hal_cost_esc)^D6+hal_avg*1000*365*hal_var*(1+hal_cost_esc)^D6/1000000,0)</f>
        <v/>
      </c>
      <c r="E9" s="22">
        <f>IF(AND(E5&gt;=hal_start,E5&lt;hal_start+hal_years),hal_fom*(1+hal_cost_esc)^E6+hal_avg*1000*365*hal_var*(1+hal_cost_esc)^E6/1000000,0)</f>
        <v/>
      </c>
      <c r="F9" s="22">
        <f>IF(AND(F5&gt;=hal_start,F5&lt;hal_start+hal_years),hal_fom*(1+hal_cost_esc)^F6+hal_avg*1000*365*hal_var*(1+hal_cost_esc)^F6/1000000,0)</f>
        <v/>
      </c>
      <c r="G9" s="22">
        <f>IF(AND(G5&gt;=hal_start,G5&lt;hal_start+hal_years),hal_fom*(1+hal_cost_esc)^G6+hal_avg*1000*365*hal_var*(1+hal_cost_esc)^G6/1000000,0)</f>
        <v/>
      </c>
      <c r="H9" s="22">
        <f>IF(AND(H5&gt;=hal_start,H5&lt;hal_start+hal_years),hal_fom*(1+hal_cost_esc)^H6+hal_avg*1000*365*hal_var*(1+hal_cost_esc)^H6/1000000,0)</f>
        <v/>
      </c>
      <c r="I9" s="22">
        <f>IF(AND(I5&gt;=hal_start,I5&lt;hal_start+hal_years),hal_fom*(1+hal_cost_esc)^I6+hal_avg*1000*365*hal_var*(1+hal_cost_esc)^I6/1000000,0)</f>
        <v/>
      </c>
      <c r="J9" s="22">
        <f>IF(AND(J5&gt;=hal_start,J5&lt;hal_start+hal_years),hal_fom*(1+hal_cost_esc)^J6+hal_avg*1000*365*hal_var*(1+hal_cost_esc)^J6/1000000,0)</f>
        <v/>
      </c>
      <c r="K9" s="22">
        <f>IF(AND(K5&gt;=hal_start,K5&lt;hal_start+hal_years),hal_fom*(1+hal_cost_esc)^K6+hal_avg*1000*365*hal_var*(1+hal_cost_esc)^K6/1000000,0)</f>
        <v/>
      </c>
      <c r="L9" s="22">
        <f>IF(AND(L5&gt;=hal_start,L5&lt;hal_start+hal_years),hal_fom*(1+hal_cost_esc)^L6+hal_avg*1000*365*hal_var*(1+hal_cost_esc)^L6/1000000,0)</f>
        <v/>
      </c>
      <c r="M9" s="22">
        <f>IF(AND(M5&gt;=hal_start,M5&lt;hal_start+hal_years),hal_fom*(1+hal_cost_esc)^M6+hal_avg*1000*365*hal_var*(1+hal_cost_esc)^M6/1000000,0)</f>
        <v/>
      </c>
      <c r="N9" s="22">
        <f>IF(AND(N5&gt;=hal_start,N5&lt;hal_start+hal_years),hal_fom*(1+hal_cost_esc)^N6+hal_avg*1000*365*hal_var*(1+hal_cost_esc)^N6/1000000,0)</f>
        <v/>
      </c>
      <c r="O9" s="22">
        <f>IF(AND(O5&gt;=hal_start,O5&lt;hal_start+hal_years),hal_fom*(1+hal_cost_esc)^O6+hal_avg*1000*365*hal_var*(1+hal_cost_esc)^O6/1000000,0)</f>
        <v/>
      </c>
      <c r="P9" s="22">
        <f>IF(AND(P5&gt;=hal_start,P5&lt;hal_start+hal_years),hal_fom*(1+hal_cost_esc)^P6+hal_avg*1000*365*hal_var*(1+hal_cost_esc)^P6/1000000,0)</f>
        <v/>
      </c>
      <c r="Q9" s="22">
        <f>IF(AND(Q5&gt;=hal_start,Q5&lt;hal_start+hal_years),hal_fom*(1+hal_cost_esc)^Q6+hal_avg*1000*365*hal_var*(1+hal_cost_esc)^Q6/1000000,0)</f>
        <v/>
      </c>
      <c r="R9" s="22">
        <f>IF(AND(R5&gt;=hal_start,R5&lt;hal_start+hal_years),hal_fom*(1+hal_cost_esc)^R6+hal_avg*1000*365*hal_var*(1+hal_cost_esc)^R6/1000000,0)</f>
        <v/>
      </c>
      <c r="S9" s="22">
        <f>IF(AND(S5&gt;=hal_start,S5&lt;hal_start+hal_years),hal_fom*(1+hal_cost_esc)^S6+hal_avg*1000*365*hal_var*(1+hal_cost_esc)^S6/1000000,0)</f>
        <v/>
      </c>
      <c r="T9" s="22">
        <f>IF(AND(T5&gt;=hal_start,T5&lt;hal_start+hal_years),hal_fom*(1+hal_cost_esc)^T6+hal_avg*1000*365*hal_var*(1+hal_cost_esc)^T6/1000000,0)</f>
        <v/>
      </c>
      <c r="U9" s="22">
        <f>IF(AND(U5&gt;=hal_start,U5&lt;hal_start+hal_years),hal_fom*(1+hal_cost_esc)^U6+hal_avg*1000*365*hal_var*(1+hal_cost_esc)^U6/1000000,0)</f>
        <v/>
      </c>
      <c r="V9" s="22">
        <f>IF(AND(V5&gt;=hal_start,V5&lt;hal_start+hal_years),hal_fom*(1+hal_cost_esc)^V6+hal_avg*1000*365*hal_var*(1+hal_cost_esc)^V6/1000000,0)</f>
        <v/>
      </c>
      <c r="W9" s="22">
        <f>IF(AND(W5&gt;=hal_start,W5&lt;hal_start+hal_years),hal_fom*(1+hal_cost_esc)^W6+hal_avg*1000*365*hal_var*(1+hal_cost_esc)^W6/1000000,0)</f>
        <v/>
      </c>
      <c r="X9" s="22">
        <f>IF(AND(X5&gt;=hal_start,X5&lt;hal_start+hal_years),hal_fom*(1+hal_cost_esc)^X6+hal_avg*1000*365*hal_var*(1+hal_cost_esc)^X6/1000000,0)</f>
        <v/>
      </c>
      <c r="Y9" s="22">
        <f>IF(AND(Y5&gt;=hal_start,Y5&lt;hal_start+hal_years),hal_fom*(1+hal_cost_esc)^Y6+hal_avg*1000*365*hal_var*(1+hal_cost_esc)^Y6/1000000,0)</f>
        <v/>
      </c>
    </row>
    <row r="10">
      <c r="B10" s="3" t="inlineStr">
        <is>
          <t>Cash flow (after capital cost)</t>
        </is>
      </c>
      <c r="D10" s="37">
        <f>D8-D9-IF(D5=pr_close+1,hal_cx1,IF(D5=pr_close+2,hal_cx2,0))</f>
        <v/>
      </c>
      <c r="E10" s="37">
        <f>E8-E9-IF(E5=pr_close+1,hal_cx1,IF(E5=pr_close+2,hal_cx2,0))</f>
        <v/>
      </c>
      <c r="F10" s="37">
        <f>F8-F9-IF(F5=pr_close+1,hal_cx1,IF(F5=pr_close+2,hal_cx2,0))</f>
        <v/>
      </c>
      <c r="G10" s="37">
        <f>G8-G9-IF(G5=pr_close+1,hal_cx1,IF(G5=pr_close+2,hal_cx2,0))</f>
        <v/>
      </c>
      <c r="H10" s="37">
        <f>H8-H9-IF(H5=pr_close+1,hal_cx1,IF(H5=pr_close+2,hal_cx2,0))</f>
        <v/>
      </c>
      <c r="I10" s="37">
        <f>I8-I9-IF(I5=pr_close+1,hal_cx1,IF(I5=pr_close+2,hal_cx2,0))</f>
        <v/>
      </c>
      <c r="J10" s="37">
        <f>J8-J9-IF(J5=pr_close+1,hal_cx1,IF(J5=pr_close+2,hal_cx2,0))</f>
        <v/>
      </c>
      <c r="K10" s="37">
        <f>K8-K9-IF(K5=pr_close+1,hal_cx1,IF(K5=pr_close+2,hal_cx2,0))</f>
        <v/>
      </c>
      <c r="L10" s="37">
        <f>L8-L9-IF(L5=pr_close+1,hal_cx1,IF(L5=pr_close+2,hal_cx2,0))</f>
        <v/>
      </c>
      <c r="M10" s="37">
        <f>M8-M9-IF(M5=pr_close+1,hal_cx1,IF(M5=pr_close+2,hal_cx2,0))</f>
        <v/>
      </c>
      <c r="N10" s="37">
        <f>N8-N9-IF(N5=pr_close+1,hal_cx1,IF(N5=pr_close+2,hal_cx2,0))</f>
        <v/>
      </c>
      <c r="O10" s="37">
        <f>O8-O9-IF(O5=pr_close+1,hal_cx1,IF(O5=pr_close+2,hal_cx2,0))</f>
        <v/>
      </c>
      <c r="P10" s="37">
        <f>P8-P9-IF(P5=pr_close+1,hal_cx1,IF(P5=pr_close+2,hal_cx2,0))</f>
        <v/>
      </c>
      <c r="Q10" s="37">
        <f>Q8-Q9-IF(Q5=pr_close+1,hal_cx1,IF(Q5=pr_close+2,hal_cx2,0))</f>
        <v/>
      </c>
      <c r="R10" s="37">
        <f>R8-R9-IF(R5=pr_close+1,hal_cx1,IF(R5=pr_close+2,hal_cx2,0))</f>
        <v/>
      </c>
      <c r="S10" s="37">
        <f>S8-S9-IF(S5=pr_close+1,hal_cx1,IF(S5=pr_close+2,hal_cx2,0))</f>
        <v/>
      </c>
      <c r="T10" s="37">
        <f>T8-T9-IF(T5=pr_close+1,hal_cx1,IF(T5=pr_close+2,hal_cx2,0))</f>
        <v/>
      </c>
      <c r="U10" s="37">
        <f>U8-U9-IF(U5=pr_close+1,hal_cx1,IF(U5=pr_close+2,hal_cx2,0))</f>
        <v/>
      </c>
      <c r="V10" s="37">
        <f>V8-V9-IF(V5=pr_close+1,hal_cx1,IF(V5=pr_close+2,hal_cx2,0))</f>
        <v/>
      </c>
      <c r="W10" s="37">
        <f>W8-W9-IF(W5=pr_close+1,hal_cx1,IF(W5=pr_close+2,hal_cx2,0))</f>
        <v/>
      </c>
      <c r="X10" s="37">
        <f>X8-X9-IF(X5=pr_close+1,hal_cx1,IF(X5=pr_close+2,hal_cx2,0))</f>
        <v/>
      </c>
      <c r="Y10" s="37">
        <f>Y8-Y9-IF(Y5=pr_close+1,hal_cx1,IF(Y5=pr_close+2,hal_cx2,0))</f>
        <v/>
      </c>
    </row>
    <row r="11">
      <c r="B11" s="6" t="inlineStr">
        <is>
          <t>Minimum take only</t>
        </is>
      </c>
    </row>
    <row r="12">
      <c r="B12" s="2" t="inlineStr">
        <is>
          <t>Revenue</t>
        </is>
      </c>
      <c r="D12" s="22">
        <f>IF(AND(D5&gt;=hal_start,D5&lt;hal_start+hal_years),MAX(hal_min,hal_min)*1000*365*hal_price*(1+hal_price_esc)^D6/1000000+hal_fee,0)</f>
        <v/>
      </c>
      <c r="E12" s="22">
        <f>IF(AND(E5&gt;=hal_start,E5&lt;hal_start+hal_years),MAX(hal_min,hal_min)*1000*365*hal_price*(1+hal_price_esc)^E6/1000000+hal_fee,0)</f>
        <v/>
      </c>
      <c r="F12" s="22">
        <f>IF(AND(F5&gt;=hal_start,F5&lt;hal_start+hal_years),MAX(hal_min,hal_min)*1000*365*hal_price*(1+hal_price_esc)^F6/1000000+hal_fee,0)</f>
        <v/>
      </c>
      <c r="G12" s="22">
        <f>IF(AND(G5&gt;=hal_start,G5&lt;hal_start+hal_years),MAX(hal_min,hal_min)*1000*365*hal_price*(1+hal_price_esc)^G6/1000000+hal_fee,0)</f>
        <v/>
      </c>
      <c r="H12" s="22">
        <f>IF(AND(H5&gt;=hal_start,H5&lt;hal_start+hal_years),MAX(hal_min,hal_min)*1000*365*hal_price*(1+hal_price_esc)^H6/1000000+hal_fee,0)</f>
        <v/>
      </c>
      <c r="I12" s="22">
        <f>IF(AND(I5&gt;=hal_start,I5&lt;hal_start+hal_years),MAX(hal_min,hal_min)*1000*365*hal_price*(1+hal_price_esc)^I6/1000000+hal_fee,0)</f>
        <v/>
      </c>
      <c r="J12" s="22">
        <f>IF(AND(J5&gt;=hal_start,J5&lt;hal_start+hal_years),MAX(hal_min,hal_min)*1000*365*hal_price*(1+hal_price_esc)^J6/1000000+hal_fee,0)</f>
        <v/>
      </c>
      <c r="K12" s="22">
        <f>IF(AND(K5&gt;=hal_start,K5&lt;hal_start+hal_years),MAX(hal_min,hal_min)*1000*365*hal_price*(1+hal_price_esc)^K6/1000000+hal_fee,0)</f>
        <v/>
      </c>
      <c r="L12" s="22">
        <f>IF(AND(L5&gt;=hal_start,L5&lt;hal_start+hal_years),MAX(hal_min,hal_min)*1000*365*hal_price*(1+hal_price_esc)^L6/1000000+hal_fee,0)</f>
        <v/>
      </c>
      <c r="M12" s="22">
        <f>IF(AND(M5&gt;=hal_start,M5&lt;hal_start+hal_years),MAX(hal_min,hal_min)*1000*365*hal_price*(1+hal_price_esc)^M6/1000000+hal_fee,0)</f>
        <v/>
      </c>
      <c r="N12" s="22">
        <f>IF(AND(N5&gt;=hal_start,N5&lt;hal_start+hal_years),MAX(hal_min,hal_min)*1000*365*hal_price*(1+hal_price_esc)^N6/1000000+hal_fee,0)</f>
        <v/>
      </c>
      <c r="O12" s="22">
        <f>IF(AND(O5&gt;=hal_start,O5&lt;hal_start+hal_years),MAX(hal_min,hal_min)*1000*365*hal_price*(1+hal_price_esc)^O6/1000000+hal_fee,0)</f>
        <v/>
      </c>
      <c r="P12" s="22">
        <f>IF(AND(P5&gt;=hal_start,P5&lt;hal_start+hal_years),MAX(hal_min,hal_min)*1000*365*hal_price*(1+hal_price_esc)^P6/1000000+hal_fee,0)</f>
        <v/>
      </c>
      <c r="Q12" s="22">
        <f>IF(AND(Q5&gt;=hal_start,Q5&lt;hal_start+hal_years),MAX(hal_min,hal_min)*1000*365*hal_price*(1+hal_price_esc)^Q6/1000000+hal_fee,0)</f>
        <v/>
      </c>
      <c r="R12" s="22">
        <f>IF(AND(R5&gt;=hal_start,R5&lt;hal_start+hal_years),MAX(hal_min,hal_min)*1000*365*hal_price*(1+hal_price_esc)^R6/1000000+hal_fee,0)</f>
        <v/>
      </c>
      <c r="S12" s="22">
        <f>IF(AND(S5&gt;=hal_start,S5&lt;hal_start+hal_years),MAX(hal_min,hal_min)*1000*365*hal_price*(1+hal_price_esc)^S6/1000000+hal_fee,0)</f>
        <v/>
      </c>
      <c r="T12" s="22">
        <f>IF(AND(T5&gt;=hal_start,T5&lt;hal_start+hal_years),MAX(hal_min,hal_min)*1000*365*hal_price*(1+hal_price_esc)^T6/1000000+hal_fee,0)</f>
        <v/>
      </c>
      <c r="U12" s="22">
        <f>IF(AND(U5&gt;=hal_start,U5&lt;hal_start+hal_years),MAX(hal_min,hal_min)*1000*365*hal_price*(1+hal_price_esc)^U6/1000000+hal_fee,0)</f>
        <v/>
      </c>
      <c r="V12" s="22">
        <f>IF(AND(V5&gt;=hal_start,V5&lt;hal_start+hal_years),MAX(hal_min,hal_min)*1000*365*hal_price*(1+hal_price_esc)^V6/1000000+hal_fee,0)</f>
        <v/>
      </c>
      <c r="W12" s="22">
        <f>IF(AND(W5&gt;=hal_start,W5&lt;hal_start+hal_years),MAX(hal_min,hal_min)*1000*365*hal_price*(1+hal_price_esc)^W6/1000000+hal_fee,0)</f>
        <v/>
      </c>
      <c r="X12" s="22">
        <f>IF(AND(X5&gt;=hal_start,X5&lt;hal_start+hal_years),MAX(hal_min,hal_min)*1000*365*hal_price*(1+hal_price_esc)^X6/1000000+hal_fee,0)</f>
        <v/>
      </c>
      <c r="Y12" s="22">
        <f>IF(AND(Y5&gt;=hal_start,Y5&lt;hal_start+hal_years),MAX(hal_min,hal_min)*1000*365*hal_price*(1+hal_price_esc)^Y6/1000000+hal_fee,0)</f>
        <v/>
      </c>
    </row>
    <row r="13">
      <c r="B13" s="2" t="inlineStr">
        <is>
          <t>Operating cost</t>
        </is>
      </c>
      <c r="D13" s="22">
        <f>IF(AND(D5&gt;=hal_start,D5&lt;hal_start+hal_years),hal_fom*(1+hal_cost_esc)^D6+hal_min*1000*365*hal_var*(1+hal_cost_esc)^D6/1000000,0)</f>
        <v/>
      </c>
      <c r="E13" s="22">
        <f>IF(AND(E5&gt;=hal_start,E5&lt;hal_start+hal_years),hal_fom*(1+hal_cost_esc)^E6+hal_min*1000*365*hal_var*(1+hal_cost_esc)^E6/1000000,0)</f>
        <v/>
      </c>
      <c r="F13" s="22">
        <f>IF(AND(F5&gt;=hal_start,F5&lt;hal_start+hal_years),hal_fom*(1+hal_cost_esc)^F6+hal_min*1000*365*hal_var*(1+hal_cost_esc)^F6/1000000,0)</f>
        <v/>
      </c>
      <c r="G13" s="22">
        <f>IF(AND(G5&gt;=hal_start,G5&lt;hal_start+hal_years),hal_fom*(1+hal_cost_esc)^G6+hal_min*1000*365*hal_var*(1+hal_cost_esc)^G6/1000000,0)</f>
        <v/>
      </c>
      <c r="H13" s="22">
        <f>IF(AND(H5&gt;=hal_start,H5&lt;hal_start+hal_years),hal_fom*(1+hal_cost_esc)^H6+hal_min*1000*365*hal_var*(1+hal_cost_esc)^H6/1000000,0)</f>
        <v/>
      </c>
      <c r="I13" s="22">
        <f>IF(AND(I5&gt;=hal_start,I5&lt;hal_start+hal_years),hal_fom*(1+hal_cost_esc)^I6+hal_min*1000*365*hal_var*(1+hal_cost_esc)^I6/1000000,0)</f>
        <v/>
      </c>
      <c r="J13" s="22">
        <f>IF(AND(J5&gt;=hal_start,J5&lt;hal_start+hal_years),hal_fom*(1+hal_cost_esc)^J6+hal_min*1000*365*hal_var*(1+hal_cost_esc)^J6/1000000,0)</f>
        <v/>
      </c>
      <c r="K13" s="22">
        <f>IF(AND(K5&gt;=hal_start,K5&lt;hal_start+hal_years),hal_fom*(1+hal_cost_esc)^K6+hal_min*1000*365*hal_var*(1+hal_cost_esc)^K6/1000000,0)</f>
        <v/>
      </c>
      <c r="L13" s="22">
        <f>IF(AND(L5&gt;=hal_start,L5&lt;hal_start+hal_years),hal_fom*(1+hal_cost_esc)^L6+hal_min*1000*365*hal_var*(1+hal_cost_esc)^L6/1000000,0)</f>
        <v/>
      </c>
      <c r="M13" s="22">
        <f>IF(AND(M5&gt;=hal_start,M5&lt;hal_start+hal_years),hal_fom*(1+hal_cost_esc)^M6+hal_min*1000*365*hal_var*(1+hal_cost_esc)^M6/1000000,0)</f>
        <v/>
      </c>
      <c r="N13" s="22">
        <f>IF(AND(N5&gt;=hal_start,N5&lt;hal_start+hal_years),hal_fom*(1+hal_cost_esc)^N6+hal_min*1000*365*hal_var*(1+hal_cost_esc)^N6/1000000,0)</f>
        <v/>
      </c>
      <c r="O13" s="22">
        <f>IF(AND(O5&gt;=hal_start,O5&lt;hal_start+hal_years),hal_fom*(1+hal_cost_esc)^O6+hal_min*1000*365*hal_var*(1+hal_cost_esc)^O6/1000000,0)</f>
        <v/>
      </c>
      <c r="P13" s="22">
        <f>IF(AND(P5&gt;=hal_start,P5&lt;hal_start+hal_years),hal_fom*(1+hal_cost_esc)^P6+hal_min*1000*365*hal_var*(1+hal_cost_esc)^P6/1000000,0)</f>
        <v/>
      </c>
      <c r="Q13" s="22">
        <f>IF(AND(Q5&gt;=hal_start,Q5&lt;hal_start+hal_years),hal_fom*(1+hal_cost_esc)^Q6+hal_min*1000*365*hal_var*(1+hal_cost_esc)^Q6/1000000,0)</f>
        <v/>
      </c>
      <c r="R13" s="22">
        <f>IF(AND(R5&gt;=hal_start,R5&lt;hal_start+hal_years),hal_fom*(1+hal_cost_esc)^R6+hal_min*1000*365*hal_var*(1+hal_cost_esc)^R6/1000000,0)</f>
        <v/>
      </c>
      <c r="S13" s="22">
        <f>IF(AND(S5&gt;=hal_start,S5&lt;hal_start+hal_years),hal_fom*(1+hal_cost_esc)^S6+hal_min*1000*365*hal_var*(1+hal_cost_esc)^S6/1000000,0)</f>
        <v/>
      </c>
      <c r="T13" s="22">
        <f>IF(AND(T5&gt;=hal_start,T5&lt;hal_start+hal_years),hal_fom*(1+hal_cost_esc)^T6+hal_min*1000*365*hal_var*(1+hal_cost_esc)^T6/1000000,0)</f>
        <v/>
      </c>
      <c r="U13" s="22">
        <f>IF(AND(U5&gt;=hal_start,U5&lt;hal_start+hal_years),hal_fom*(1+hal_cost_esc)^U6+hal_min*1000*365*hal_var*(1+hal_cost_esc)^U6/1000000,0)</f>
        <v/>
      </c>
      <c r="V13" s="22">
        <f>IF(AND(V5&gt;=hal_start,V5&lt;hal_start+hal_years),hal_fom*(1+hal_cost_esc)^V6+hal_min*1000*365*hal_var*(1+hal_cost_esc)^V6/1000000,0)</f>
        <v/>
      </c>
      <c r="W13" s="22">
        <f>IF(AND(W5&gt;=hal_start,W5&lt;hal_start+hal_years),hal_fom*(1+hal_cost_esc)^W6+hal_min*1000*365*hal_var*(1+hal_cost_esc)^W6/1000000,0)</f>
        <v/>
      </c>
      <c r="X13" s="22">
        <f>IF(AND(X5&gt;=hal_start,X5&lt;hal_start+hal_years),hal_fom*(1+hal_cost_esc)^X6+hal_min*1000*365*hal_var*(1+hal_cost_esc)^X6/1000000,0)</f>
        <v/>
      </c>
      <c r="Y13" s="22">
        <f>IF(AND(Y5&gt;=hal_start,Y5&lt;hal_start+hal_years),hal_fom*(1+hal_cost_esc)^Y6+hal_min*1000*365*hal_var*(1+hal_cost_esc)^Y6/1000000,0)</f>
        <v/>
      </c>
    </row>
    <row r="14">
      <c r="B14" s="3" t="inlineStr">
        <is>
          <t>Cash flow (after capital cost)</t>
        </is>
      </c>
      <c r="D14" s="37">
        <f>D12-D13-IF(D5=pr_close+1,hal_cx1,IF(D5=pr_close+2,hal_cx2,0))</f>
        <v/>
      </c>
      <c r="E14" s="37">
        <f>E12-E13-IF(E5=pr_close+1,hal_cx1,IF(E5=pr_close+2,hal_cx2,0))</f>
        <v/>
      </c>
      <c r="F14" s="37">
        <f>F12-F13-IF(F5=pr_close+1,hal_cx1,IF(F5=pr_close+2,hal_cx2,0))</f>
        <v/>
      </c>
      <c r="G14" s="37">
        <f>G12-G13-IF(G5=pr_close+1,hal_cx1,IF(G5=pr_close+2,hal_cx2,0))</f>
        <v/>
      </c>
      <c r="H14" s="37">
        <f>H12-H13-IF(H5=pr_close+1,hal_cx1,IF(H5=pr_close+2,hal_cx2,0))</f>
        <v/>
      </c>
      <c r="I14" s="37">
        <f>I12-I13-IF(I5=pr_close+1,hal_cx1,IF(I5=pr_close+2,hal_cx2,0))</f>
        <v/>
      </c>
      <c r="J14" s="37">
        <f>J12-J13-IF(J5=pr_close+1,hal_cx1,IF(J5=pr_close+2,hal_cx2,0))</f>
        <v/>
      </c>
      <c r="K14" s="37">
        <f>K12-K13-IF(K5=pr_close+1,hal_cx1,IF(K5=pr_close+2,hal_cx2,0))</f>
        <v/>
      </c>
      <c r="L14" s="37">
        <f>L12-L13-IF(L5=pr_close+1,hal_cx1,IF(L5=pr_close+2,hal_cx2,0))</f>
        <v/>
      </c>
      <c r="M14" s="37">
        <f>M12-M13-IF(M5=pr_close+1,hal_cx1,IF(M5=pr_close+2,hal_cx2,0))</f>
        <v/>
      </c>
      <c r="N14" s="37">
        <f>N12-N13-IF(N5=pr_close+1,hal_cx1,IF(N5=pr_close+2,hal_cx2,0))</f>
        <v/>
      </c>
      <c r="O14" s="37">
        <f>O12-O13-IF(O5=pr_close+1,hal_cx1,IF(O5=pr_close+2,hal_cx2,0))</f>
        <v/>
      </c>
      <c r="P14" s="37">
        <f>P12-P13-IF(P5=pr_close+1,hal_cx1,IF(P5=pr_close+2,hal_cx2,0))</f>
        <v/>
      </c>
      <c r="Q14" s="37">
        <f>Q12-Q13-IF(Q5=pr_close+1,hal_cx1,IF(Q5=pr_close+2,hal_cx2,0))</f>
        <v/>
      </c>
      <c r="R14" s="37">
        <f>R12-R13-IF(R5=pr_close+1,hal_cx1,IF(R5=pr_close+2,hal_cx2,0))</f>
        <v/>
      </c>
      <c r="S14" s="37">
        <f>S12-S13-IF(S5=pr_close+1,hal_cx1,IF(S5=pr_close+2,hal_cx2,0))</f>
        <v/>
      </c>
      <c r="T14" s="37">
        <f>T12-T13-IF(T5=pr_close+1,hal_cx1,IF(T5=pr_close+2,hal_cx2,0))</f>
        <v/>
      </c>
      <c r="U14" s="37">
        <f>U12-U13-IF(U5=pr_close+1,hal_cx1,IF(U5=pr_close+2,hal_cx2,0))</f>
        <v/>
      </c>
      <c r="V14" s="37">
        <f>V12-V13-IF(V5=pr_close+1,hal_cx1,IF(V5=pr_close+2,hal_cx2,0))</f>
        <v/>
      </c>
      <c r="W14" s="37">
        <f>W12-W13-IF(W5=pr_close+1,hal_cx1,IF(W5=pr_close+2,hal_cx2,0))</f>
        <v/>
      </c>
      <c r="X14" s="37">
        <f>X12-X13-IF(X5=pr_close+1,hal_cx1,IF(X5=pr_close+2,hal_cx2,0))</f>
        <v/>
      </c>
      <c r="Y14" s="37">
        <f>Y12-Y13-IF(Y5=pr_close+1,hal_cx1,IF(Y5=pr_close+2,hal_cx2,0))</f>
        <v/>
      </c>
    </row>
    <row r="16">
      <c r="B16" s="6" t="inlineStr">
        <is>
          <t>Results</t>
        </is>
      </c>
    </row>
    <row r="17">
      <c r="B17" s="2" t="inlineStr">
        <is>
          <t>Capital cost</t>
        </is>
      </c>
      <c r="C17" s="21">
        <f>hal_cx1+hal_cx2</f>
        <v/>
      </c>
    </row>
    <row r="18">
      <c r="B18" s="2" t="inlineStr">
        <is>
          <t>Volume a year at the average take (million gallons)</t>
        </is>
      </c>
      <c r="C18" s="19">
        <f>hal_avg*365</f>
        <v/>
      </c>
    </row>
    <row r="19">
      <c r="B19" s="2" t="inlineStr">
        <is>
          <t>Revenue 2030</t>
        </is>
      </c>
      <c r="C19" s="22">
        <f>F8</f>
        <v/>
      </c>
    </row>
    <row r="20">
      <c r="B20" s="2" t="inlineStr">
        <is>
          <t>Operating cost 2030</t>
        </is>
      </c>
      <c r="C20" s="22">
        <f>F9</f>
        <v/>
      </c>
    </row>
    <row r="21">
      <c r="B21" s="2" t="inlineStr">
        <is>
          <t>Cash flow 2030</t>
        </is>
      </c>
      <c r="C21" s="22">
        <f>F8-F9</f>
        <v/>
      </c>
    </row>
    <row r="22">
      <c r="B22" s="2" t="inlineStr">
        <is>
          <t>First-year cash yield on cost</t>
        </is>
      </c>
      <c r="C22" s="20">
        <f>C21/C17</f>
        <v/>
      </c>
    </row>
    <row r="23">
      <c r="B23" s="2" t="inlineStr">
        <is>
          <t>Unlevered IRR 2028 to 2049</t>
        </is>
      </c>
      <c r="C23" s="27">
        <f>IRR($D$10:$Y$10,0.09)</f>
        <v/>
      </c>
    </row>
    <row r="24">
      <c r="B24" s="2" t="inlineStr">
        <is>
          <t>Value above cost at the contracted-asset rate</t>
        </is>
      </c>
      <c r="C24" s="21">
        <f>NPV(hal_rate,$D$10:$Y$10)</f>
        <v/>
      </c>
    </row>
    <row r="25">
      <c r="B25" s="2" t="inlineStr">
        <is>
          <t>IRR if only the minimum is taken</t>
        </is>
      </c>
      <c r="C25" s="27">
        <f>IRR($D$14:$Y$14,0.06)</f>
        <v/>
      </c>
    </row>
    <row r="26">
      <c r="B26" s="2" t="inlineStr">
        <is>
          <t>Average take / Pell River billed water 2030</t>
        </is>
      </c>
      <c r="C26" s="20">
        <f>hal_avg/System!$G$8</f>
        <v/>
      </c>
    </row>
  </sheetData>
  <pageMargins left="0.75" right="0.75" top="1" bottom="1" header="0.5" footer="0.5"/>
  <drawing xmlns:r="http://schemas.openxmlformats.org/officeDocument/2006/relationships" r:id="rId1"/>
</worksheet>
</file>

<file path=xl/worksheets/sheet19.xml><?xml version="1.0" encoding="utf-8"?>
<worksheet xmlns="http://schemas.openxmlformats.org/spreadsheetml/2006/main">
  <sheetPr>
    <outlinePr summaryBelow="1" summaryRight="1"/>
    <pageSetUpPr/>
  </sheetPr>
  <dimension ref="B2:C39"/>
  <sheetViews>
    <sheetView showGridLines="0" workbookViewId="0">
      <selection activeCell="A1" sqref="A1"/>
    </sheetView>
  </sheetViews>
  <sheetFormatPr baseColWidth="8" defaultRowHeight="15"/>
  <cols>
    <col width="2" customWidth="1" min="1" max="1"/>
    <col width="62" customWidth="1" min="2" max="2"/>
    <col width="14" customWidth="1" min="3" max="3"/>
  </cols>
  <sheetData>
    <row r="2">
      <c r="B2" s="1" t="inlineStr">
        <is>
          <t>Water rights: buy or lease</t>
        </is>
      </c>
    </row>
    <row r="3">
      <c r="B3" s="5" t="inlineStr">
        <is>
          <t>Basis: after tax for the regulated return on a bought right; the lease is a pass-through expense.</t>
        </is>
      </c>
    </row>
    <row r="5">
      <c r="B5" s="2" t="inlineStr">
        <is>
          <t>Paper rights to buy (acre-feet)</t>
        </is>
      </c>
      <c r="C5" s="19">
        <f>wr_need/wr_dry</f>
        <v/>
      </c>
    </row>
    <row r="6">
      <c r="B6" s="2" t="inlineStr">
        <is>
          <t>Purchase cost ($ million)</t>
        </is>
      </c>
      <c r="C6" s="33">
        <f>C5*wr_price/1000000</f>
        <v/>
      </c>
    </row>
    <row r="7">
      <c r="B7" s="2" t="inlineStr">
        <is>
          <t>Lease, first year ($ million)</t>
        </is>
      </c>
      <c r="C7" s="21">
        <f>wr_need*wr_lease/1000000</f>
        <v/>
      </c>
    </row>
    <row r="8">
      <c r="B8" s="2" t="inlineStr">
        <is>
          <t>Lease, last year ($ million)</t>
        </is>
      </c>
      <c r="C8" s="21">
        <f>C7*(1+wr_lease_esc)^(wr_years-1)</f>
        <v/>
      </c>
    </row>
    <row r="9">
      <c r="B9" s="2" t="inlineStr">
        <is>
          <t>Lease over the term ($ million)</t>
        </is>
      </c>
      <c r="C9" s="33">
        <f>SUM(C20:C39)</f>
        <v/>
      </c>
    </row>
    <row r="10">
      <c r="B10" s="2" t="inlineStr">
        <is>
          <t>Present value of the lease ($ million)</t>
        </is>
      </c>
      <c r="C10" s="21">
        <f>NPV(wr_rate,C20:C39)</f>
        <v/>
      </c>
    </row>
    <row r="11">
      <c r="B11" s="2" t="inlineStr">
        <is>
          <t>Lease price as a yield on the purchase price</t>
        </is>
      </c>
      <c r="C11" s="20">
        <f>C7/C6</f>
        <v/>
      </c>
    </row>
    <row r="12">
      <c r="B12" s="2" t="inlineStr">
        <is>
          <t>Regulated return on a bought right (new-debt cost)</t>
        </is>
      </c>
      <c r="C12" s="27">
        <f>pr_eq*pr_roe+(1-pr_eq)*pr_kd_new</f>
        <v/>
      </c>
    </row>
    <row r="13">
      <c r="B13" s="2" t="inlineStr">
        <is>
          <t>Tax gross-up</t>
        </is>
      </c>
      <c r="C13" s="27">
        <f>pr_eq*pr_roe*pr_tax/(1-pr_tax)</f>
        <v/>
      </c>
    </row>
    <row r="14">
      <c r="B14" s="2" t="inlineStr">
        <is>
          <t>Return and income tax a year on a bought right ($ million)</t>
        </is>
      </c>
      <c r="C14" s="21">
        <f>C6*(C12+C13)</f>
        <v/>
      </c>
    </row>
    <row r="15">
      <c r="B15" s="2" t="inlineStr">
        <is>
          <t>Of which return on equity ($ million)</t>
        </is>
      </c>
      <c r="C15" s="21">
        <f>C6*pr_eq*pr_roe</f>
        <v/>
      </c>
    </row>
    <row r="19">
      <c r="B19" s="6" t="inlineStr">
        <is>
          <t>Lease payments by year ($ million)</t>
        </is>
      </c>
    </row>
    <row r="20">
      <c r="B20" s="2" t="inlineStr">
        <is>
          <t>Year 1</t>
        </is>
      </c>
      <c r="C20" s="22">
        <f>IF(1&lt;=wr_years,wr_need*wr_lease*(1+wr_lease_esc)^0/1000000,0)</f>
        <v/>
      </c>
    </row>
    <row r="21">
      <c r="B21" s="2" t="inlineStr">
        <is>
          <t>Year 2</t>
        </is>
      </c>
      <c r="C21" s="22">
        <f>IF(2&lt;=wr_years,wr_need*wr_lease*(1+wr_lease_esc)^1/1000000,0)</f>
        <v/>
      </c>
    </row>
    <row r="22">
      <c r="B22" s="2" t="inlineStr">
        <is>
          <t>Year 3</t>
        </is>
      </c>
      <c r="C22" s="22">
        <f>IF(3&lt;=wr_years,wr_need*wr_lease*(1+wr_lease_esc)^2/1000000,0)</f>
        <v/>
      </c>
    </row>
    <row r="23">
      <c r="B23" s="2" t="inlineStr">
        <is>
          <t>Year 4</t>
        </is>
      </c>
      <c r="C23" s="22">
        <f>IF(4&lt;=wr_years,wr_need*wr_lease*(1+wr_lease_esc)^3/1000000,0)</f>
        <v/>
      </c>
    </row>
    <row r="24">
      <c r="B24" s="2" t="inlineStr">
        <is>
          <t>Year 5</t>
        </is>
      </c>
      <c r="C24" s="22">
        <f>IF(5&lt;=wr_years,wr_need*wr_lease*(1+wr_lease_esc)^4/1000000,0)</f>
        <v/>
      </c>
    </row>
    <row r="25">
      <c r="B25" s="2" t="inlineStr">
        <is>
          <t>Year 6</t>
        </is>
      </c>
      <c r="C25" s="22">
        <f>IF(6&lt;=wr_years,wr_need*wr_lease*(1+wr_lease_esc)^5/1000000,0)</f>
        <v/>
      </c>
    </row>
    <row r="26">
      <c r="B26" s="2" t="inlineStr">
        <is>
          <t>Year 7</t>
        </is>
      </c>
      <c r="C26" s="22">
        <f>IF(7&lt;=wr_years,wr_need*wr_lease*(1+wr_lease_esc)^6/1000000,0)</f>
        <v/>
      </c>
    </row>
    <row r="27">
      <c r="B27" s="2" t="inlineStr">
        <is>
          <t>Year 8</t>
        </is>
      </c>
      <c r="C27" s="22">
        <f>IF(8&lt;=wr_years,wr_need*wr_lease*(1+wr_lease_esc)^7/1000000,0)</f>
        <v/>
      </c>
    </row>
    <row r="28">
      <c r="B28" s="2" t="inlineStr">
        <is>
          <t>Year 9</t>
        </is>
      </c>
      <c r="C28" s="22">
        <f>IF(9&lt;=wr_years,wr_need*wr_lease*(1+wr_lease_esc)^8/1000000,0)</f>
        <v/>
      </c>
    </row>
    <row r="29">
      <c r="B29" s="2" t="inlineStr">
        <is>
          <t>Year 10</t>
        </is>
      </c>
      <c r="C29" s="22">
        <f>IF(10&lt;=wr_years,wr_need*wr_lease*(1+wr_lease_esc)^9/1000000,0)</f>
        <v/>
      </c>
    </row>
    <row r="30">
      <c r="B30" s="2" t="inlineStr">
        <is>
          <t>Year 11</t>
        </is>
      </c>
      <c r="C30" s="22">
        <f>IF(11&lt;=wr_years,wr_need*wr_lease*(1+wr_lease_esc)^10/1000000,0)</f>
        <v/>
      </c>
    </row>
    <row r="31">
      <c r="B31" s="2" t="inlineStr">
        <is>
          <t>Year 12</t>
        </is>
      </c>
      <c r="C31" s="22">
        <f>IF(12&lt;=wr_years,wr_need*wr_lease*(1+wr_lease_esc)^11/1000000,0)</f>
        <v/>
      </c>
    </row>
    <row r="32">
      <c r="B32" s="2" t="inlineStr">
        <is>
          <t>Year 13</t>
        </is>
      </c>
      <c r="C32" s="22">
        <f>IF(13&lt;=wr_years,wr_need*wr_lease*(1+wr_lease_esc)^12/1000000,0)</f>
        <v/>
      </c>
    </row>
    <row r="33">
      <c r="B33" s="2" t="inlineStr">
        <is>
          <t>Year 14</t>
        </is>
      </c>
      <c r="C33" s="22">
        <f>IF(14&lt;=wr_years,wr_need*wr_lease*(1+wr_lease_esc)^13/1000000,0)</f>
        <v/>
      </c>
    </row>
    <row r="34">
      <c r="B34" s="2" t="inlineStr">
        <is>
          <t>Year 15</t>
        </is>
      </c>
      <c r="C34" s="22">
        <f>IF(15&lt;=wr_years,wr_need*wr_lease*(1+wr_lease_esc)^14/1000000,0)</f>
        <v/>
      </c>
    </row>
    <row r="35">
      <c r="B35" s="2" t="inlineStr">
        <is>
          <t>Year 16</t>
        </is>
      </c>
      <c r="C35" s="22">
        <f>IF(16&lt;=wr_years,wr_need*wr_lease*(1+wr_lease_esc)^15/1000000,0)</f>
        <v/>
      </c>
    </row>
    <row r="36">
      <c r="B36" s="2" t="inlineStr">
        <is>
          <t>Year 17</t>
        </is>
      </c>
      <c r="C36" s="22">
        <f>IF(17&lt;=wr_years,wr_need*wr_lease*(1+wr_lease_esc)^16/1000000,0)</f>
        <v/>
      </c>
    </row>
    <row r="37">
      <c r="B37" s="2" t="inlineStr">
        <is>
          <t>Year 18</t>
        </is>
      </c>
      <c r="C37" s="22">
        <f>IF(18&lt;=wr_years,wr_need*wr_lease*(1+wr_lease_esc)^17/1000000,0)</f>
        <v/>
      </c>
    </row>
    <row r="38">
      <c r="B38" s="2" t="inlineStr">
        <is>
          <t>Year 19</t>
        </is>
      </c>
      <c r="C38" s="22">
        <f>IF(19&lt;=wr_years,wr_need*wr_lease*(1+wr_lease_esc)^18/1000000,0)</f>
        <v/>
      </c>
    </row>
    <row r="39">
      <c r="B39" s="2" t="inlineStr">
        <is>
          <t>Year 20</t>
        </is>
      </c>
      <c r="C39" s="22">
        <f>IF(20&lt;=wr_years,wr_need*wr_lease*(1+wr_lease_esc)^19/1000000,0)</f>
        <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B2:C12"/>
  <sheetViews>
    <sheetView showGridLines="0" workbookViewId="0">
      <selection activeCell="A1" sqref="A1"/>
    </sheetView>
  </sheetViews>
  <sheetFormatPr baseColWidth="8" defaultRowHeight="15"/>
  <cols>
    <col width="2" customWidth="1" min="1" max="1"/>
    <col width="62" customWidth="1" min="2" max="2"/>
    <col width="14" customWidth="1" min="3" max="3"/>
  </cols>
  <sheetData>
    <row r="2">
      <c r="B2" s="1" t="inlineStr">
        <is>
          <t>Cost of capital carried by customers: investor-owned versus municipal</t>
        </is>
      </c>
    </row>
    <row r="3">
      <c r="B3" s="5" t="inlineStr">
        <is>
          <t>Per $100 of assets a year, before depreciation. Investor-owned at Pell River's authorized terms at closing.</t>
        </is>
      </c>
    </row>
    <row r="5">
      <c r="B5" s="2" t="inlineStr">
        <is>
          <t>Return on rate base</t>
        </is>
      </c>
      <c r="C5" s="27">
        <f>pr_eq*pr_roe+(1-pr_eq)*pr_kd_old</f>
        <v/>
      </c>
    </row>
    <row r="6">
      <c r="B6" s="2" t="inlineStr">
        <is>
          <t>Income tax gross-up</t>
        </is>
      </c>
      <c r="C6" s="27">
        <f>pr_eq*pr_roe*pr_tax/(1-pr_tax)</f>
        <v/>
      </c>
    </row>
    <row r="7">
      <c r="B7" s="2" t="inlineStr">
        <is>
          <t>Investor-owned, per $100 ($)</t>
        </is>
      </c>
      <c r="C7" s="22">
        <f>(C5+C6)*100</f>
        <v/>
      </c>
    </row>
    <row r="8">
      <c r="B8" s="2" t="inlineStr">
        <is>
          <t>Of which return ($)</t>
        </is>
      </c>
      <c r="C8" s="22">
        <f>C5*100</f>
        <v/>
      </c>
    </row>
    <row r="9">
      <c r="B9" s="2" t="inlineStr">
        <is>
          <t>Of which income tax ($)</t>
        </is>
      </c>
      <c r="C9" s="22">
        <f>C6*100</f>
        <v/>
      </c>
    </row>
    <row r="10">
      <c r="B10" s="2" t="inlineStr">
        <is>
          <t>Municipal, tax-exempt borrowing, per $100 ($)</t>
        </is>
      </c>
      <c r="C10" s="22">
        <f>mu_kd*100</f>
        <v/>
      </c>
    </row>
    <row r="11">
      <c r="B11" s="2" t="inlineStr">
        <is>
          <t>Municipal with rates covering debt service by the covenant ($)</t>
        </is>
      </c>
      <c r="C11" s="22">
        <f>mu_kd*mu_cov*100</f>
        <v/>
      </c>
    </row>
    <row r="12">
      <c r="B12" s="2" t="inlineStr">
        <is>
          <t>WIFIA rate</t>
        </is>
      </c>
      <c r="C12" s="20">
        <f>mu_wifia</f>
        <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B2:AJ1873"/>
  <sheetViews>
    <sheetView showGridLines="0" workbookViewId="0">
      <selection activeCell="A1" sqref="A1"/>
    </sheetView>
  </sheetViews>
  <sheetFormatPr baseColWidth="8" defaultRowHeight="15"/>
  <cols>
    <col width="2" customWidth="1" min="1" max="1"/>
    <col width="58" customWidth="1" min="2" max="2"/>
    <col width="11"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width="12" customWidth="1" min="31" max="31"/>
    <col width="12" customWidth="1" min="32" max="32"/>
    <col width="12" customWidth="1" min="33" max="33"/>
    <col width="12" customWidth="1" min="34" max="34"/>
    <col width="12" customWidth="1" min="35" max="35"/>
    <col width="12" customWidth="1" min="36" max="36"/>
  </cols>
  <sheetData>
    <row r="2">
      <c r="B2" s="1" t="inlineStr">
        <is>
          <t>Scenarios: the model rerun under each sensitivity of the book (feeds Sensitivities, DD, Exit and SB_Finance)</t>
        </is>
      </c>
    </row>
    <row r="3">
      <c r="B3" s="5" t="inlineStr">
        <is>
          <t>Each block is a full copy of the Utility (or SB_Ops) calculation that reads Inputs except the inputs its scenario overrides (Inputs, Scenario definitions). Do not edit.</t>
        </is>
      </c>
    </row>
    <row r="6">
      <c r="B6" s="6" t="inlineStr">
        <is>
          <t>S1: Authorized return on equity 9.10 percent (Pell River, after tax)</t>
        </is>
      </c>
      <c r="C6" s="7" t="n"/>
      <c r="D6" s="7" t="n"/>
      <c r="E6" s="7" t="n"/>
      <c r="F6" s="7" t="n"/>
      <c r="G6" s="7" t="n"/>
      <c r="H6" s="7" t="n"/>
      <c r="I6" s="7" t="n"/>
      <c r="J6" s="7" t="n"/>
      <c r="K6" s="7" t="n"/>
      <c r="L6" s="7" t="n"/>
      <c r="M6" s="7" t="n"/>
      <c r="N6" s="7" t="n"/>
    </row>
    <row r="7">
      <c r="B7" s="2" t="inlineStr">
        <is>
          <t>Year (31 December)</t>
        </is>
      </c>
      <c r="D7" s="26">
        <f>pr_close</f>
        <v/>
      </c>
      <c r="E7" s="26">
        <f>D7+1</f>
        <v/>
      </c>
      <c r="F7" s="26">
        <f>E7+1</f>
        <v/>
      </c>
      <c r="G7" s="26">
        <f>F7+1</f>
        <v/>
      </c>
      <c r="H7" s="26">
        <f>G7+1</f>
        <v/>
      </c>
      <c r="I7" s="26">
        <f>H7+1</f>
        <v/>
      </c>
      <c r="J7" s="26">
        <f>I7+1</f>
        <v/>
      </c>
      <c r="K7" s="26">
        <f>J7+1</f>
        <v/>
      </c>
      <c r="L7" s="26">
        <f>K7+1</f>
        <v/>
      </c>
      <c r="M7" s="26">
        <f>L7+1</f>
        <v/>
      </c>
      <c r="N7" s="26">
        <f>M7+1</f>
        <v/>
      </c>
    </row>
    <row r="8">
      <c r="B8" s="2" t="inlineStr">
        <is>
          <t>Years after the first year of the hold (2028 = 0)</t>
        </is>
      </c>
      <c r="D8" s="26">
        <f>D7-(pr_close+1)</f>
        <v/>
      </c>
      <c r="E8" s="26">
        <f>E7-(pr_close+1)</f>
        <v/>
      </c>
      <c r="F8" s="26">
        <f>F7-(pr_close+1)</f>
        <v/>
      </c>
      <c r="G8" s="26">
        <f>G7-(pr_close+1)</f>
        <v/>
      </c>
      <c r="H8" s="26">
        <f>H7-(pr_close+1)</f>
        <v/>
      </c>
      <c r="I8" s="26">
        <f>I7-(pr_close+1)</f>
        <v/>
      </c>
      <c r="J8" s="26">
        <f>J7-(pr_close+1)</f>
        <v/>
      </c>
      <c r="K8" s="26">
        <f>K7-(pr_close+1)</f>
        <v/>
      </c>
      <c r="L8" s="26">
        <f>L7-(pr_close+1)</f>
        <v/>
      </c>
      <c r="M8" s="26">
        <f>M7-(pr_close+1)</f>
        <v/>
      </c>
      <c r="N8" s="26">
        <f>N7-(pr_close+1)</f>
        <v/>
      </c>
    </row>
    <row r="9">
      <c r="B9" s="2" t="inlineStr">
        <is>
          <t>Connections (water and wastewater), year end</t>
        </is>
      </c>
      <c r="C9" s="5" t="inlineStr">
        <is>
          <t>number</t>
        </is>
      </c>
      <c r="D9" s="19">
        <f>pr_water_conn+pr_ww_conn</f>
        <v/>
      </c>
      <c r="E9" s="19">
        <f>D9*(1+pr_growth)+IF(AND(pr_fen_on=1,E7=pr_fen_year+1),pr_fen_conn,0)</f>
        <v/>
      </c>
      <c r="F9" s="19">
        <f>E9*(1+pr_growth)+IF(AND(pr_fen_on=1,F7=pr_fen_year+1),pr_fen_conn,0)</f>
        <v/>
      </c>
      <c r="G9" s="19">
        <f>F9*(1+pr_growth)+IF(AND(pr_fen_on=1,G7=pr_fen_year+1),pr_fen_conn,0)</f>
        <v/>
      </c>
      <c r="H9" s="19">
        <f>G9*(1+pr_growth)+IF(AND(pr_fen_on=1,H7=pr_fen_year+1),pr_fen_conn,0)</f>
        <v/>
      </c>
      <c r="I9" s="19">
        <f>H9*(1+pr_growth)+IF(AND(pr_fen_on=1,I7=pr_fen_year+1),pr_fen_conn,0)</f>
        <v/>
      </c>
      <c r="J9" s="19">
        <f>I9*(1+pr_growth)+IF(AND(pr_fen_on=1,J7=pr_fen_year+1),pr_fen_conn,0)</f>
        <v/>
      </c>
      <c r="K9" s="19">
        <f>J9*(1+pr_growth)+IF(AND(pr_fen_on=1,K7=pr_fen_year+1),pr_fen_conn,0)</f>
        <v/>
      </c>
      <c r="L9" s="19">
        <f>K9*(1+pr_growth)+IF(AND(pr_fen_on=1,L7=pr_fen_year+1),pr_fen_conn,0)</f>
        <v/>
      </c>
      <c r="M9" s="19">
        <f>L9*(1+pr_growth)+IF(AND(pr_fen_on=1,M7=pr_fen_year+1),pr_fen_conn,0)</f>
        <v/>
      </c>
      <c r="N9" s="19">
        <f>M9*(1+pr_growth)+IF(AND(pr_fen_on=1,N7=pr_fen_year+1),pr_fen_conn,0)</f>
        <v/>
      </c>
    </row>
    <row r="11">
      <c r="B11" s="6" t="inlineStr">
        <is>
          <t>Capital spending ($ million)</t>
        </is>
      </c>
      <c r="C11" s="7" t="n"/>
      <c r="D11" s="7" t="n"/>
      <c r="E11" s="7" t="n"/>
      <c r="F11" s="7" t="n"/>
      <c r="G11" s="7" t="n"/>
      <c r="H11" s="7" t="n"/>
      <c r="I11" s="7" t="n"/>
      <c r="J11" s="7" t="n"/>
      <c r="K11" s="7" t="n"/>
      <c r="L11" s="7" t="n"/>
      <c r="M11" s="7" t="n"/>
      <c r="N11" s="7" t="n"/>
    </row>
    <row r="12">
      <c r="B12" s="2" t="inlineStr">
        <is>
          <t>Cost escalation index (2028 = 1)</t>
        </is>
      </c>
      <c r="E12" s="28">
        <f>(1+pr_capex_esc)^(E7-(pr_close+1))</f>
        <v/>
      </c>
      <c r="F12" s="28">
        <f>(1+pr_capex_esc)^(F7-(pr_close+1))</f>
        <v/>
      </c>
      <c r="G12" s="28">
        <f>(1+pr_capex_esc)^(G7-(pr_close+1))</f>
        <v/>
      </c>
      <c r="H12" s="28">
        <f>(1+pr_capex_esc)^(H7-(pr_close+1))</f>
        <v/>
      </c>
      <c r="I12" s="28">
        <f>(1+pr_capex_esc)^(I7-(pr_close+1))</f>
        <v/>
      </c>
      <c r="J12" s="28">
        <f>(1+pr_capex_esc)^(J7-(pr_close+1))</f>
        <v/>
      </c>
      <c r="K12" s="28">
        <f>(1+pr_capex_esc)^(K7-(pr_close+1))</f>
        <v/>
      </c>
      <c r="L12" s="28">
        <f>(1+pr_capex_esc)^(L7-(pr_close+1))</f>
        <v/>
      </c>
      <c r="M12" s="28">
        <f>(1+pr_capex_esc)^(M7-(pr_close+1))</f>
        <v/>
      </c>
      <c r="N12" s="28">
        <f>(1+pr_capex_esc)^(N7-(pr_close+1))</f>
        <v/>
      </c>
    </row>
    <row r="13">
      <c r="B13" s="2" t="inlineStr">
        <is>
          <t>Main renewal</t>
        </is>
      </c>
      <c r="C13" s="5" t="inlineStr">
        <is>
          <t>$ million</t>
        </is>
      </c>
      <c r="E13" s="23">
        <f>pr_renewal*pr_mains_miles*pr_cost_mile*E12*(1+pr_capex_shift)</f>
        <v/>
      </c>
      <c r="F13" s="23">
        <f>pr_renewal*pr_mains_miles*pr_cost_mile*F12*(1+pr_capex_shift)</f>
        <v/>
      </c>
      <c r="G13" s="23">
        <f>pr_renewal*pr_mains_miles*pr_cost_mile*G12*(1+pr_capex_shift)</f>
        <v/>
      </c>
      <c r="H13" s="23">
        <f>pr_renewal*pr_mains_miles*pr_cost_mile*H12*(1+pr_capex_shift)</f>
        <v/>
      </c>
      <c r="I13" s="23">
        <f>pr_renewal*pr_mains_miles*pr_cost_mile*I12*(1+pr_capex_shift)</f>
        <v/>
      </c>
      <c r="J13" s="23">
        <f>pr_renewal*pr_mains_miles*pr_cost_mile*J12*(1+pr_capex_shift)</f>
        <v/>
      </c>
      <c r="K13" s="23">
        <f>pr_renewal*pr_mains_miles*pr_cost_mile*K12*(1+pr_capex_shift)</f>
        <v/>
      </c>
      <c r="L13" s="23">
        <f>pr_renewal*pr_mains_miles*pr_cost_mile*L12*(1+pr_capex_shift)</f>
        <v/>
      </c>
      <c r="M13" s="23">
        <f>pr_renewal*pr_mains_miles*pr_cost_mile*M12*(1+pr_capex_shift)</f>
        <v/>
      </c>
      <c r="N13" s="23">
        <f>pr_renewal*pr_mains_miles*pr_cost_mile*N12*(1+pr_capex_shift)</f>
        <v/>
      </c>
    </row>
    <row r="14">
      <c r="B14" s="2" t="inlineStr">
        <is>
          <t>Treatment, storage, meters, IT and growth</t>
        </is>
      </c>
      <c r="C14" s="5" t="inlineStr">
        <is>
          <t>$ million</t>
        </is>
      </c>
      <c r="E14" s="23">
        <f>pr_other_capex*E12*(1+pr_capex_shift)</f>
        <v/>
      </c>
      <c r="F14" s="23">
        <f>pr_other_capex*F12*(1+pr_capex_shift)</f>
        <v/>
      </c>
      <c r="G14" s="23">
        <f>pr_other_capex*G12*(1+pr_capex_shift)</f>
        <v/>
      </c>
      <c r="H14" s="23">
        <f>pr_other_capex*H12*(1+pr_capex_shift)</f>
        <v/>
      </c>
      <c r="I14" s="23">
        <f>pr_other_capex*I12*(1+pr_capex_shift)</f>
        <v/>
      </c>
      <c r="J14" s="23">
        <f>pr_other_capex*J12*(1+pr_capex_shift)</f>
        <v/>
      </c>
      <c r="K14" s="23">
        <f>pr_other_capex*K12*(1+pr_capex_shift)</f>
        <v/>
      </c>
      <c r="L14" s="23">
        <f>pr_other_capex*L12*(1+pr_capex_shift)</f>
        <v/>
      </c>
      <c r="M14" s="23">
        <f>pr_other_capex*M12*(1+pr_capex_shift)</f>
        <v/>
      </c>
      <c r="N14" s="23">
        <f>pr_other_capex*N12*(1+pr_capex_shift)</f>
        <v/>
      </c>
    </row>
    <row r="15">
      <c r="B15" s="2" t="inlineStr">
        <is>
          <t>PFAS treatment</t>
        </is>
      </c>
      <c r="C15" s="5" t="inlineStr">
        <is>
          <t>$ million</t>
        </is>
      </c>
      <c r="E15" s="23">
        <f>(IF(E7-pr_pfas_delay=pr_pfas_y1,pr_pfas_1,0)+IF(E7-pr_pfas_delay=pr_pfas_y1+1,pr_pfas_2,0)+IF(E7-pr_pfas_delay=pr_pfas_y1+2,pr_pfas_3,0))*(1+pr_capex_esc)^pr_pfas_delay*(1+pr_capex_shift)</f>
        <v/>
      </c>
      <c r="F15" s="23">
        <f>(IF(F7-pr_pfas_delay=pr_pfas_y1,pr_pfas_1,0)+IF(F7-pr_pfas_delay=pr_pfas_y1+1,pr_pfas_2,0)+IF(F7-pr_pfas_delay=pr_pfas_y1+2,pr_pfas_3,0))*(1+pr_capex_esc)^pr_pfas_delay*(1+pr_capex_shift)</f>
        <v/>
      </c>
      <c r="G15" s="23">
        <f>(IF(G7-pr_pfas_delay=pr_pfas_y1,pr_pfas_1,0)+IF(G7-pr_pfas_delay=pr_pfas_y1+1,pr_pfas_2,0)+IF(G7-pr_pfas_delay=pr_pfas_y1+2,pr_pfas_3,0))*(1+pr_capex_esc)^pr_pfas_delay*(1+pr_capex_shift)</f>
        <v/>
      </c>
      <c r="H15" s="23">
        <f>(IF(H7-pr_pfas_delay=pr_pfas_y1,pr_pfas_1,0)+IF(H7-pr_pfas_delay=pr_pfas_y1+1,pr_pfas_2,0)+IF(H7-pr_pfas_delay=pr_pfas_y1+2,pr_pfas_3,0))*(1+pr_capex_esc)^pr_pfas_delay*(1+pr_capex_shift)</f>
        <v/>
      </c>
      <c r="I15" s="23">
        <f>(IF(I7-pr_pfas_delay=pr_pfas_y1,pr_pfas_1,0)+IF(I7-pr_pfas_delay=pr_pfas_y1+1,pr_pfas_2,0)+IF(I7-pr_pfas_delay=pr_pfas_y1+2,pr_pfas_3,0))*(1+pr_capex_esc)^pr_pfas_delay*(1+pr_capex_shift)</f>
        <v/>
      </c>
      <c r="J15" s="23">
        <f>(IF(J7-pr_pfas_delay=pr_pfas_y1,pr_pfas_1,0)+IF(J7-pr_pfas_delay=pr_pfas_y1+1,pr_pfas_2,0)+IF(J7-pr_pfas_delay=pr_pfas_y1+2,pr_pfas_3,0))*(1+pr_capex_esc)^pr_pfas_delay*(1+pr_capex_shift)</f>
        <v/>
      </c>
      <c r="K15" s="23">
        <f>(IF(K7-pr_pfas_delay=pr_pfas_y1,pr_pfas_1,0)+IF(K7-pr_pfas_delay=pr_pfas_y1+1,pr_pfas_2,0)+IF(K7-pr_pfas_delay=pr_pfas_y1+2,pr_pfas_3,0))*(1+pr_capex_esc)^pr_pfas_delay*(1+pr_capex_shift)</f>
        <v/>
      </c>
      <c r="L15" s="23">
        <f>(IF(L7-pr_pfas_delay=pr_pfas_y1,pr_pfas_1,0)+IF(L7-pr_pfas_delay=pr_pfas_y1+1,pr_pfas_2,0)+IF(L7-pr_pfas_delay=pr_pfas_y1+2,pr_pfas_3,0))*(1+pr_capex_esc)^pr_pfas_delay*(1+pr_capex_shift)</f>
        <v/>
      </c>
      <c r="M15" s="23">
        <f>(IF(M7-pr_pfas_delay=pr_pfas_y1,pr_pfas_1,0)+IF(M7-pr_pfas_delay=pr_pfas_y1+1,pr_pfas_2,0)+IF(M7-pr_pfas_delay=pr_pfas_y1+2,pr_pfas_3,0))*(1+pr_capex_esc)^pr_pfas_delay*(1+pr_capex_shift)</f>
        <v/>
      </c>
      <c r="N15" s="23">
        <f>(IF(N7-pr_pfas_delay=pr_pfas_y1,pr_pfas_1,0)+IF(N7-pr_pfas_delay=pr_pfas_y1+1,pr_pfas_2,0)+IF(N7-pr_pfas_delay=pr_pfas_y1+2,pr_pfas_3,0))*(1+pr_capex_esc)^pr_pfas_delay*(1+pr_capex_shift)</f>
        <v/>
      </c>
    </row>
    <row r="16">
      <c r="B16" s="2" t="inlineStr">
        <is>
          <t>Lead service lines</t>
        </is>
      </c>
      <c r="C16" s="5" t="inlineStr">
        <is>
          <t>$ million</t>
        </is>
      </c>
      <c r="E16" s="23">
        <f>IF(AND(E7&gt;=(pr_close+1),E7&lt;(pr_close+1)+pr_lead_years),pr_lead_lines/pr_lead_years*pr_lead_cost/1000000*E12,0)*(1+pr_capex_shift)</f>
        <v/>
      </c>
      <c r="F16" s="23">
        <f>IF(AND(F7&gt;=(pr_close+1),F7&lt;(pr_close+1)+pr_lead_years),pr_lead_lines/pr_lead_years*pr_lead_cost/1000000*F12,0)*(1+pr_capex_shift)</f>
        <v/>
      </c>
      <c r="G16" s="23">
        <f>IF(AND(G7&gt;=(pr_close+1),G7&lt;(pr_close+1)+pr_lead_years),pr_lead_lines/pr_lead_years*pr_lead_cost/1000000*G12,0)*(1+pr_capex_shift)</f>
        <v/>
      </c>
      <c r="H16" s="23">
        <f>IF(AND(H7&gt;=(pr_close+1),H7&lt;(pr_close+1)+pr_lead_years),pr_lead_lines/pr_lead_years*pr_lead_cost/1000000*H12,0)*(1+pr_capex_shift)</f>
        <v/>
      </c>
      <c r="I16" s="23">
        <f>IF(AND(I7&gt;=(pr_close+1),I7&lt;(pr_close+1)+pr_lead_years),pr_lead_lines/pr_lead_years*pr_lead_cost/1000000*I12,0)*(1+pr_capex_shift)</f>
        <v/>
      </c>
      <c r="J16" s="23">
        <f>IF(AND(J7&gt;=(pr_close+1),J7&lt;(pr_close+1)+pr_lead_years),pr_lead_lines/pr_lead_years*pr_lead_cost/1000000*J12,0)*(1+pr_capex_shift)</f>
        <v/>
      </c>
      <c r="K16" s="23">
        <f>IF(AND(K7&gt;=(pr_close+1),K7&lt;(pr_close+1)+pr_lead_years),pr_lead_lines/pr_lead_years*pr_lead_cost/1000000*K12,0)*(1+pr_capex_shift)</f>
        <v/>
      </c>
      <c r="L16" s="23">
        <f>IF(AND(L7&gt;=(pr_close+1),L7&lt;(pr_close+1)+pr_lead_years),pr_lead_lines/pr_lead_years*pr_lead_cost/1000000*L12,0)*(1+pr_capex_shift)</f>
        <v/>
      </c>
      <c r="M16" s="23">
        <f>IF(AND(M7&gt;=(pr_close+1),M7&lt;(pr_close+1)+pr_lead_years),pr_lead_lines/pr_lead_years*pr_lead_cost/1000000*M12,0)*(1+pr_capex_shift)</f>
        <v/>
      </c>
      <c r="N16" s="23">
        <f>IF(AND(N7&gt;=(pr_close+1),N7&lt;(pr_close+1)+pr_lead_years),pr_lead_lines/pr_lead_years*pr_lead_cost/1000000*N12,0)*(1+pr_capex_shift)</f>
        <v/>
      </c>
    </row>
    <row r="17">
      <c r="B17" s="2" t="inlineStr">
        <is>
          <t>Fennick system</t>
        </is>
      </c>
      <c r="C17" s="5" t="inlineStr">
        <is>
          <t>$ million</t>
        </is>
      </c>
      <c r="E17" s="23">
        <f>IF(AND(pr_fen_on=1,E7&gt;pr_fen_year),pr_fen_capex*(1+pr_capex_esc)^(E7-pr_fen_year-1),0)*(1+pr_capex_shift)</f>
        <v/>
      </c>
      <c r="F17" s="23">
        <f>IF(AND(pr_fen_on=1,F7&gt;pr_fen_year),pr_fen_capex*(1+pr_capex_esc)^(F7-pr_fen_year-1),0)*(1+pr_capex_shift)</f>
        <v/>
      </c>
      <c r="G17" s="23">
        <f>IF(AND(pr_fen_on=1,G7&gt;pr_fen_year),pr_fen_capex*(1+pr_capex_esc)^(G7-pr_fen_year-1),0)*(1+pr_capex_shift)</f>
        <v/>
      </c>
      <c r="H17" s="23">
        <f>IF(AND(pr_fen_on=1,H7&gt;pr_fen_year),pr_fen_capex*(1+pr_capex_esc)^(H7-pr_fen_year-1),0)*(1+pr_capex_shift)</f>
        <v/>
      </c>
      <c r="I17" s="23">
        <f>IF(AND(pr_fen_on=1,I7&gt;pr_fen_year),pr_fen_capex*(1+pr_capex_esc)^(I7-pr_fen_year-1),0)*(1+pr_capex_shift)</f>
        <v/>
      </c>
      <c r="J17" s="23">
        <f>IF(AND(pr_fen_on=1,J7&gt;pr_fen_year),pr_fen_capex*(1+pr_capex_esc)^(J7-pr_fen_year-1),0)*(1+pr_capex_shift)</f>
        <v/>
      </c>
      <c r="K17" s="23">
        <f>IF(AND(pr_fen_on=1,K7&gt;pr_fen_year),pr_fen_capex*(1+pr_capex_esc)^(K7-pr_fen_year-1),0)*(1+pr_capex_shift)</f>
        <v/>
      </c>
      <c r="L17" s="23">
        <f>IF(AND(pr_fen_on=1,L7&gt;pr_fen_year),pr_fen_capex*(1+pr_capex_esc)^(L7-pr_fen_year-1),0)*(1+pr_capex_shift)</f>
        <v/>
      </c>
      <c r="M17" s="23">
        <f>IF(AND(pr_fen_on=1,M7&gt;pr_fen_year),pr_fen_capex*(1+pr_capex_esc)^(M7-pr_fen_year-1),0)*(1+pr_capex_shift)</f>
        <v/>
      </c>
      <c r="N17" s="23">
        <f>IF(AND(pr_fen_on=1,N7&gt;pr_fen_year),pr_fen_capex*(1+pr_capex_esc)^(N7-pr_fen_year-1),0)*(1+pr_capex_shift)</f>
        <v/>
      </c>
    </row>
    <row r="18">
      <c r="B18" s="2" t="inlineStr">
        <is>
          <t>Total capital spending</t>
        </is>
      </c>
      <c r="C18" s="5" t="inlineStr">
        <is>
          <t>$ million</t>
        </is>
      </c>
      <c r="E18" s="23">
        <f>SUM(E13:E17)</f>
        <v/>
      </c>
      <c r="F18" s="23">
        <f>SUM(F13:F17)</f>
        <v/>
      </c>
      <c r="G18" s="23">
        <f>SUM(G13:G17)</f>
        <v/>
      </c>
      <c r="H18" s="23">
        <f>SUM(H13:H17)</f>
        <v/>
      </c>
      <c r="I18" s="23">
        <f>SUM(I13:I17)</f>
        <v/>
      </c>
      <c r="J18" s="23">
        <f>SUM(J13:J17)</f>
        <v/>
      </c>
      <c r="K18" s="23">
        <f>SUM(K13:K17)</f>
        <v/>
      </c>
      <c r="L18" s="23">
        <f>SUM(L13:L17)</f>
        <v/>
      </c>
      <c r="M18" s="23">
        <f>SUM(M13:M17)</f>
        <v/>
      </c>
      <c r="N18" s="23">
        <f>SUM(N13:N17)</f>
        <v/>
      </c>
    </row>
    <row r="19">
      <c r="B19" s="2" t="inlineStr">
        <is>
          <t>DSIC-eligible (mains and lead lines)</t>
        </is>
      </c>
      <c r="C19" s="5" t="inlineStr">
        <is>
          <t>$ million</t>
        </is>
      </c>
      <c r="E19" s="23">
        <f>E13+E16</f>
        <v/>
      </c>
      <c r="F19" s="23">
        <f>F13+F16</f>
        <v/>
      </c>
      <c r="G19" s="23">
        <f>G13+G16</f>
        <v/>
      </c>
      <c r="H19" s="23">
        <f>H13+H16</f>
        <v/>
      </c>
      <c r="I19" s="23">
        <f>I13+I16</f>
        <v/>
      </c>
      <c r="J19" s="23">
        <f>J13+J16</f>
        <v/>
      </c>
      <c r="K19" s="23">
        <f>K13+K16</f>
        <v/>
      </c>
      <c r="L19" s="23">
        <f>L13+L16</f>
        <v/>
      </c>
      <c r="M19" s="23">
        <f>M13+M16</f>
        <v/>
      </c>
      <c r="N19" s="23">
        <f>N13+N16</f>
        <v/>
      </c>
    </row>
    <row r="21">
      <c r="B21" s="6" t="inlineStr">
        <is>
          <t>Rate case (rates effective 1 January of the year; test-year values looked up to the left)</t>
        </is>
      </c>
      <c r="C21" s="7" t="n"/>
      <c r="D21" s="7" t="n"/>
      <c r="E21" s="7" t="n"/>
      <c r="F21" s="7" t="n"/>
      <c r="G21" s="7" t="n"/>
      <c r="H21" s="7" t="n"/>
      <c r="I21" s="7" t="n"/>
      <c r="J21" s="7" t="n"/>
      <c r="K21" s="7" t="n"/>
      <c r="L21" s="7" t="n"/>
      <c r="M21" s="7" t="n"/>
      <c r="N21" s="7" t="n"/>
    </row>
    <row r="22">
      <c r="B22" s="2" t="inlineStr">
        <is>
          <t>Rate case this year (1 = yes)</t>
        </is>
      </c>
      <c r="E22" s="26">
        <f>IF(AND(E7&gt;=pr_rc_first,MOD(E7-pr_rc_first,pr_rc_cycle)=0),1,0)</f>
        <v/>
      </c>
      <c r="F22" s="26">
        <f>IF(AND(F7&gt;=pr_rc_first,MOD(F7-pr_rc_first,pr_rc_cycle)=0),1,0)</f>
        <v/>
      </c>
      <c r="G22" s="26">
        <f>IF(AND(G7&gt;=pr_rc_first,MOD(G7-pr_rc_first,pr_rc_cycle)=0),1,0)</f>
        <v/>
      </c>
      <c r="H22" s="26">
        <f>IF(AND(H7&gt;=pr_rc_first,MOD(H7-pr_rc_first,pr_rc_cycle)=0),1,0)</f>
        <v/>
      </c>
      <c r="I22" s="26">
        <f>IF(AND(I7&gt;=pr_rc_first,MOD(I7-pr_rc_first,pr_rc_cycle)=0),1,0)</f>
        <v/>
      </c>
      <c r="J22" s="26">
        <f>IF(AND(J7&gt;=pr_rc_first,MOD(J7-pr_rc_first,pr_rc_cycle)=0),1,0)</f>
        <v/>
      </c>
      <c r="K22" s="26">
        <f>IF(AND(K7&gt;=pr_rc_first,MOD(K7-pr_rc_first,pr_rc_cycle)=0),1,0)</f>
        <v/>
      </c>
      <c r="L22" s="26">
        <f>IF(AND(L7&gt;=pr_rc_first,MOD(L7-pr_rc_first,pr_rc_cycle)=0),1,0)</f>
        <v/>
      </c>
      <c r="M22" s="26">
        <f>IF(AND(M7&gt;=pr_rc_first,MOD(M7-pr_rc_first,pr_rc_cycle)=0),1,0)</f>
        <v/>
      </c>
      <c r="N22" s="26">
        <f>IF(AND(N7&gt;=pr_rc_first,MOD(N7-pr_rc_first,pr_rc_cycle)=0),1,0)</f>
        <v/>
      </c>
    </row>
    <row r="23">
      <c r="B23" s="2" t="inlineStr">
        <is>
          <t>Test year</t>
        </is>
      </c>
      <c r="E23" s="26">
        <f>E7-pr_test_lag</f>
        <v/>
      </c>
      <c r="F23" s="26">
        <f>F7-pr_test_lag</f>
        <v/>
      </c>
      <c r="G23" s="26">
        <f>G7-pr_test_lag</f>
        <v/>
      </c>
      <c r="H23" s="26">
        <f>H7-pr_test_lag</f>
        <v/>
      </c>
      <c r="I23" s="26">
        <f>I7-pr_test_lag</f>
        <v/>
      </c>
      <c r="J23" s="26">
        <f>J7-pr_test_lag</f>
        <v/>
      </c>
      <c r="K23" s="26">
        <f>K7-pr_test_lag</f>
        <v/>
      </c>
      <c r="L23" s="26">
        <f>L7-pr_test_lag</f>
        <v/>
      </c>
      <c r="M23" s="26">
        <f>M7-pr_test_lag</f>
        <v/>
      </c>
      <c r="N23" s="26">
        <f>N7-pr_test_lag</f>
        <v/>
      </c>
    </row>
    <row r="24">
      <c r="B24" s="2" t="inlineStr">
        <is>
          <t>Test year of the latest rate case</t>
        </is>
      </c>
      <c r="D24" s="26">
        <f>pr_close</f>
        <v/>
      </c>
      <c r="E24" s="26">
        <f>IF(E22=1,E23,D24)</f>
        <v/>
      </c>
      <c r="F24" s="26">
        <f>IF(F22=1,F23,E24)</f>
        <v/>
      </c>
      <c r="G24" s="26">
        <f>IF(G22=1,G23,F24)</f>
        <v/>
      </c>
      <c r="H24" s="26">
        <f>IF(H22=1,H23,G24)</f>
        <v/>
      </c>
      <c r="I24" s="26">
        <f>IF(I22=1,I23,H24)</f>
        <v/>
      </c>
      <c r="J24" s="26">
        <f>IF(J22=1,J23,I24)</f>
        <v/>
      </c>
      <c r="K24" s="26">
        <f>IF(K22=1,K23,J24)</f>
        <v/>
      </c>
      <c r="L24" s="26">
        <f>IF(L22=1,L23,K24)</f>
        <v/>
      </c>
      <c r="M24" s="26">
        <f>IF(M22=1,M23,L24)</f>
        <v/>
      </c>
      <c r="N24" s="26">
        <f>IF(N22=1,N23,M24)</f>
        <v/>
      </c>
    </row>
    <row r="25">
      <c r="B25" s="2" t="inlineStr">
        <is>
          <t>Rate base at the end of the test year</t>
        </is>
      </c>
      <c r="C25" s="5" t="inlineStr">
        <is>
          <t>$ million</t>
        </is>
      </c>
      <c r="E25" s="23">
        <f>INDEX($D$64:D$64,MATCH(MAX(E23,pr_close),$D$7:D$7,0))</f>
        <v/>
      </c>
      <c r="F25" s="23">
        <f>INDEX($D$64:E$64,MATCH(MAX(F23,pr_close),$D$7:E$7,0))</f>
        <v/>
      </c>
      <c r="G25" s="23">
        <f>INDEX($D$64:F$64,MATCH(MAX(G23,pr_close),$D$7:F$7,0))</f>
        <v/>
      </c>
      <c r="H25" s="23">
        <f>INDEX($D$64:G$64,MATCH(MAX(H23,pr_close),$D$7:G$7,0))</f>
        <v/>
      </c>
      <c r="I25" s="23">
        <f>INDEX($D$64:H$64,MATCH(MAX(I23,pr_close),$D$7:H$7,0))</f>
        <v/>
      </c>
      <c r="J25" s="23">
        <f>INDEX($D$64:I$64,MATCH(MAX(J23,pr_close),$D$7:I$7,0))</f>
        <v/>
      </c>
      <c r="K25" s="23">
        <f>INDEX($D$64:J$64,MATCH(MAX(K23,pr_close),$D$7:J$7,0))</f>
        <v/>
      </c>
      <c r="L25" s="23">
        <f>INDEX($D$64:K$64,MATCH(MAX(L23,pr_close),$D$7:K$7,0))</f>
        <v/>
      </c>
      <c r="M25" s="23">
        <f>INDEX($D$64:L$64,MATCH(MAX(M23,pr_close),$D$7:L$7,0))</f>
        <v/>
      </c>
      <c r="N25" s="23">
        <f>INDEX($D$64:M$64,MATCH(MAX(N23,pr_close),$D$7:M$7,0))</f>
        <v/>
      </c>
    </row>
    <row r="26">
      <c r="B26" s="2" t="inlineStr">
        <is>
          <t>Embedded cost of debt in the test year</t>
        </is>
      </c>
      <c r="C26" s="5" t="inlineStr">
        <is>
          <t>rate</t>
        </is>
      </c>
      <c r="E26" s="27">
        <f>INDEX($D$68:D$68,MATCH(MAX(E23,pr_close),$D$7:D$7,0))</f>
        <v/>
      </c>
      <c r="F26" s="27">
        <f>INDEX($D$68:E$68,MATCH(MAX(F23,pr_close),$D$7:E$7,0))</f>
        <v/>
      </c>
      <c r="G26" s="27">
        <f>INDEX($D$68:F$68,MATCH(MAX(G23,pr_close),$D$7:F$7,0))</f>
        <v/>
      </c>
      <c r="H26" s="27">
        <f>INDEX($D$68:G$68,MATCH(MAX(H23,pr_close),$D$7:G$7,0))</f>
        <v/>
      </c>
      <c r="I26" s="27">
        <f>INDEX($D$68:H$68,MATCH(MAX(I23,pr_close),$D$7:H$7,0))</f>
        <v/>
      </c>
      <c r="J26" s="27">
        <f>INDEX($D$68:I$68,MATCH(MAX(J23,pr_close),$D$7:I$7,0))</f>
        <v/>
      </c>
      <c r="K26" s="27">
        <f>INDEX($D$68:J$68,MATCH(MAX(K23,pr_close),$D$7:J$7,0))</f>
        <v/>
      </c>
      <c r="L26" s="27">
        <f>INDEX($D$68:K$68,MATCH(MAX(L23,pr_close),$D$7:K$7,0))</f>
        <v/>
      </c>
      <c r="M26" s="27">
        <f>INDEX($D$68:L$68,MATCH(MAX(M23,pr_close),$D$7:L$7,0))</f>
        <v/>
      </c>
      <c r="N26" s="27">
        <f>INDEX($D$68:M$68,MATCH(MAX(N23,pr_close),$D$7:M$7,0))</f>
        <v/>
      </c>
    </row>
    <row r="27">
      <c r="B27" s="2" t="inlineStr">
        <is>
          <t>O&amp;M in the test year</t>
        </is>
      </c>
      <c r="C27" s="5" t="inlineStr">
        <is>
          <t>$ million</t>
        </is>
      </c>
      <c r="E27" s="23">
        <f>INDEX($D$49:D$49,MATCH(MAX(E23,pr_close),$D$7:D$7,0))</f>
        <v/>
      </c>
      <c r="F27" s="23">
        <f>INDEX($D$49:E$49,MATCH(MAX(F23,pr_close),$D$7:E$7,0))</f>
        <v/>
      </c>
      <c r="G27" s="23">
        <f>INDEX($D$49:F$49,MATCH(MAX(G23,pr_close),$D$7:F$7,0))</f>
        <v/>
      </c>
      <c r="H27" s="23">
        <f>INDEX($D$49:G$49,MATCH(MAX(H23,pr_close),$D$7:G$7,0))</f>
        <v/>
      </c>
      <c r="I27" s="23">
        <f>INDEX($D$49:H$49,MATCH(MAX(I23,pr_close),$D$7:H$7,0))</f>
        <v/>
      </c>
      <c r="J27" s="23">
        <f>INDEX($D$49:I$49,MATCH(MAX(J23,pr_close),$D$7:I$7,0))</f>
        <v/>
      </c>
      <c r="K27" s="23">
        <f>INDEX($D$49:J$49,MATCH(MAX(K23,pr_close),$D$7:J$7,0))</f>
        <v/>
      </c>
      <c r="L27" s="23">
        <f>INDEX($D$49:K$49,MATCH(MAX(L23,pr_close),$D$7:K$7,0))</f>
        <v/>
      </c>
      <c r="M27" s="23">
        <f>INDEX($D$49:L$49,MATCH(MAX(M23,pr_close),$D$7:L$7,0))</f>
        <v/>
      </c>
      <c r="N27" s="23">
        <f>INDEX($D$49:M$49,MATCH(MAX(N23,pr_close),$D$7:M$7,0))</f>
        <v/>
      </c>
    </row>
    <row r="28">
      <c r="B28" s="2" t="inlineStr">
        <is>
          <t>Authorized return on rate base</t>
        </is>
      </c>
      <c r="C28" s="5" t="inlineStr">
        <is>
          <t>rate</t>
        </is>
      </c>
      <c r="E28" s="27">
        <f>(pr_eq*Inputs!$C$230+(1-pr_eq)*E26)</f>
        <v/>
      </c>
      <c r="F28" s="27">
        <f>(pr_eq*Inputs!$C$230+(1-pr_eq)*F26)</f>
        <v/>
      </c>
      <c r="G28" s="27">
        <f>(pr_eq*Inputs!$C$230+(1-pr_eq)*G26)</f>
        <v/>
      </c>
      <c r="H28" s="27">
        <f>(pr_eq*Inputs!$C$230+(1-pr_eq)*H26)</f>
        <v/>
      </c>
      <c r="I28" s="27">
        <f>(pr_eq*Inputs!$C$230+(1-pr_eq)*I26)</f>
        <v/>
      </c>
      <c r="J28" s="27">
        <f>(pr_eq*Inputs!$C$230+(1-pr_eq)*J26)</f>
        <v/>
      </c>
      <c r="K28" s="27">
        <f>(pr_eq*Inputs!$C$230+(1-pr_eq)*K26)</f>
        <v/>
      </c>
      <c r="L28" s="27">
        <f>(pr_eq*Inputs!$C$230+(1-pr_eq)*L26)</f>
        <v/>
      </c>
      <c r="M28" s="27">
        <f>(pr_eq*Inputs!$C$230+(1-pr_eq)*M26)</f>
        <v/>
      </c>
      <c r="N28" s="27">
        <f>(pr_eq*Inputs!$C$230+(1-pr_eq)*N26)</f>
        <v/>
      </c>
    </row>
    <row r="29">
      <c r="B29" s="2" t="inlineStr">
        <is>
          <t>Return</t>
        </is>
      </c>
      <c r="C29" s="5" t="inlineStr">
        <is>
          <t>$ million</t>
        </is>
      </c>
      <c r="E29" s="23">
        <f>E28*E25</f>
        <v/>
      </c>
      <c r="F29" s="23">
        <f>F28*F25</f>
        <v/>
      </c>
      <c r="G29" s="23">
        <f>G28*G25</f>
        <v/>
      </c>
      <c r="H29" s="23">
        <f>H28*H25</f>
        <v/>
      </c>
      <c r="I29" s="23">
        <f>I28*I25</f>
        <v/>
      </c>
      <c r="J29" s="23">
        <f>J28*J25</f>
        <v/>
      </c>
      <c r="K29" s="23">
        <f>K28*K25</f>
        <v/>
      </c>
      <c r="L29" s="23">
        <f>L28*L25</f>
        <v/>
      </c>
      <c r="M29" s="23">
        <f>M28*M25</f>
        <v/>
      </c>
      <c r="N29" s="23">
        <f>N28*N25</f>
        <v/>
      </c>
    </row>
    <row r="30">
      <c r="B30" s="2" t="inlineStr">
        <is>
          <t>Income tax gross-up</t>
        </is>
      </c>
      <c r="C30" s="5" t="inlineStr">
        <is>
          <t>$ million</t>
        </is>
      </c>
      <c r="E30" s="23">
        <f>(pr_eq*Inputs!$C$230*pr_tax/(1-pr_tax))*E25</f>
        <v/>
      </c>
      <c r="F30" s="23">
        <f>(pr_eq*Inputs!$C$230*pr_tax/(1-pr_tax))*F25</f>
        <v/>
      </c>
      <c r="G30" s="23">
        <f>(pr_eq*Inputs!$C$230*pr_tax/(1-pr_tax))*G25</f>
        <v/>
      </c>
      <c r="H30" s="23">
        <f>(pr_eq*Inputs!$C$230*pr_tax/(1-pr_tax))*H25</f>
        <v/>
      </c>
      <c r="I30" s="23">
        <f>(pr_eq*Inputs!$C$230*pr_tax/(1-pr_tax))*I25</f>
        <v/>
      </c>
      <c r="J30" s="23">
        <f>(pr_eq*Inputs!$C$230*pr_tax/(1-pr_tax))*J25</f>
        <v/>
      </c>
      <c r="K30" s="23">
        <f>(pr_eq*Inputs!$C$230*pr_tax/(1-pr_tax))*K25</f>
        <v/>
      </c>
      <c r="L30" s="23">
        <f>(pr_eq*Inputs!$C$230*pr_tax/(1-pr_tax))*L25</f>
        <v/>
      </c>
      <c r="M30" s="23">
        <f>(pr_eq*Inputs!$C$230*pr_tax/(1-pr_tax))*M25</f>
        <v/>
      </c>
      <c r="N30" s="23">
        <f>(pr_eq*Inputs!$C$230*pr_tax/(1-pr_tax))*N25</f>
        <v/>
      </c>
    </row>
    <row r="31">
      <c r="B31" s="2" t="inlineStr">
        <is>
          <t>Depreciation</t>
        </is>
      </c>
      <c r="C31" s="5" t="inlineStr">
        <is>
          <t>$ million</t>
        </is>
      </c>
      <c r="E31" s="23">
        <f>pr_dep*E25</f>
        <v/>
      </c>
      <c r="F31" s="23">
        <f>pr_dep*F25</f>
        <v/>
      </c>
      <c r="G31" s="23">
        <f>pr_dep*G25</f>
        <v/>
      </c>
      <c r="H31" s="23">
        <f>pr_dep*H25</f>
        <v/>
      </c>
      <c r="I31" s="23">
        <f>pr_dep*I25</f>
        <v/>
      </c>
      <c r="J31" s="23">
        <f>pr_dep*J25</f>
        <v/>
      </c>
      <c r="K31" s="23">
        <f>pr_dep*K25</f>
        <v/>
      </c>
      <c r="L31" s="23">
        <f>pr_dep*L25</f>
        <v/>
      </c>
      <c r="M31" s="23">
        <f>pr_dep*M25</f>
        <v/>
      </c>
      <c r="N31" s="23">
        <f>pr_dep*N25</f>
        <v/>
      </c>
    </row>
    <row r="32">
      <c r="B32" s="2" t="inlineStr">
        <is>
          <t>Other taxes</t>
        </is>
      </c>
      <c r="C32" s="5" t="inlineStr">
        <is>
          <t>$ million</t>
        </is>
      </c>
      <c r="E32" s="23">
        <f>pr_ptax*E25</f>
        <v/>
      </c>
      <c r="F32" s="23">
        <f>pr_ptax*F25</f>
        <v/>
      </c>
      <c r="G32" s="23">
        <f>pr_ptax*G25</f>
        <v/>
      </c>
      <c r="H32" s="23">
        <f>pr_ptax*H25</f>
        <v/>
      </c>
      <c r="I32" s="23">
        <f>pr_ptax*I25</f>
        <v/>
      </c>
      <c r="J32" s="23">
        <f>pr_ptax*J25</f>
        <v/>
      </c>
      <c r="K32" s="23">
        <f>pr_ptax*K25</f>
        <v/>
      </c>
      <c r="L32" s="23">
        <f>pr_ptax*L25</f>
        <v/>
      </c>
      <c r="M32" s="23">
        <f>pr_ptax*M25</f>
        <v/>
      </c>
      <c r="N32" s="23">
        <f>pr_ptax*N25</f>
        <v/>
      </c>
    </row>
    <row r="33">
      <c r="B33" s="2" t="inlineStr">
        <is>
          <t>O&amp;M (test year, known and measurable)</t>
        </is>
      </c>
      <c r="C33" s="5" t="inlineStr">
        <is>
          <t>$ million</t>
        </is>
      </c>
      <c r="E33" s="23">
        <f>E27*(1+pr_om_infl)*(1+pr_growth)</f>
        <v/>
      </c>
      <c r="F33" s="23">
        <f>F27*(1+pr_om_infl)*(1+pr_growth)</f>
        <v/>
      </c>
      <c r="G33" s="23">
        <f>G27*(1+pr_om_infl)*(1+pr_growth)</f>
        <v/>
      </c>
      <c r="H33" s="23">
        <f>H27*(1+pr_om_infl)*(1+pr_growth)</f>
        <v/>
      </c>
      <c r="I33" s="23">
        <f>I27*(1+pr_om_infl)*(1+pr_growth)</f>
        <v/>
      </c>
      <c r="J33" s="23">
        <f>J27*(1+pr_om_infl)*(1+pr_growth)</f>
        <v/>
      </c>
      <c r="K33" s="23">
        <f>K27*(1+pr_om_infl)*(1+pr_growth)</f>
        <v/>
      </c>
      <c r="L33" s="23">
        <f>L27*(1+pr_om_infl)*(1+pr_growth)</f>
        <v/>
      </c>
      <c r="M33" s="23">
        <f>M27*(1+pr_om_infl)*(1+pr_growth)</f>
        <v/>
      </c>
      <c r="N33" s="23">
        <f>N27*(1+pr_om_infl)*(1+pr_growth)</f>
        <v/>
      </c>
    </row>
    <row r="34">
      <c r="B34" s="2" t="inlineStr">
        <is>
          <t>Revenue requirement (test-year connections)</t>
        </is>
      </c>
      <c r="C34" s="5" t="inlineStr">
        <is>
          <t>$ million</t>
        </is>
      </c>
      <c r="E34" s="23">
        <f>SUM(E29:E33)</f>
        <v/>
      </c>
      <c r="F34" s="23">
        <f>SUM(F29:F33)</f>
        <v/>
      </c>
      <c r="G34" s="23">
        <f>SUM(G29:G33)</f>
        <v/>
      </c>
      <c r="H34" s="23">
        <f>SUM(H29:H33)</f>
        <v/>
      </c>
      <c r="I34" s="23">
        <f>SUM(I29:I33)</f>
        <v/>
      </c>
      <c r="J34" s="23">
        <f>SUM(J29:J33)</f>
        <v/>
      </c>
      <c r="K34" s="23">
        <f>SUM(K29:K33)</f>
        <v/>
      </c>
      <c r="L34" s="23">
        <f>SUM(L29:L33)</f>
        <v/>
      </c>
      <c r="M34" s="23">
        <f>SUM(M29:M33)</f>
        <v/>
      </c>
      <c r="N34" s="23">
        <f>SUM(N29:N33)</f>
        <v/>
      </c>
    </row>
    <row r="35">
      <c r="B35" s="2" t="inlineStr">
        <is>
          <t>Revenue requirement on effective-year connections</t>
        </is>
      </c>
      <c r="C35" s="5" t="inlineStr">
        <is>
          <t>$ million</t>
        </is>
      </c>
      <c r="E35" s="23">
        <f>E34*(1+pr_growth)</f>
        <v/>
      </c>
      <c r="F35" s="23">
        <f>F34*(1+pr_growth)</f>
        <v/>
      </c>
      <c r="G35" s="23">
        <f>G34*(1+pr_growth)</f>
        <v/>
      </c>
      <c r="H35" s="23">
        <f>H34*(1+pr_growth)</f>
        <v/>
      </c>
      <c r="I35" s="23">
        <f>I34*(1+pr_growth)</f>
        <v/>
      </c>
      <c r="J35" s="23">
        <f>J34*(1+pr_growth)</f>
        <v/>
      </c>
      <c r="K35" s="23">
        <f>K34*(1+pr_growth)</f>
        <v/>
      </c>
      <c r="L35" s="23">
        <f>L34*(1+pr_growth)</f>
        <v/>
      </c>
      <c r="M35" s="23">
        <f>M34*(1+pr_growth)</f>
        <v/>
      </c>
      <c r="N35" s="23">
        <f>N34*(1+pr_growth)</f>
        <v/>
      </c>
    </row>
    <row r="36">
      <c r="B36" s="2" t="inlineStr">
        <is>
          <t>Revenue at existing rates</t>
        </is>
      </c>
      <c r="C36" s="5" t="inlineStr">
        <is>
          <t>$ million</t>
        </is>
      </c>
      <c r="E36" s="23">
        <f>IF(E7=(pr_close+1),D42,D42*(1+pr_growth)*(1-pr_vol_share*IF(pr_decoupling=1,0,pr_usage))+D43+D45)</f>
        <v/>
      </c>
      <c r="F36" s="23">
        <f>IF(F7=(pr_close+1),E42,E42*(1+pr_growth)*(1-pr_vol_share*IF(pr_decoupling=1,0,pr_usage))+E43+E45)</f>
        <v/>
      </c>
      <c r="G36" s="23">
        <f>IF(G7=(pr_close+1),F42,F42*(1+pr_growth)*(1-pr_vol_share*IF(pr_decoupling=1,0,pr_usage))+F43+F45)</f>
        <v/>
      </c>
      <c r="H36" s="23">
        <f>IF(H7=(pr_close+1),G42,G42*(1+pr_growth)*(1-pr_vol_share*IF(pr_decoupling=1,0,pr_usage))+G43+G45)</f>
        <v/>
      </c>
      <c r="I36" s="23">
        <f>IF(I7=(pr_close+1),H42,H42*(1+pr_growth)*(1-pr_vol_share*IF(pr_decoupling=1,0,pr_usage))+H43+H45)</f>
        <v/>
      </c>
      <c r="J36" s="23">
        <f>IF(J7=(pr_close+1),I42,I42*(1+pr_growth)*(1-pr_vol_share*IF(pr_decoupling=1,0,pr_usage))+I43+I45)</f>
        <v/>
      </c>
      <c r="K36" s="23">
        <f>IF(K7=(pr_close+1),J42,J42*(1+pr_growth)*(1-pr_vol_share*IF(pr_decoupling=1,0,pr_usage))+J43+J45)</f>
        <v/>
      </c>
      <c r="L36" s="23">
        <f>IF(L7=(pr_close+1),K42,K42*(1+pr_growth)*(1-pr_vol_share*IF(pr_decoupling=1,0,pr_usage))+K43+K45)</f>
        <v/>
      </c>
      <c r="M36" s="23">
        <f>IF(M7=(pr_close+1),L42,L42*(1+pr_growth)*(1-pr_vol_share*IF(pr_decoupling=1,0,pr_usage))+L43+L45)</f>
        <v/>
      </c>
      <c r="N36" s="23">
        <f>IF(N7=(pr_close+1),M42,M42*(1+pr_growth)*(1-pr_vol_share*IF(pr_decoupling=1,0,pr_usage))+M43+M45)</f>
        <v/>
      </c>
    </row>
    <row r="37">
      <c r="B37" s="2" t="inlineStr">
        <is>
          <t>Increase granted</t>
        </is>
      </c>
      <c r="C37" s="5" t="inlineStr">
        <is>
          <t>share</t>
        </is>
      </c>
      <c r="E37" s="20">
        <f>E35/E36-1</f>
        <v/>
      </c>
      <c r="F37" s="20">
        <f>F35/F36-1</f>
        <v/>
      </c>
      <c r="G37" s="20">
        <f>G35/G36-1</f>
        <v/>
      </c>
      <c r="H37" s="20">
        <f>H35/H36-1</f>
        <v/>
      </c>
      <c r="I37" s="20">
        <f>I35/I36-1</f>
        <v/>
      </c>
      <c r="J37" s="20">
        <f>J35/J36-1</f>
        <v/>
      </c>
      <c r="K37" s="20">
        <f>K35/K36-1</f>
        <v/>
      </c>
      <c r="L37" s="20">
        <f>L35/L36-1</f>
        <v/>
      </c>
      <c r="M37" s="20">
        <f>M35/M36-1</f>
        <v/>
      </c>
      <c r="N37" s="20">
        <f>N35/N36-1</f>
        <v/>
      </c>
    </row>
    <row r="38">
      <c r="B38" s="2" t="inlineStr">
        <is>
          <t>Revenue requirement requested (at the requested ROE)</t>
        </is>
      </c>
      <c r="C38" s="5" t="inlineStr">
        <is>
          <t>$ million</t>
        </is>
      </c>
      <c r="E38" s="23">
        <f>(pr_eq*pr_roe_ask+(1-pr_eq)*E26)*E25+pr_eq*pr_roe_ask*E25*pr_tax/(1-pr_tax)+E31+E32+E33</f>
        <v/>
      </c>
      <c r="F38" s="23">
        <f>(pr_eq*pr_roe_ask+(1-pr_eq)*F26)*F25+pr_eq*pr_roe_ask*F25*pr_tax/(1-pr_tax)+F31+F32+F33</f>
        <v/>
      </c>
      <c r="G38" s="23">
        <f>(pr_eq*pr_roe_ask+(1-pr_eq)*G26)*G25+pr_eq*pr_roe_ask*G25*pr_tax/(1-pr_tax)+G31+G32+G33</f>
        <v/>
      </c>
      <c r="H38" s="23">
        <f>(pr_eq*pr_roe_ask+(1-pr_eq)*H26)*H25+pr_eq*pr_roe_ask*H25*pr_tax/(1-pr_tax)+H31+H32+H33</f>
        <v/>
      </c>
      <c r="I38" s="23">
        <f>(pr_eq*pr_roe_ask+(1-pr_eq)*I26)*I25+pr_eq*pr_roe_ask*I25*pr_tax/(1-pr_tax)+I31+I32+I33</f>
        <v/>
      </c>
      <c r="J38" s="23">
        <f>(pr_eq*pr_roe_ask+(1-pr_eq)*J26)*J25+pr_eq*pr_roe_ask*J25*pr_tax/(1-pr_tax)+J31+J32+J33</f>
        <v/>
      </c>
      <c r="K38" s="23">
        <f>(pr_eq*pr_roe_ask+(1-pr_eq)*K26)*K25+pr_eq*pr_roe_ask*K25*pr_tax/(1-pr_tax)+K31+K32+K33</f>
        <v/>
      </c>
      <c r="L38" s="23">
        <f>(pr_eq*pr_roe_ask+(1-pr_eq)*L26)*L25+pr_eq*pr_roe_ask*L25*pr_tax/(1-pr_tax)+L31+L32+L33</f>
        <v/>
      </c>
      <c r="M38" s="23">
        <f>(pr_eq*pr_roe_ask+(1-pr_eq)*M26)*M25+pr_eq*pr_roe_ask*M25*pr_tax/(1-pr_tax)+M31+M32+M33</f>
        <v/>
      </c>
      <c r="N38" s="23">
        <f>(pr_eq*pr_roe_ask+(1-pr_eq)*N26)*N25+pr_eq*pr_roe_ask*N25*pr_tax/(1-pr_tax)+N31+N32+N33</f>
        <v/>
      </c>
    </row>
    <row r="39">
      <c r="B39" s="2" t="inlineStr">
        <is>
          <t>Increase requested</t>
        </is>
      </c>
      <c r="C39" s="5" t="inlineStr">
        <is>
          <t>share</t>
        </is>
      </c>
      <c r="E39" s="20">
        <f>E38*(1+pr_growth)/E36-1</f>
        <v/>
      </c>
      <c r="F39" s="20">
        <f>F38*(1+pr_growth)/F36-1</f>
        <v/>
      </c>
      <c r="G39" s="20">
        <f>G38*(1+pr_growth)/G36-1</f>
        <v/>
      </c>
      <c r="H39" s="20">
        <f>H38*(1+pr_growth)/H36-1</f>
        <v/>
      </c>
      <c r="I39" s="20">
        <f>I38*(1+pr_growth)/I36-1</f>
        <v/>
      </c>
      <c r="J39" s="20">
        <f>J38*(1+pr_growth)/J36-1</f>
        <v/>
      </c>
      <c r="K39" s="20">
        <f>K38*(1+pr_growth)/K36-1</f>
        <v/>
      </c>
      <c r="L39" s="20">
        <f>L38*(1+pr_growth)/L36-1</f>
        <v/>
      </c>
      <c r="M39" s="20">
        <f>M38*(1+pr_growth)/M36-1</f>
        <v/>
      </c>
      <c r="N39" s="20">
        <f>N38*(1+pr_growth)/N36-1</f>
        <v/>
      </c>
    </row>
    <row r="41">
      <c r="B41" s="6" t="inlineStr">
        <is>
          <t>Revenue ($ million)</t>
        </is>
      </c>
      <c r="C41" s="7" t="n"/>
      <c r="D41" s="7" t="n"/>
      <c r="E41" s="7" t="n"/>
      <c r="F41" s="7" t="n"/>
      <c r="G41" s="7" t="n"/>
      <c r="H41" s="7" t="n"/>
      <c r="I41" s="7" t="n"/>
      <c r="J41" s="7" t="n"/>
      <c r="K41" s="7" t="n"/>
      <c r="L41" s="7" t="n"/>
      <c r="M41" s="7" t="n"/>
      <c r="N41" s="7" t="n"/>
    </row>
    <row r="42">
      <c r="B42" s="2" t="inlineStr">
        <is>
          <t>Base revenue (rate case, or prior year x growth x volume erosion)</t>
        </is>
      </c>
      <c r="C42" s="5" t="inlineStr">
        <is>
          <t>$ million</t>
        </is>
      </c>
      <c r="D42" s="23">
        <f>pr_rev_2028/((1+pr_growth)*(1-pr_vol_share*IF(pr_decoupling=1,0,pr_usage)))</f>
        <v/>
      </c>
      <c r="E42" s="23">
        <f>IF(E22=1,E35,D42*(1+pr_growth)*(1-pr_vol_share*IF(pr_decoupling=1,0,pr_usage)))</f>
        <v/>
      </c>
      <c r="F42" s="23">
        <f>IF(F22=1,F35,E42*(1+pr_growth)*(1-pr_vol_share*IF(pr_decoupling=1,0,pr_usage)))</f>
        <v/>
      </c>
      <c r="G42" s="23">
        <f>IF(G22=1,G35,F42*(1+pr_growth)*(1-pr_vol_share*IF(pr_decoupling=1,0,pr_usage)))</f>
        <v/>
      </c>
      <c r="H42" s="23">
        <f>IF(H22=1,H35,G42*(1+pr_growth)*(1-pr_vol_share*IF(pr_decoupling=1,0,pr_usage)))</f>
        <v/>
      </c>
      <c r="I42" s="23">
        <f>IF(I22=1,I35,H42*(1+pr_growth)*(1-pr_vol_share*IF(pr_decoupling=1,0,pr_usage)))</f>
        <v/>
      </c>
      <c r="J42" s="23">
        <f>IF(J22=1,J35,I42*(1+pr_growth)*(1-pr_vol_share*IF(pr_decoupling=1,0,pr_usage)))</f>
        <v/>
      </c>
      <c r="K42" s="23">
        <f>IF(K22=1,K35,J42*(1+pr_growth)*(1-pr_vol_share*IF(pr_decoupling=1,0,pr_usage)))</f>
        <v/>
      </c>
      <c r="L42" s="23">
        <f>IF(L22=1,L35,K42*(1+pr_growth)*(1-pr_vol_share*IF(pr_decoupling=1,0,pr_usage)))</f>
        <v/>
      </c>
      <c r="M42" s="23">
        <f>IF(M22=1,M35,L42*(1+pr_growth)*(1-pr_vol_share*IF(pr_decoupling=1,0,pr_usage)))</f>
        <v/>
      </c>
      <c r="N42" s="23">
        <f>IF(N22=1,N35,M42*(1+pr_growth)*(1-pr_vol_share*IF(pr_decoupling=1,0,pr_usage)))</f>
        <v/>
      </c>
    </row>
    <row r="43">
      <c r="B43" s="2" t="inlineStr">
        <is>
          <t>Fennick revenue at its old rates (until the next rate case)</t>
        </is>
      </c>
      <c r="C43" s="5" t="inlineStr">
        <is>
          <t>$ million</t>
        </is>
      </c>
      <c r="E43" s="23">
        <f>IF(AND(pr_fen_on=1,E7&gt;pr_fen_year,SUMIFS($D$22:E$22,$D$7:E$7,"&gt;"&amp;pr_fen_year)=0),pr_fen_rev,0)</f>
        <v/>
      </c>
      <c r="F43" s="23">
        <f>IF(AND(pr_fen_on=1,F7&gt;pr_fen_year,SUMIFS($D$22:F$22,$D$7:F$7,"&gt;"&amp;pr_fen_year)=0),pr_fen_rev,0)</f>
        <v/>
      </c>
      <c r="G43" s="23">
        <f>IF(AND(pr_fen_on=1,G7&gt;pr_fen_year,SUMIFS($D$22:G$22,$D$7:G$7,"&gt;"&amp;pr_fen_year)=0),pr_fen_rev,0)</f>
        <v/>
      </c>
      <c r="H43" s="23">
        <f>IF(AND(pr_fen_on=1,H7&gt;pr_fen_year,SUMIFS($D$22:H$22,$D$7:H$7,"&gt;"&amp;pr_fen_year)=0),pr_fen_rev,0)</f>
        <v/>
      </c>
      <c r="I43" s="23">
        <f>IF(AND(pr_fen_on=1,I7&gt;pr_fen_year,SUMIFS($D$22:I$22,$D$7:I$7,"&gt;"&amp;pr_fen_year)=0),pr_fen_rev,0)</f>
        <v/>
      </c>
      <c r="J43" s="23">
        <f>IF(AND(pr_fen_on=1,J7&gt;pr_fen_year,SUMIFS($D$22:J$22,$D$7:J$7,"&gt;"&amp;pr_fen_year)=0),pr_fen_rev,0)</f>
        <v/>
      </c>
      <c r="K43" s="23">
        <f>IF(AND(pr_fen_on=1,K7&gt;pr_fen_year,SUMIFS($D$22:K$22,$D$7:K$7,"&gt;"&amp;pr_fen_year)=0),pr_fen_rev,0)</f>
        <v/>
      </c>
      <c r="L43" s="23">
        <f>IF(AND(pr_fen_on=1,L7&gt;pr_fen_year,SUMIFS($D$22:L$22,$D$7:L$7,"&gt;"&amp;pr_fen_year)=0),pr_fen_rev,0)</f>
        <v/>
      </c>
      <c r="M43" s="23">
        <f>IF(AND(pr_fen_on=1,M7&gt;pr_fen_year,SUMIFS($D$22:M$22,$D$7:M$7,"&gt;"&amp;pr_fen_year)=0),pr_fen_rev,0)</f>
        <v/>
      </c>
      <c r="N43" s="23">
        <f>IF(AND(pr_fen_on=1,N7&gt;pr_fen_year,SUMIFS($D$22:N$22,$D$7:N$7,"&gt;"&amp;pr_fen_year)=0),pr_fen_rev,0)</f>
        <v/>
      </c>
    </row>
    <row r="44">
      <c r="B44" s="2" t="inlineStr">
        <is>
          <t>DSIC pool: eligible plant since the latest test year</t>
        </is>
      </c>
      <c r="C44" s="5" t="inlineStr">
        <is>
          <t>$ million</t>
        </is>
      </c>
      <c r="E44" s="23">
        <f>IF(E7=(pr_close+1),0,SUMIFS($D$19:D$19,$D$7:D$7,"&gt;"&amp;E24))</f>
        <v/>
      </c>
      <c r="F44" s="23">
        <f>IF(F7=(pr_close+1),0,SUMIFS($D$19:E$19,$D$7:E$7,"&gt;"&amp;F24))</f>
        <v/>
      </c>
      <c r="G44" s="23">
        <f>IF(G7=(pr_close+1),0,SUMIFS($D$19:F$19,$D$7:F$7,"&gt;"&amp;G24))</f>
        <v/>
      </c>
      <c r="H44" s="23">
        <f>IF(H7=(pr_close+1),0,SUMIFS($D$19:G$19,$D$7:G$7,"&gt;"&amp;H24))</f>
        <v/>
      </c>
      <c r="I44" s="23">
        <f>IF(I7=(pr_close+1),0,SUMIFS($D$19:H$19,$D$7:H$7,"&gt;"&amp;I24))</f>
        <v/>
      </c>
      <c r="J44" s="23">
        <f>IF(J7=(pr_close+1),0,SUMIFS($D$19:I$19,$D$7:I$7,"&gt;"&amp;J24))</f>
        <v/>
      </c>
      <c r="K44" s="23">
        <f>IF(K7=(pr_close+1),0,SUMIFS($D$19:J$19,$D$7:J$7,"&gt;"&amp;K24))</f>
        <v/>
      </c>
      <c r="L44" s="23">
        <f>IF(L7=(pr_close+1),0,SUMIFS($D$19:K$19,$D$7:K$7,"&gt;"&amp;L24))</f>
        <v/>
      </c>
      <c r="M44" s="23">
        <f>IF(M7=(pr_close+1),0,SUMIFS($D$19:L$19,$D$7:L$7,"&gt;"&amp;M24))</f>
        <v/>
      </c>
      <c r="N44" s="23">
        <f>IF(N7=(pr_close+1),0,SUMIFS($D$19:M$19,$D$7:M$7,"&gt;"&amp;N24))</f>
        <v/>
      </c>
    </row>
    <row r="45">
      <c r="B45" s="2" t="inlineStr">
        <is>
          <t>DSIC surcharge (capped)</t>
        </is>
      </c>
      <c r="C45" s="5" t="inlineStr">
        <is>
          <t>$ million</t>
        </is>
      </c>
      <c r="E45" s="23">
        <f>IF(AND(pr_dsic=1,E7&gt;(pr_close+1)),MIN(pr_dsic_cap*E42,E44*((pr_eq*Inputs!$C$230+(1-pr_eq)*D68)+(pr_eq*Inputs!$C$230*pr_tax/(1-pr_tax))+pr_dep)),0)</f>
        <v/>
      </c>
      <c r="F45" s="23">
        <f>IF(AND(pr_dsic=1,F7&gt;(pr_close+1)),MIN(pr_dsic_cap*F42,F44*((pr_eq*Inputs!$C$230+(1-pr_eq)*E68)+(pr_eq*Inputs!$C$230*pr_tax/(1-pr_tax))+pr_dep)),0)</f>
        <v/>
      </c>
      <c r="G45" s="23">
        <f>IF(AND(pr_dsic=1,G7&gt;(pr_close+1)),MIN(pr_dsic_cap*G42,G44*((pr_eq*Inputs!$C$230+(1-pr_eq)*F68)+(pr_eq*Inputs!$C$230*pr_tax/(1-pr_tax))+pr_dep)),0)</f>
        <v/>
      </c>
      <c r="H45" s="23">
        <f>IF(AND(pr_dsic=1,H7&gt;(pr_close+1)),MIN(pr_dsic_cap*H42,H44*((pr_eq*Inputs!$C$230+(1-pr_eq)*G68)+(pr_eq*Inputs!$C$230*pr_tax/(1-pr_tax))+pr_dep)),0)</f>
        <v/>
      </c>
      <c r="I45" s="23">
        <f>IF(AND(pr_dsic=1,I7&gt;(pr_close+1)),MIN(pr_dsic_cap*I42,I44*((pr_eq*Inputs!$C$230+(1-pr_eq)*H68)+(pr_eq*Inputs!$C$230*pr_tax/(1-pr_tax))+pr_dep)),0)</f>
        <v/>
      </c>
      <c r="J45" s="23">
        <f>IF(AND(pr_dsic=1,J7&gt;(pr_close+1)),MIN(pr_dsic_cap*J42,J44*((pr_eq*Inputs!$C$230+(1-pr_eq)*I68)+(pr_eq*Inputs!$C$230*pr_tax/(1-pr_tax))+pr_dep)),0)</f>
        <v/>
      </c>
      <c r="K45" s="23">
        <f>IF(AND(pr_dsic=1,K7&gt;(pr_close+1)),MIN(pr_dsic_cap*K42,K44*((pr_eq*Inputs!$C$230+(1-pr_eq)*J68)+(pr_eq*Inputs!$C$230*pr_tax/(1-pr_tax))+pr_dep)),0)</f>
        <v/>
      </c>
      <c r="L45" s="23">
        <f>IF(AND(pr_dsic=1,L7&gt;(pr_close+1)),MIN(pr_dsic_cap*L42,L44*((pr_eq*Inputs!$C$230+(1-pr_eq)*K68)+(pr_eq*Inputs!$C$230*pr_tax/(1-pr_tax))+pr_dep)),0)</f>
        <v/>
      </c>
      <c r="M45" s="23">
        <f>IF(AND(pr_dsic=1,M7&gt;(pr_close+1)),MIN(pr_dsic_cap*M42,M44*((pr_eq*Inputs!$C$230+(1-pr_eq)*L68)+(pr_eq*Inputs!$C$230*pr_tax/(1-pr_tax))+pr_dep)),0)</f>
        <v/>
      </c>
      <c r="N45" s="23">
        <f>IF(AND(pr_dsic=1,N7&gt;(pr_close+1)),MIN(pr_dsic_cap*N42,N44*((pr_eq*Inputs!$C$230+(1-pr_eq)*M68)+(pr_eq*Inputs!$C$230*pr_tax/(1-pr_tax))+pr_dep)),0)</f>
        <v/>
      </c>
    </row>
    <row r="46">
      <c r="B46" s="3" t="inlineStr">
        <is>
          <t>Revenue</t>
        </is>
      </c>
      <c r="C46" s="5" t="inlineStr">
        <is>
          <t>$ million</t>
        </is>
      </c>
      <c r="E46" s="23">
        <f>E42+E43+E45</f>
        <v/>
      </c>
      <c r="F46" s="23">
        <f>F42+F43+F45</f>
        <v/>
      </c>
      <c r="G46" s="23">
        <f>G42+G43+G45</f>
        <v/>
      </c>
      <c r="H46" s="23">
        <f>H42+H43+H45</f>
        <v/>
      </c>
      <c r="I46" s="23">
        <f>I42+I43+I45</f>
        <v/>
      </c>
      <c r="J46" s="23">
        <f>J42+J43+J45</f>
        <v/>
      </c>
      <c r="K46" s="23">
        <f>K42+K43+K45</f>
        <v/>
      </c>
      <c r="L46" s="23">
        <f>L42+L43+L45</f>
        <v/>
      </c>
      <c r="M46" s="23">
        <f>M42+M43+M45</f>
        <v/>
      </c>
      <c r="N46" s="23">
        <f>N42+N43+N45</f>
        <v/>
      </c>
    </row>
    <row r="48">
      <c r="B48" s="6" t="inlineStr">
        <is>
          <t>Costs and income ($ million)</t>
        </is>
      </c>
      <c r="C48" s="7" t="n"/>
      <c r="D48" s="7" t="n"/>
      <c r="E48" s="7" t="n"/>
      <c r="F48" s="7" t="n"/>
      <c r="G48" s="7" t="n"/>
      <c r="H48" s="7" t="n"/>
      <c r="I48" s="7" t="n"/>
      <c r="J48" s="7" t="n"/>
      <c r="K48" s="7" t="n"/>
      <c r="L48" s="7" t="n"/>
      <c r="M48" s="7" t="n"/>
      <c r="N48" s="7" t="n"/>
    </row>
    <row r="49">
      <c r="B49" s="2" t="inlineStr">
        <is>
          <t>Operation and maintenance (with PFAS and Fennick)</t>
        </is>
      </c>
      <c r="C49" s="5" t="inlineStr">
        <is>
          <t>$ million</t>
        </is>
      </c>
      <c r="D49" s="23">
        <f>pr_om_2028/((1+pr_om_infl)*(1+pr_growth))</f>
        <v/>
      </c>
      <c r="E49" s="23">
        <f>pr_om_2028*((1+pr_om_infl)*(1+pr_growth))^E8+IF(E7&gt;=pr_pfas_om_y+pr_pfas_delay,pr_pfas_om*(1+pr_pfas_om_esc)^(E7-pr_pfas_om_y),0)+IF(AND(pr_fen_on=1,E7&gt;pr_fen_year),pr_fen_om*(1+pr_fen_esc)^(E7-pr_fen_year-1),0)</f>
        <v/>
      </c>
      <c r="F49" s="23">
        <f>pr_om_2028*((1+pr_om_infl)*(1+pr_growth))^F8+IF(F7&gt;=pr_pfas_om_y+pr_pfas_delay,pr_pfas_om*(1+pr_pfas_om_esc)^(F7-pr_pfas_om_y),0)+IF(AND(pr_fen_on=1,F7&gt;pr_fen_year),pr_fen_om*(1+pr_fen_esc)^(F7-pr_fen_year-1),0)</f>
        <v/>
      </c>
      <c r="G49" s="23">
        <f>pr_om_2028*((1+pr_om_infl)*(1+pr_growth))^G8+IF(G7&gt;=pr_pfas_om_y+pr_pfas_delay,pr_pfas_om*(1+pr_pfas_om_esc)^(G7-pr_pfas_om_y),0)+IF(AND(pr_fen_on=1,G7&gt;pr_fen_year),pr_fen_om*(1+pr_fen_esc)^(G7-pr_fen_year-1),0)</f>
        <v/>
      </c>
      <c r="H49" s="23">
        <f>pr_om_2028*((1+pr_om_infl)*(1+pr_growth))^H8+IF(H7&gt;=pr_pfas_om_y+pr_pfas_delay,pr_pfas_om*(1+pr_pfas_om_esc)^(H7-pr_pfas_om_y),0)+IF(AND(pr_fen_on=1,H7&gt;pr_fen_year),pr_fen_om*(1+pr_fen_esc)^(H7-pr_fen_year-1),0)</f>
        <v/>
      </c>
      <c r="I49" s="23">
        <f>pr_om_2028*((1+pr_om_infl)*(1+pr_growth))^I8+IF(I7&gt;=pr_pfas_om_y+pr_pfas_delay,pr_pfas_om*(1+pr_pfas_om_esc)^(I7-pr_pfas_om_y),0)+IF(AND(pr_fen_on=1,I7&gt;pr_fen_year),pr_fen_om*(1+pr_fen_esc)^(I7-pr_fen_year-1),0)</f>
        <v/>
      </c>
      <c r="J49" s="23">
        <f>pr_om_2028*((1+pr_om_infl)*(1+pr_growth))^J8+IF(J7&gt;=pr_pfas_om_y+pr_pfas_delay,pr_pfas_om*(1+pr_pfas_om_esc)^(J7-pr_pfas_om_y),0)+IF(AND(pr_fen_on=1,J7&gt;pr_fen_year),pr_fen_om*(1+pr_fen_esc)^(J7-pr_fen_year-1),0)</f>
        <v/>
      </c>
      <c r="K49" s="23">
        <f>pr_om_2028*((1+pr_om_infl)*(1+pr_growth))^K8+IF(K7&gt;=pr_pfas_om_y+pr_pfas_delay,pr_pfas_om*(1+pr_pfas_om_esc)^(K7-pr_pfas_om_y),0)+IF(AND(pr_fen_on=1,K7&gt;pr_fen_year),pr_fen_om*(1+pr_fen_esc)^(K7-pr_fen_year-1),0)</f>
        <v/>
      </c>
      <c r="L49" s="23">
        <f>pr_om_2028*((1+pr_om_infl)*(1+pr_growth))^L8+IF(L7&gt;=pr_pfas_om_y+pr_pfas_delay,pr_pfas_om*(1+pr_pfas_om_esc)^(L7-pr_pfas_om_y),0)+IF(AND(pr_fen_on=1,L7&gt;pr_fen_year),pr_fen_om*(1+pr_fen_esc)^(L7-pr_fen_year-1),0)</f>
        <v/>
      </c>
      <c r="M49" s="23">
        <f>pr_om_2028*((1+pr_om_infl)*(1+pr_growth))^M8+IF(M7&gt;=pr_pfas_om_y+pr_pfas_delay,pr_pfas_om*(1+pr_pfas_om_esc)^(M7-pr_pfas_om_y),0)+IF(AND(pr_fen_on=1,M7&gt;pr_fen_year),pr_fen_om*(1+pr_fen_esc)^(M7-pr_fen_year-1),0)</f>
        <v/>
      </c>
      <c r="N49" s="23">
        <f>pr_om_2028*((1+pr_om_infl)*(1+pr_growth))^N8+IF(N7&gt;=pr_pfas_om_y+pr_pfas_delay,pr_pfas_om*(1+pr_pfas_om_esc)^(N7-pr_pfas_om_y),0)+IF(AND(pr_fen_on=1,N7&gt;pr_fen_year),pr_fen_om*(1+pr_fen_esc)^(N7-pr_fen_year-1),0)</f>
        <v/>
      </c>
    </row>
    <row r="50">
      <c r="B50" s="2" t="inlineStr">
        <is>
          <t>Customer-side lead cost expensed</t>
        </is>
      </c>
      <c r="C50" s="5" t="inlineStr">
        <is>
          <t>$ million</t>
        </is>
      </c>
      <c r="E50" s="23">
        <f>pr_lead_exp*E16*pr_lead_cust</f>
        <v/>
      </c>
      <c r="F50" s="23">
        <f>pr_lead_exp*F16*pr_lead_cust</f>
        <v/>
      </c>
      <c r="G50" s="23">
        <f>pr_lead_exp*G16*pr_lead_cust</f>
        <v/>
      </c>
      <c r="H50" s="23">
        <f>pr_lead_exp*H16*pr_lead_cust</f>
        <v/>
      </c>
      <c r="I50" s="23">
        <f>pr_lead_exp*I16*pr_lead_cust</f>
        <v/>
      </c>
      <c r="J50" s="23">
        <f>pr_lead_exp*J16*pr_lead_cust</f>
        <v/>
      </c>
      <c r="K50" s="23">
        <f>pr_lead_exp*K16*pr_lead_cust</f>
        <v/>
      </c>
      <c r="L50" s="23">
        <f>pr_lead_exp*L16*pr_lead_cust</f>
        <v/>
      </c>
      <c r="M50" s="23">
        <f>pr_lead_exp*M16*pr_lead_cust</f>
        <v/>
      </c>
      <c r="N50" s="23">
        <f>pr_lead_exp*N16*pr_lead_cust</f>
        <v/>
      </c>
    </row>
    <row r="51">
      <c r="B51" s="2" t="inlineStr">
        <is>
          <t>Other taxes</t>
        </is>
      </c>
      <c r="C51" s="5" t="inlineStr">
        <is>
          <t>$ million</t>
        </is>
      </c>
      <c r="E51" s="23">
        <f>pr_ptax*E60</f>
        <v/>
      </c>
      <c r="F51" s="23">
        <f>pr_ptax*F60</f>
        <v/>
      </c>
      <c r="G51" s="23">
        <f>pr_ptax*G60</f>
        <v/>
      </c>
      <c r="H51" s="23">
        <f>pr_ptax*H60</f>
        <v/>
      </c>
      <c r="I51" s="23">
        <f>pr_ptax*I60</f>
        <v/>
      </c>
      <c r="J51" s="23">
        <f>pr_ptax*J60</f>
        <v/>
      </c>
      <c r="K51" s="23">
        <f>pr_ptax*K60</f>
        <v/>
      </c>
      <c r="L51" s="23">
        <f>pr_ptax*L60</f>
        <v/>
      </c>
      <c r="M51" s="23">
        <f>pr_ptax*M60</f>
        <v/>
      </c>
      <c r="N51" s="23">
        <f>pr_ptax*N60</f>
        <v/>
      </c>
    </row>
    <row r="52">
      <c r="B52" s="2" t="inlineStr">
        <is>
          <t>EBITDA</t>
        </is>
      </c>
      <c r="C52" s="5" t="inlineStr">
        <is>
          <t>$ million</t>
        </is>
      </c>
      <c r="E52" s="23">
        <f>E46-E49-E51-E50</f>
        <v/>
      </c>
      <c r="F52" s="23">
        <f>F46-F49-F51-F50</f>
        <v/>
      </c>
      <c r="G52" s="23">
        <f>G46-G49-G51-G50</f>
        <v/>
      </c>
      <c r="H52" s="23">
        <f>H46-H49-H51-H50</f>
        <v/>
      </c>
      <c r="I52" s="23">
        <f>I46-I49-I51-I50</f>
        <v/>
      </c>
      <c r="J52" s="23">
        <f>J46-J49-J51-J50</f>
        <v/>
      </c>
      <c r="K52" s="23">
        <f>K46-K49-K51-K50</f>
        <v/>
      </c>
      <c r="L52" s="23">
        <f>L46-L49-L51-L50</f>
        <v/>
      </c>
      <c r="M52" s="23">
        <f>M46-M49-M51-M50</f>
        <v/>
      </c>
      <c r="N52" s="23">
        <f>N46-N49-N51-N50</f>
        <v/>
      </c>
    </row>
    <row r="53">
      <c r="B53" s="2" t="inlineStr">
        <is>
          <t>Depreciation</t>
        </is>
      </c>
      <c r="C53" s="5" t="inlineStr">
        <is>
          <t>$ million</t>
        </is>
      </c>
      <c r="E53" s="23">
        <f>pr_dep*E60</f>
        <v/>
      </c>
      <c r="F53" s="23">
        <f>pr_dep*F60</f>
        <v/>
      </c>
      <c r="G53" s="23">
        <f>pr_dep*G60</f>
        <v/>
      </c>
      <c r="H53" s="23">
        <f>pr_dep*H60</f>
        <v/>
      </c>
      <c r="I53" s="23">
        <f>pr_dep*I60</f>
        <v/>
      </c>
      <c r="J53" s="23">
        <f>pr_dep*J60</f>
        <v/>
      </c>
      <c r="K53" s="23">
        <f>pr_dep*K60</f>
        <v/>
      </c>
      <c r="L53" s="23">
        <f>pr_dep*L60</f>
        <v/>
      </c>
      <c r="M53" s="23">
        <f>pr_dep*M60</f>
        <v/>
      </c>
      <c r="N53" s="23">
        <f>pr_dep*N60</f>
        <v/>
      </c>
    </row>
    <row r="54">
      <c r="B54" s="2" t="inlineStr">
        <is>
          <t>Interest (average of opening and closing debt)</t>
        </is>
      </c>
      <c r="C54" s="5" t="inlineStr">
        <is>
          <t>$ million</t>
        </is>
      </c>
      <c r="E54" s="23">
        <f>0.5*(D66*D68+E66*E68)</f>
        <v/>
      </c>
      <c r="F54" s="23">
        <f>0.5*(E66*E68+F66*F68)</f>
        <v/>
      </c>
      <c r="G54" s="23">
        <f>0.5*(F66*F68+G66*G68)</f>
        <v/>
      </c>
      <c r="H54" s="23">
        <f>0.5*(G66*G68+H66*H68)</f>
        <v/>
      </c>
      <c r="I54" s="23">
        <f>0.5*(H66*H68+I66*I68)</f>
        <v/>
      </c>
      <c r="J54" s="23">
        <f>0.5*(I66*I68+J66*J68)</f>
        <v/>
      </c>
      <c r="K54" s="23">
        <f>0.5*(J66*J68+K66*K68)</f>
        <v/>
      </c>
      <c r="L54" s="23">
        <f>0.5*(K66*K68+L66*L68)</f>
        <v/>
      </c>
      <c r="M54" s="23">
        <f>0.5*(L66*L68+M66*M68)</f>
        <v/>
      </c>
      <c r="N54" s="23">
        <f>0.5*(M66*M68+N66*N68)</f>
        <v/>
      </c>
    </row>
    <row r="55">
      <c r="B55" s="2" t="inlineStr">
        <is>
          <t>Income before tax</t>
        </is>
      </c>
      <c r="C55" s="5" t="inlineStr">
        <is>
          <t>$ million</t>
        </is>
      </c>
      <c r="E55" s="23">
        <f>E52-E53-E54</f>
        <v/>
      </c>
      <c r="F55" s="23">
        <f>F52-F53-F54</f>
        <v/>
      </c>
      <c r="G55" s="23">
        <f>G52-G53-G54</f>
        <v/>
      </c>
      <c r="H55" s="23">
        <f>H52-H53-H54</f>
        <v/>
      </c>
      <c r="I55" s="23">
        <f>I52-I53-I54</f>
        <v/>
      </c>
      <c r="J55" s="23">
        <f>J52-J53-J54</f>
        <v/>
      </c>
      <c r="K55" s="23">
        <f>K52-K53-K54</f>
        <v/>
      </c>
      <c r="L55" s="23">
        <f>L52-L53-L54</f>
        <v/>
      </c>
      <c r="M55" s="23">
        <f>M52-M53-M54</f>
        <v/>
      </c>
      <c r="N55" s="23">
        <f>N52-N53-N54</f>
        <v/>
      </c>
    </row>
    <row r="56">
      <c r="B56" s="2" t="inlineStr">
        <is>
          <t>Income tax</t>
        </is>
      </c>
      <c r="C56" s="5" t="inlineStr">
        <is>
          <t>$ million</t>
        </is>
      </c>
      <c r="E56" s="23">
        <f>pr_tax*E55</f>
        <v/>
      </c>
      <c r="F56" s="23">
        <f>pr_tax*F55</f>
        <v/>
      </c>
      <c r="G56" s="23">
        <f>pr_tax*G55</f>
        <v/>
      </c>
      <c r="H56" s="23">
        <f>pr_tax*H55</f>
        <v/>
      </c>
      <c r="I56" s="23">
        <f>pr_tax*I55</f>
        <v/>
      </c>
      <c r="J56" s="23">
        <f>pr_tax*J55</f>
        <v/>
      </c>
      <c r="K56" s="23">
        <f>pr_tax*K55</f>
        <v/>
      </c>
      <c r="L56" s="23">
        <f>pr_tax*L55</f>
        <v/>
      </c>
      <c r="M56" s="23">
        <f>pr_tax*M55</f>
        <v/>
      </c>
      <c r="N56" s="23">
        <f>pr_tax*N55</f>
        <v/>
      </c>
    </row>
    <row r="57">
      <c r="B57" s="3" t="inlineStr">
        <is>
          <t>Net income</t>
        </is>
      </c>
      <c r="C57" s="5" t="inlineStr">
        <is>
          <t>$ million</t>
        </is>
      </c>
      <c r="E57" s="23">
        <f>E55-E56</f>
        <v/>
      </c>
      <c r="F57" s="23">
        <f>F55-F56</f>
        <v/>
      </c>
      <c r="G57" s="23">
        <f>G55-G56</f>
        <v/>
      </c>
      <c r="H57" s="23">
        <f>H55-H56</f>
        <v/>
      </c>
      <c r="I57" s="23">
        <f>I55-I56</f>
        <v/>
      </c>
      <c r="J57" s="23">
        <f>J55-J56</f>
        <v/>
      </c>
      <c r="K57" s="23">
        <f>K55-K56</f>
        <v/>
      </c>
      <c r="L57" s="23">
        <f>L55-L56</f>
        <v/>
      </c>
      <c r="M57" s="23">
        <f>M55-M56</f>
        <v/>
      </c>
      <c r="N57" s="23">
        <f>N55-N56</f>
        <v/>
      </c>
    </row>
    <row r="59">
      <c r="B59" s="6" t="inlineStr">
        <is>
          <t>Rate base and debt ($ million)</t>
        </is>
      </c>
      <c r="C59" s="7" t="n"/>
      <c r="D59" s="7" t="n"/>
      <c r="E59" s="7" t="n"/>
      <c r="F59" s="7" t="n"/>
      <c r="G59" s="7" t="n"/>
      <c r="H59" s="7" t="n"/>
      <c r="I59" s="7" t="n"/>
      <c r="J59" s="7" t="n"/>
      <c r="K59" s="7" t="n"/>
      <c r="L59" s="7" t="n"/>
      <c r="M59" s="7" t="n"/>
      <c r="N59" s="7" t="n"/>
    </row>
    <row r="60">
      <c r="B60" s="2" t="inlineStr">
        <is>
          <t>Opening rate base</t>
        </is>
      </c>
      <c r="C60" s="5" t="inlineStr">
        <is>
          <t>$ million</t>
        </is>
      </c>
      <c r="E60" s="23">
        <f>D64</f>
        <v/>
      </c>
      <c r="F60" s="23">
        <f>E64</f>
        <v/>
      </c>
      <c r="G60" s="23">
        <f>F64</f>
        <v/>
      </c>
      <c r="H60" s="23">
        <f>G64</f>
        <v/>
      </c>
      <c r="I60" s="23">
        <f>H64</f>
        <v/>
      </c>
      <c r="J60" s="23">
        <f>I64</f>
        <v/>
      </c>
      <c r="K60" s="23">
        <f>J64</f>
        <v/>
      </c>
      <c r="L60" s="23">
        <f>K64</f>
        <v/>
      </c>
      <c r="M60" s="23">
        <f>L64</f>
        <v/>
      </c>
      <c r="N60" s="23">
        <f>M64</f>
        <v/>
      </c>
    </row>
    <row r="61">
      <c r="B61" s="2" t="inlineStr">
        <is>
          <t>Spending disallowed (never in rate base)</t>
        </is>
      </c>
      <c r="C61" s="5" t="inlineStr">
        <is>
          <t>$ million</t>
        </is>
      </c>
      <c r="E61" s="23">
        <f>pr_disallow*(E15+E16-E50)</f>
        <v/>
      </c>
      <c r="F61" s="23">
        <f>pr_disallow*(F15+F16-F50)</f>
        <v/>
      </c>
      <c r="G61" s="23">
        <f>pr_disallow*(G15+G16-G50)</f>
        <v/>
      </c>
      <c r="H61" s="23">
        <f>pr_disallow*(H15+H16-H50)</f>
        <v/>
      </c>
      <c r="I61" s="23">
        <f>pr_disallow*(I15+I16-I50)</f>
        <v/>
      </c>
      <c r="J61" s="23">
        <f>pr_disallow*(J15+J16-J50)</f>
        <v/>
      </c>
      <c r="K61" s="23">
        <f>pr_disallow*(K15+K16-K50)</f>
        <v/>
      </c>
      <c r="L61" s="23">
        <f>pr_disallow*(L15+L16-L50)</f>
        <v/>
      </c>
      <c r="M61" s="23">
        <f>pr_disallow*(M15+M16-M50)</f>
        <v/>
      </c>
      <c r="N61" s="23">
        <f>pr_disallow*(N15+N16-N50)</f>
        <v/>
      </c>
    </row>
    <row r="62">
      <c r="B62" s="2" t="inlineStr">
        <is>
          <t>Acquisitions (Fennick at its price)</t>
        </is>
      </c>
      <c r="C62" s="5" t="inlineStr">
        <is>
          <t>$ million</t>
        </is>
      </c>
      <c r="E62" s="23">
        <f>IF(AND(pr_fen_on=1,E7=pr_fen_year),pr_fen_price,0)</f>
        <v/>
      </c>
      <c r="F62" s="23">
        <f>IF(AND(pr_fen_on=1,F7=pr_fen_year),pr_fen_price,0)</f>
        <v/>
      </c>
      <c r="G62" s="23">
        <f>IF(AND(pr_fen_on=1,G7=pr_fen_year),pr_fen_price,0)</f>
        <v/>
      </c>
      <c r="H62" s="23">
        <f>IF(AND(pr_fen_on=1,H7=pr_fen_year),pr_fen_price,0)</f>
        <v/>
      </c>
      <c r="I62" s="23">
        <f>IF(AND(pr_fen_on=1,I7=pr_fen_year),pr_fen_price,0)</f>
        <v/>
      </c>
      <c r="J62" s="23">
        <f>IF(AND(pr_fen_on=1,J7=pr_fen_year),pr_fen_price,0)</f>
        <v/>
      </c>
      <c r="K62" s="23">
        <f>IF(AND(pr_fen_on=1,K7=pr_fen_year),pr_fen_price,0)</f>
        <v/>
      </c>
      <c r="L62" s="23">
        <f>IF(AND(pr_fen_on=1,L7=pr_fen_year),pr_fen_price,0)</f>
        <v/>
      </c>
      <c r="M62" s="23">
        <f>IF(AND(pr_fen_on=1,M7=pr_fen_year),pr_fen_price,0)</f>
        <v/>
      </c>
      <c r="N62" s="23">
        <f>IF(AND(pr_fen_on=1,N7=pr_fen_year),pr_fen_price,0)</f>
        <v/>
      </c>
    </row>
    <row r="63">
      <c r="B63" s="2" t="inlineStr">
        <is>
          <t>Settlement credited against rate base</t>
        </is>
      </c>
      <c r="C63" s="5" t="inlineStr">
        <is>
          <t>$ million</t>
        </is>
      </c>
      <c r="E63" s="23">
        <f>IF(E7=pr_settle_y,pr_settle,0)</f>
        <v/>
      </c>
      <c r="F63" s="23">
        <f>IF(F7=pr_settle_y,pr_settle,0)</f>
        <v/>
      </c>
      <c r="G63" s="23">
        <f>IF(G7=pr_settle_y,pr_settle,0)</f>
        <v/>
      </c>
      <c r="H63" s="23">
        <f>IF(H7=pr_settle_y,pr_settle,0)</f>
        <v/>
      </c>
      <c r="I63" s="23">
        <f>IF(I7=pr_settle_y,pr_settle,0)</f>
        <v/>
      </c>
      <c r="J63" s="23">
        <f>IF(J7=pr_settle_y,pr_settle,0)</f>
        <v/>
      </c>
      <c r="K63" s="23">
        <f>IF(K7=pr_settle_y,pr_settle,0)</f>
        <v/>
      </c>
      <c r="L63" s="23">
        <f>IF(L7=pr_settle_y,pr_settle,0)</f>
        <v/>
      </c>
      <c r="M63" s="23">
        <f>IF(M7=pr_settle_y,pr_settle,0)</f>
        <v/>
      </c>
      <c r="N63" s="23">
        <f>IF(N7=pr_settle_y,pr_settle,0)</f>
        <v/>
      </c>
    </row>
    <row r="64">
      <c r="B64" s="3" t="inlineStr">
        <is>
          <t>Closing rate base</t>
        </is>
      </c>
      <c r="C64" s="5" t="inlineStr">
        <is>
          <t>$ million</t>
        </is>
      </c>
      <c r="D64" s="23">
        <f>pr_rb0</f>
        <v/>
      </c>
      <c r="E64" s="23">
        <f>E60+E18-E50-E61+E62-E53-E63</f>
        <v/>
      </c>
      <c r="F64" s="23">
        <f>F60+F18-F50-F61+F62-F53-F63</f>
        <v/>
      </c>
      <c r="G64" s="23">
        <f>G60+G18-G50-G61+G62-G53-G63</f>
        <v/>
      </c>
      <c r="H64" s="23">
        <f>H60+H18-H50-H61+H62-H53-H63</f>
        <v/>
      </c>
      <c r="I64" s="23">
        <f>I60+I18-I50-I61+I62-I53-I63</f>
        <v/>
      </c>
      <c r="J64" s="23">
        <f>J60+J18-J50-J61+J62-J53-J63</f>
        <v/>
      </c>
      <c r="K64" s="23">
        <f>K60+K18-K50-K61+K62-K53-K63</f>
        <v/>
      </c>
      <c r="L64" s="23">
        <f>L60+L18-L50-L61+L62-L53-L63</f>
        <v/>
      </c>
      <c r="M64" s="23">
        <f>M60+M18-M50-M61+M62-M53-M63</f>
        <v/>
      </c>
      <c r="N64" s="23">
        <f>N60+N18-N50-N61+N62-N53-N63</f>
        <v/>
      </c>
    </row>
    <row r="65">
      <c r="B65" s="2" t="inlineStr">
        <is>
          <t>Original bonds outstanding</t>
        </is>
      </c>
      <c r="C65" s="5" t="inlineStr">
        <is>
          <t>$ million</t>
        </is>
      </c>
      <c r="D65" s="23">
        <f>(1-pr_eq)*pr_rb0</f>
        <v/>
      </c>
      <c r="E65" s="23">
        <f>MAX(0,D65-pr_amort*(1-pr_eq)*pr_rb0)</f>
        <v/>
      </c>
      <c r="F65" s="23">
        <f>MAX(0,E65-pr_amort*(1-pr_eq)*pr_rb0)</f>
        <v/>
      </c>
      <c r="G65" s="23">
        <f>MAX(0,F65-pr_amort*(1-pr_eq)*pr_rb0)</f>
        <v/>
      </c>
      <c r="H65" s="23">
        <f>MAX(0,G65-pr_amort*(1-pr_eq)*pr_rb0)</f>
        <v/>
      </c>
      <c r="I65" s="23">
        <f>MAX(0,H65-pr_amort*(1-pr_eq)*pr_rb0)</f>
        <v/>
      </c>
      <c r="J65" s="23">
        <f>MAX(0,I65-pr_amort*(1-pr_eq)*pr_rb0)</f>
        <v/>
      </c>
      <c r="K65" s="23">
        <f>MAX(0,J65-pr_amort*(1-pr_eq)*pr_rb0)</f>
        <v/>
      </c>
      <c r="L65" s="23">
        <f>MAX(0,K65-pr_amort*(1-pr_eq)*pr_rb0)</f>
        <v/>
      </c>
      <c r="M65" s="23">
        <f>MAX(0,L65-pr_amort*(1-pr_eq)*pr_rb0)</f>
        <v/>
      </c>
      <c r="N65" s="23">
        <f>MAX(0,M65-pr_amort*(1-pr_eq)*pr_rb0)</f>
        <v/>
      </c>
    </row>
    <row r="66">
      <c r="B66" s="2" t="inlineStr">
        <is>
          <t>Operating company debt (debt share of rate base)</t>
        </is>
      </c>
      <c r="C66" s="5" t="inlineStr">
        <is>
          <t>$ million</t>
        </is>
      </c>
      <c r="D66" s="23">
        <f>(1-pr_eq)*D64</f>
        <v/>
      </c>
      <c r="E66" s="23">
        <f>(1-pr_eq)*E64</f>
        <v/>
      </c>
      <c r="F66" s="23">
        <f>(1-pr_eq)*F64</f>
        <v/>
      </c>
      <c r="G66" s="23">
        <f>(1-pr_eq)*G64</f>
        <v/>
      </c>
      <c r="H66" s="23">
        <f>(1-pr_eq)*H64</f>
        <v/>
      </c>
      <c r="I66" s="23">
        <f>(1-pr_eq)*I64</f>
        <v/>
      </c>
      <c r="J66" s="23">
        <f>(1-pr_eq)*J64</f>
        <v/>
      </c>
      <c r="K66" s="23">
        <f>(1-pr_eq)*K64</f>
        <v/>
      </c>
      <c r="L66" s="23">
        <f>(1-pr_eq)*L64</f>
        <v/>
      </c>
      <c r="M66" s="23">
        <f>(1-pr_eq)*M64</f>
        <v/>
      </c>
      <c r="N66" s="23">
        <f>(1-pr_eq)*N64</f>
        <v/>
      </c>
    </row>
    <row r="67">
      <c r="B67" s="2" t="inlineStr">
        <is>
          <t>New bonds outstanding</t>
        </is>
      </c>
      <c r="C67" s="5" t="inlineStr">
        <is>
          <t>$ million</t>
        </is>
      </c>
      <c r="D67" s="23">
        <f>D66-D65</f>
        <v/>
      </c>
      <c r="E67" s="23">
        <f>E66-E65</f>
        <v/>
      </c>
      <c r="F67" s="23">
        <f>F66-F65</f>
        <v/>
      </c>
      <c r="G67" s="23">
        <f>G66-G65</f>
        <v/>
      </c>
      <c r="H67" s="23">
        <f>H66-H65</f>
        <v/>
      </c>
      <c r="I67" s="23">
        <f>I66-I65</f>
        <v/>
      </c>
      <c r="J67" s="23">
        <f>J66-J65</f>
        <v/>
      </c>
      <c r="K67" s="23">
        <f>K66-K65</f>
        <v/>
      </c>
      <c r="L67" s="23">
        <f>L66-L65</f>
        <v/>
      </c>
      <c r="M67" s="23">
        <f>M66-M65</f>
        <v/>
      </c>
      <c r="N67" s="23">
        <f>N66-N65</f>
        <v/>
      </c>
    </row>
    <row r="68">
      <c r="B68" s="2" t="inlineStr">
        <is>
          <t>Embedded cost of debt at year end</t>
        </is>
      </c>
      <c r="C68" s="5" t="inlineStr">
        <is>
          <t>rate</t>
        </is>
      </c>
      <c r="D68" s="27">
        <f>pr_kd_old</f>
        <v/>
      </c>
      <c r="E68" s="27">
        <f>(E65*pr_kd_old+E67*pr_kd_new)/E66</f>
        <v/>
      </c>
      <c r="F68" s="27">
        <f>(F65*pr_kd_old+F67*pr_kd_new)/F66</f>
        <v/>
      </c>
      <c r="G68" s="27">
        <f>(G65*pr_kd_old+G67*pr_kd_new)/G66</f>
        <v/>
      </c>
      <c r="H68" s="27">
        <f>(H65*pr_kd_old+H67*pr_kd_new)/H66</f>
        <v/>
      </c>
      <c r="I68" s="27">
        <f>(I65*pr_kd_old+I67*pr_kd_new)/I66</f>
        <v/>
      </c>
      <c r="J68" s="27">
        <f>(J65*pr_kd_old+J67*pr_kd_new)/J66</f>
        <v/>
      </c>
      <c r="K68" s="27">
        <f>(K65*pr_kd_old+K67*pr_kd_new)/K66</f>
        <v/>
      </c>
      <c r="L68" s="27">
        <f>(L65*pr_kd_old+L67*pr_kd_new)/L66</f>
        <v/>
      </c>
      <c r="M68" s="27">
        <f>(M65*pr_kd_old+M67*pr_kd_new)/M66</f>
        <v/>
      </c>
      <c r="N68" s="27">
        <f>(N65*pr_kd_old+N67*pr_kd_new)/N66</f>
        <v/>
      </c>
    </row>
    <row r="70">
      <c r="B70" s="6" t="inlineStr">
        <is>
          <t>Returns and cash ($ million)</t>
        </is>
      </c>
      <c r="C70" s="7" t="n"/>
      <c r="D70" s="7" t="n"/>
      <c r="E70" s="7" t="n"/>
      <c r="F70" s="7" t="n"/>
      <c r="G70" s="7" t="n"/>
      <c r="H70" s="7" t="n"/>
      <c r="I70" s="7" t="n"/>
      <c r="J70" s="7" t="n"/>
      <c r="K70" s="7" t="n"/>
      <c r="L70" s="7" t="n"/>
      <c r="M70" s="7" t="n"/>
      <c r="N70" s="7" t="n"/>
    </row>
    <row r="71">
      <c r="B71" s="2" t="inlineStr">
        <is>
          <t>Average equity share of rate base</t>
        </is>
      </c>
      <c r="C71" s="5" t="inlineStr">
        <is>
          <t>$ million</t>
        </is>
      </c>
      <c r="E71" s="23">
        <f>pr_eq*0.5*(E60+E64)</f>
        <v/>
      </c>
      <c r="F71" s="23">
        <f>pr_eq*0.5*(F60+F64)</f>
        <v/>
      </c>
      <c r="G71" s="23">
        <f>pr_eq*0.5*(G60+G64)</f>
        <v/>
      </c>
      <c r="H71" s="23">
        <f>pr_eq*0.5*(H60+H64)</f>
        <v/>
      </c>
      <c r="I71" s="23">
        <f>pr_eq*0.5*(I60+I64)</f>
        <v/>
      </c>
      <c r="J71" s="23">
        <f>pr_eq*0.5*(J60+J64)</f>
        <v/>
      </c>
      <c r="K71" s="23">
        <f>pr_eq*0.5*(K60+K64)</f>
        <v/>
      </c>
      <c r="L71" s="23">
        <f>pr_eq*0.5*(L60+L64)</f>
        <v/>
      </c>
      <c r="M71" s="23">
        <f>pr_eq*0.5*(M60+M64)</f>
        <v/>
      </c>
      <c r="N71" s="23">
        <f>pr_eq*0.5*(N60+N64)</f>
        <v/>
      </c>
    </row>
    <row r="72">
      <c r="B72" s="2" t="inlineStr">
        <is>
          <t>Earned return on equity</t>
        </is>
      </c>
      <c r="C72" s="5" t="inlineStr">
        <is>
          <t>rate</t>
        </is>
      </c>
      <c r="E72" s="27">
        <f>E57/E71</f>
        <v/>
      </c>
      <c r="F72" s="27">
        <f>F57/F71</f>
        <v/>
      </c>
      <c r="G72" s="27">
        <f>G57/G71</f>
        <v/>
      </c>
      <c r="H72" s="27">
        <f>H57/H71</f>
        <v/>
      </c>
      <c r="I72" s="27">
        <f>I57/I71</f>
        <v/>
      </c>
      <c r="J72" s="27">
        <f>J57/J71</f>
        <v/>
      </c>
      <c r="K72" s="27">
        <f>K57/K71</f>
        <v/>
      </c>
      <c r="L72" s="27">
        <f>L57/L71</f>
        <v/>
      </c>
      <c r="M72" s="27">
        <f>M57/M71</f>
        <v/>
      </c>
      <c r="N72" s="27">
        <f>N57/N71</f>
        <v/>
      </c>
    </row>
    <row r="73">
      <c r="B73" s="2" t="inlineStr">
        <is>
          <t>Authorized return on equity</t>
        </is>
      </c>
      <c r="C73" s="5" t="inlineStr">
        <is>
          <t>rate</t>
        </is>
      </c>
      <c r="E73" s="27">
        <f>Inputs!$C$230</f>
        <v/>
      </c>
      <c r="F73" s="27">
        <f>Inputs!$C$230</f>
        <v/>
      </c>
      <c r="G73" s="27">
        <f>Inputs!$C$230</f>
        <v/>
      </c>
      <c r="H73" s="27">
        <f>Inputs!$C$230</f>
        <v/>
      </c>
      <c r="I73" s="27">
        <f>Inputs!$C$230</f>
        <v/>
      </c>
      <c r="J73" s="27">
        <f>Inputs!$C$230</f>
        <v/>
      </c>
      <c r="K73" s="27">
        <f>Inputs!$C$230</f>
        <v/>
      </c>
      <c r="L73" s="27">
        <f>Inputs!$C$230</f>
        <v/>
      </c>
      <c r="M73" s="27">
        <f>Inputs!$C$230</f>
        <v/>
      </c>
      <c r="N73" s="27">
        <f>Inputs!$C$230</f>
        <v/>
      </c>
    </row>
    <row r="74">
      <c r="B74" s="3" t="inlineStr">
        <is>
          <t>Cash to the shareholder (FCFE)</t>
        </is>
      </c>
      <c r="C74" s="5" t="inlineStr">
        <is>
          <t>$ million</t>
        </is>
      </c>
      <c r="E74" s="23">
        <f>E57+E53-E18-E62+E63+E66-D66</f>
        <v/>
      </c>
      <c r="F74" s="23">
        <f>F57+F53-F18-F62+F63+F66-E66</f>
        <v/>
      </c>
      <c r="G74" s="23">
        <f>G57+G53-G18-G62+G63+G66-F66</f>
        <v/>
      </c>
      <c r="H74" s="23">
        <f>H57+H53-H18-H62+H63+H66-G66</f>
        <v/>
      </c>
      <c r="I74" s="23">
        <f>I57+I53-I18-I62+I63+I66-H66</f>
        <v/>
      </c>
      <c r="J74" s="23">
        <f>J57+J53-J18-J62+J63+J66-I66</f>
        <v/>
      </c>
      <c r="K74" s="23">
        <f>K57+K53-K18-K62+K63+K66-J66</f>
        <v/>
      </c>
      <c r="L74" s="23">
        <f>L57+L53-L18-L62+L63+L66-K66</f>
        <v/>
      </c>
      <c r="M74" s="23">
        <f>M57+M53-M18-M62+M63+M66-L66</f>
        <v/>
      </c>
      <c r="N74" s="23">
        <f>N57+N53-N18-N62+N63+N66-M66</f>
        <v/>
      </c>
    </row>
    <row r="75">
      <c r="B75" s="2" t="inlineStr">
        <is>
          <t>Funds from operations (net income + depreciation)</t>
        </is>
      </c>
      <c r="C75" s="5" t="inlineStr">
        <is>
          <t>$ million</t>
        </is>
      </c>
      <c r="E75" s="23">
        <f>E57+E53</f>
        <v/>
      </c>
      <c r="F75" s="23">
        <f>F57+F53</f>
        <v/>
      </c>
      <c r="G75" s="23">
        <f>G57+G53</f>
        <v/>
      </c>
      <c r="H75" s="23">
        <f>H57+H53</f>
        <v/>
      </c>
      <c r="I75" s="23">
        <f>I57+I53</f>
        <v/>
      </c>
      <c r="J75" s="23">
        <f>J57+J53</f>
        <v/>
      </c>
      <c r="K75" s="23">
        <f>K57+K53</f>
        <v/>
      </c>
      <c r="L75" s="23">
        <f>L57+L53</f>
        <v/>
      </c>
      <c r="M75" s="23">
        <f>M57+M53</f>
        <v/>
      </c>
      <c r="N75" s="23">
        <f>N57+N53</f>
        <v/>
      </c>
    </row>
    <row r="76">
      <c r="B76" s="3" t="inlineStr">
        <is>
          <t>Brannock's net flows (exit at the exit multiple)</t>
        </is>
      </c>
      <c r="C76" s="5" t="inlineStr">
        <is>
          <t>$ million</t>
        </is>
      </c>
      <c r="D76" s="23">
        <f>-(pr_ev_mult*pr_rb0-(1-pr_eq)*pr_rb0+pr_costs-pr_holdco)</f>
        <v/>
      </c>
      <c r="E76" s="23">
        <f>E74-pr_holdco*pr_kd_holdco*(1-pr_tax)</f>
        <v/>
      </c>
      <c r="F76" s="23">
        <f>F74-pr_holdco*pr_kd_holdco*(1-pr_tax)</f>
        <v/>
      </c>
      <c r="G76" s="23">
        <f>G74-pr_holdco*pr_kd_holdco*(1-pr_tax)</f>
        <v/>
      </c>
      <c r="H76" s="23">
        <f>H74-pr_holdco*pr_kd_holdco*(1-pr_tax)</f>
        <v/>
      </c>
      <c r="I76" s="23">
        <f>I74-pr_holdco*pr_kd_holdco*(1-pr_tax)</f>
        <v/>
      </c>
      <c r="J76" s="23">
        <f>J74-pr_holdco*pr_kd_holdco*(1-pr_tax)</f>
        <v/>
      </c>
      <c r="K76" s="23">
        <f>K74-pr_holdco*pr_kd_holdco*(1-pr_tax)</f>
        <v/>
      </c>
      <c r="L76" s="23">
        <f>L74-pr_holdco*pr_kd_holdco*(1-pr_tax)</f>
        <v/>
      </c>
      <c r="M76" s="23">
        <f>M74-pr_holdco*pr_kd_holdco*(1-pr_tax)</f>
        <v/>
      </c>
      <c r="N76" s="23">
        <f>N74-pr_holdco*pr_kd_holdco*(1-pr_tax)+pr_exit_mult*N64-N66-pr_holdco</f>
        <v/>
      </c>
    </row>
    <row r="77">
      <c r="B77" s="2" t="inlineStr">
        <is>
          <t>Levered IRR</t>
        </is>
      </c>
      <c r="C77" s="5" t="inlineStr">
        <is>
          <t>rate</t>
        </is>
      </c>
      <c r="D77" s="27">
        <f>IRR($D$76:N$76,0.08)</f>
        <v/>
      </c>
    </row>
    <row r="78">
      <c r="B78" s="2" t="inlineStr">
        <is>
          <t>Average earned return on equity 2028 to 2037</t>
        </is>
      </c>
      <c r="C78" s="5" t="inlineStr">
        <is>
          <t>rate</t>
        </is>
      </c>
      <c r="D78" s="27">
        <f>AVERAGE($E$72:N$72)</f>
        <v/>
      </c>
    </row>
    <row r="79">
      <c r="B79" s="2" t="inlineStr">
        <is>
          <t>Price at the target return (enterprise value)</t>
        </is>
      </c>
      <c r="C79" s="5" t="inlineStr">
        <is>
          <t>$ million</t>
        </is>
      </c>
      <c r="D79" s="23">
        <f>NPV(pr_target,$E$76:N$76)+(1-pr_eq)*pr_rb0-pr_costs+pr_holdco</f>
        <v/>
      </c>
    </row>
    <row r="80">
      <c r="B80" s="2" t="inlineStr">
        <is>
          <t>Exit equity</t>
        </is>
      </c>
      <c r="C80" s="5" t="inlineStr">
        <is>
          <t>$ million</t>
        </is>
      </c>
      <c r="D80" s="23">
        <f>pr_exit_mult*N64-N66-pr_holdco</f>
        <v/>
      </c>
    </row>
    <row r="81">
      <c r="B81" s="2" t="inlineStr">
        <is>
          <t>Rate base at exit</t>
        </is>
      </c>
      <c r="C81" s="5" t="inlineStr">
        <is>
          <t>$ million</t>
        </is>
      </c>
      <c r="D81" s="23">
        <f>N64</f>
        <v/>
      </c>
    </row>
    <row r="84">
      <c r="B84" s="6" t="inlineStr">
        <is>
          <t>S2: Authorized return on equity 10.10 percent (Pell River, after tax)</t>
        </is>
      </c>
      <c r="C84" s="7" t="n"/>
      <c r="D84" s="7" t="n"/>
      <c r="E84" s="7" t="n"/>
      <c r="F84" s="7" t="n"/>
      <c r="G84" s="7" t="n"/>
      <c r="H84" s="7" t="n"/>
      <c r="I84" s="7" t="n"/>
      <c r="J84" s="7" t="n"/>
      <c r="K84" s="7" t="n"/>
      <c r="L84" s="7" t="n"/>
      <c r="M84" s="7" t="n"/>
      <c r="N84" s="7" t="n"/>
    </row>
    <row r="85">
      <c r="B85" s="2" t="inlineStr">
        <is>
          <t>Year (31 December)</t>
        </is>
      </c>
      <c r="D85" s="26">
        <f>pr_close</f>
        <v/>
      </c>
      <c r="E85" s="26">
        <f>D85+1</f>
        <v/>
      </c>
      <c r="F85" s="26">
        <f>E85+1</f>
        <v/>
      </c>
      <c r="G85" s="26">
        <f>F85+1</f>
        <v/>
      </c>
      <c r="H85" s="26">
        <f>G85+1</f>
        <v/>
      </c>
      <c r="I85" s="26">
        <f>H85+1</f>
        <v/>
      </c>
      <c r="J85" s="26">
        <f>I85+1</f>
        <v/>
      </c>
      <c r="K85" s="26">
        <f>J85+1</f>
        <v/>
      </c>
      <c r="L85" s="26">
        <f>K85+1</f>
        <v/>
      </c>
      <c r="M85" s="26">
        <f>L85+1</f>
        <v/>
      </c>
      <c r="N85" s="26">
        <f>M85+1</f>
        <v/>
      </c>
    </row>
    <row r="86">
      <c r="B86" s="2" t="inlineStr">
        <is>
          <t>Years after the first year of the hold (2028 = 0)</t>
        </is>
      </c>
      <c r="D86" s="26">
        <f>D85-(pr_close+1)</f>
        <v/>
      </c>
      <c r="E86" s="26">
        <f>E85-(pr_close+1)</f>
        <v/>
      </c>
      <c r="F86" s="26">
        <f>F85-(pr_close+1)</f>
        <v/>
      </c>
      <c r="G86" s="26">
        <f>G85-(pr_close+1)</f>
        <v/>
      </c>
      <c r="H86" s="26">
        <f>H85-(pr_close+1)</f>
        <v/>
      </c>
      <c r="I86" s="26">
        <f>I85-(pr_close+1)</f>
        <v/>
      </c>
      <c r="J86" s="26">
        <f>J85-(pr_close+1)</f>
        <v/>
      </c>
      <c r="K86" s="26">
        <f>K85-(pr_close+1)</f>
        <v/>
      </c>
      <c r="L86" s="26">
        <f>L85-(pr_close+1)</f>
        <v/>
      </c>
      <c r="M86" s="26">
        <f>M85-(pr_close+1)</f>
        <v/>
      </c>
      <c r="N86" s="26">
        <f>N85-(pr_close+1)</f>
        <v/>
      </c>
    </row>
    <row r="87">
      <c r="B87" s="2" t="inlineStr">
        <is>
          <t>Connections (water and wastewater), year end</t>
        </is>
      </c>
      <c r="C87" s="5" t="inlineStr">
        <is>
          <t>number</t>
        </is>
      </c>
      <c r="D87" s="19">
        <f>pr_water_conn+pr_ww_conn</f>
        <v/>
      </c>
      <c r="E87" s="19">
        <f>D87*(1+pr_growth)+IF(AND(pr_fen_on=1,E85=pr_fen_year+1),pr_fen_conn,0)</f>
        <v/>
      </c>
      <c r="F87" s="19">
        <f>E87*(1+pr_growth)+IF(AND(pr_fen_on=1,F85=pr_fen_year+1),pr_fen_conn,0)</f>
        <v/>
      </c>
      <c r="G87" s="19">
        <f>F87*(1+pr_growth)+IF(AND(pr_fen_on=1,G85=pr_fen_year+1),pr_fen_conn,0)</f>
        <v/>
      </c>
      <c r="H87" s="19">
        <f>G87*(1+pr_growth)+IF(AND(pr_fen_on=1,H85=pr_fen_year+1),pr_fen_conn,0)</f>
        <v/>
      </c>
      <c r="I87" s="19">
        <f>H87*(1+pr_growth)+IF(AND(pr_fen_on=1,I85=pr_fen_year+1),pr_fen_conn,0)</f>
        <v/>
      </c>
      <c r="J87" s="19">
        <f>I87*(1+pr_growth)+IF(AND(pr_fen_on=1,J85=pr_fen_year+1),pr_fen_conn,0)</f>
        <v/>
      </c>
      <c r="K87" s="19">
        <f>J87*(1+pr_growth)+IF(AND(pr_fen_on=1,K85=pr_fen_year+1),pr_fen_conn,0)</f>
        <v/>
      </c>
      <c r="L87" s="19">
        <f>K87*(1+pr_growth)+IF(AND(pr_fen_on=1,L85=pr_fen_year+1),pr_fen_conn,0)</f>
        <v/>
      </c>
      <c r="M87" s="19">
        <f>L87*(1+pr_growth)+IF(AND(pr_fen_on=1,M85=pr_fen_year+1),pr_fen_conn,0)</f>
        <v/>
      </c>
      <c r="N87" s="19">
        <f>M87*(1+pr_growth)+IF(AND(pr_fen_on=1,N85=pr_fen_year+1),pr_fen_conn,0)</f>
        <v/>
      </c>
    </row>
    <row r="89">
      <c r="B89" s="6" t="inlineStr">
        <is>
          <t>Capital spending ($ million)</t>
        </is>
      </c>
      <c r="C89" s="7" t="n"/>
      <c r="D89" s="7" t="n"/>
      <c r="E89" s="7" t="n"/>
      <c r="F89" s="7" t="n"/>
      <c r="G89" s="7" t="n"/>
      <c r="H89" s="7" t="n"/>
      <c r="I89" s="7" t="n"/>
      <c r="J89" s="7" t="n"/>
      <c r="K89" s="7" t="n"/>
      <c r="L89" s="7" t="n"/>
      <c r="M89" s="7" t="n"/>
      <c r="N89" s="7" t="n"/>
    </row>
    <row r="90">
      <c r="B90" s="2" t="inlineStr">
        <is>
          <t>Cost escalation index (2028 = 1)</t>
        </is>
      </c>
      <c r="E90" s="28">
        <f>(1+pr_capex_esc)^(E85-(pr_close+1))</f>
        <v/>
      </c>
      <c r="F90" s="28">
        <f>(1+pr_capex_esc)^(F85-(pr_close+1))</f>
        <v/>
      </c>
      <c r="G90" s="28">
        <f>(1+pr_capex_esc)^(G85-(pr_close+1))</f>
        <v/>
      </c>
      <c r="H90" s="28">
        <f>(1+pr_capex_esc)^(H85-(pr_close+1))</f>
        <v/>
      </c>
      <c r="I90" s="28">
        <f>(1+pr_capex_esc)^(I85-(pr_close+1))</f>
        <v/>
      </c>
      <c r="J90" s="28">
        <f>(1+pr_capex_esc)^(J85-(pr_close+1))</f>
        <v/>
      </c>
      <c r="K90" s="28">
        <f>(1+pr_capex_esc)^(K85-(pr_close+1))</f>
        <v/>
      </c>
      <c r="L90" s="28">
        <f>(1+pr_capex_esc)^(L85-(pr_close+1))</f>
        <v/>
      </c>
      <c r="M90" s="28">
        <f>(1+pr_capex_esc)^(M85-(pr_close+1))</f>
        <v/>
      </c>
      <c r="N90" s="28">
        <f>(1+pr_capex_esc)^(N85-(pr_close+1))</f>
        <v/>
      </c>
    </row>
    <row r="91">
      <c r="B91" s="2" t="inlineStr">
        <is>
          <t>Main renewal</t>
        </is>
      </c>
      <c r="C91" s="5" t="inlineStr">
        <is>
          <t>$ million</t>
        </is>
      </c>
      <c r="E91" s="23">
        <f>pr_renewal*pr_mains_miles*pr_cost_mile*E90*(1+pr_capex_shift)</f>
        <v/>
      </c>
      <c r="F91" s="23">
        <f>pr_renewal*pr_mains_miles*pr_cost_mile*F90*(1+pr_capex_shift)</f>
        <v/>
      </c>
      <c r="G91" s="23">
        <f>pr_renewal*pr_mains_miles*pr_cost_mile*G90*(1+pr_capex_shift)</f>
        <v/>
      </c>
      <c r="H91" s="23">
        <f>pr_renewal*pr_mains_miles*pr_cost_mile*H90*(1+pr_capex_shift)</f>
        <v/>
      </c>
      <c r="I91" s="23">
        <f>pr_renewal*pr_mains_miles*pr_cost_mile*I90*(1+pr_capex_shift)</f>
        <v/>
      </c>
      <c r="J91" s="23">
        <f>pr_renewal*pr_mains_miles*pr_cost_mile*J90*(1+pr_capex_shift)</f>
        <v/>
      </c>
      <c r="K91" s="23">
        <f>pr_renewal*pr_mains_miles*pr_cost_mile*K90*(1+pr_capex_shift)</f>
        <v/>
      </c>
      <c r="L91" s="23">
        <f>pr_renewal*pr_mains_miles*pr_cost_mile*L90*(1+pr_capex_shift)</f>
        <v/>
      </c>
      <c r="M91" s="23">
        <f>pr_renewal*pr_mains_miles*pr_cost_mile*M90*(1+pr_capex_shift)</f>
        <v/>
      </c>
      <c r="N91" s="23">
        <f>pr_renewal*pr_mains_miles*pr_cost_mile*N90*(1+pr_capex_shift)</f>
        <v/>
      </c>
    </row>
    <row r="92">
      <c r="B92" s="2" t="inlineStr">
        <is>
          <t>Treatment, storage, meters, IT and growth</t>
        </is>
      </c>
      <c r="C92" s="5" t="inlineStr">
        <is>
          <t>$ million</t>
        </is>
      </c>
      <c r="E92" s="23">
        <f>pr_other_capex*E90*(1+pr_capex_shift)</f>
        <v/>
      </c>
      <c r="F92" s="23">
        <f>pr_other_capex*F90*(1+pr_capex_shift)</f>
        <v/>
      </c>
      <c r="G92" s="23">
        <f>pr_other_capex*G90*(1+pr_capex_shift)</f>
        <v/>
      </c>
      <c r="H92" s="23">
        <f>pr_other_capex*H90*(1+pr_capex_shift)</f>
        <v/>
      </c>
      <c r="I92" s="23">
        <f>pr_other_capex*I90*(1+pr_capex_shift)</f>
        <v/>
      </c>
      <c r="J92" s="23">
        <f>pr_other_capex*J90*(1+pr_capex_shift)</f>
        <v/>
      </c>
      <c r="K92" s="23">
        <f>pr_other_capex*K90*(1+pr_capex_shift)</f>
        <v/>
      </c>
      <c r="L92" s="23">
        <f>pr_other_capex*L90*(1+pr_capex_shift)</f>
        <v/>
      </c>
      <c r="M92" s="23">
        <f>pr_other_capex*M90*(1+pr_capex_shift)</f>
        <v/>
      </c>
      <c r="N92" s="23">
        <f>pr_other_capex*N90*(1+pr_capex_shift)</f>
        <v/>
      </c>
    </row>
    <row r="93">
      <c r="B93" s="2" t="inlineStr">
        <is>
          <t>PFAS treatment</t>
        </is>
      </c>
      <c r="C93" s="5" t="inlineStr">
        <is>
          <t>$ million</t>
        </is>
      </c>
      <c r="E93" s="23">
        <f>(IF(E85-pr_pfas_delay=pr_pfas_y1,pr_pfas_1,0)+IF(E85-pr_pfas_delay=pr_pfas_y1+1,pr_pfas_2,0)+IF(E85-pr_pfas_delay=pr_pfas_y1+2,pr_pfas_3,0))*(1+pr_capex_esc)^pr_pfas_delay*(1+pr_capex_shift)</f>
        <v/>
      </c>
      <c r="F93" s="23">
        <f>(IF(F85-pr_pfas_delay=pr_pfas_y1,pr_pfas_1,0)+IF(F85-pr_pfas_delay=pr_pfas_y1+1,pr_pfas_2,0)+IF(F85-pr_pfas_delay=pr_pfas_y1+2,pr_pfas_3,0))*(1+pr_capex_esc)^pr_pfas_delay*(1+pr_capex_shift)</f>
        <v/>
      </c>
      <c r="G93" s="23">
        <f>(IF(G85-pr_pfas_delay=pr_pfas_y1,pr_pfas_1,0)+IF(G85-pr_pfas_delay=pr_pfas_y1+1,pr_pfas_2,0)+IF(G85-pr_pfas_delay=pr_pfas_y1+2,pr_pfas_3,0))*(1+pr_capex_esc)^pr_pfas_delay*(1+pr_capex_shift)</f>
        <v/>
      </c>
      <c r="H93" s="23">
        <f>(IF(H85-pr_pfas_delay=pr_pfas_y1,pr_pfas_1,0)+IF(H85-pr_pfas_delay=pr_pfas_y1+1,pr_pfas_2,0)+IF(H85-pr_pfas_delay=pr_pfas_y1+2,pr_pfas_3,0))*(1+pr_capex_esc)^pr_pfas_delay*(1+pr_capex_shift)</f>
        <v/>
      </c>
      <c r="I93" s="23">
        <f>(IF(I85-pr_pfas_delay=pr_pfas_y1,pr_pfas_1,0)+IF(I85-pr_pfas_delay=pr_pfas_y1+1,pr_pfas_2,0)+IF(I85-pr_pfas_delay=pr_pfas_y1+2,pr_pfas_3,0))*(1+pr_capex_esc)^pr_pfas_delay*(1+pr_capex_shift)</f>
        <v/>
      </c>
      <c r="J93" s="23">
        <f>(IF(J85-pr_pfas_delay=pr_pfas_y1,pr_pfas_1,0)+IF(J85-pr_pfas_delay=pr_pfas_y1+1,pr_pfas_2,0)+IF(J85-pr_pfas_delay=pr_pfas_y1+2,pr_pfas_3,0))*(1+pr_capex_esc)^pr_pfas_delay*(1+pr_capex_shift)</f>
        <v/>
      </c>
      <c r="K93" s="23">
        <f>(IF(K85-pr_pfas_delay=pr_pfas_y1,pr_pfas_1,0)+IF(K85-pr_pfas_delay=pr_pfas_y1+1,pr_pfas_2,0)+IF(K85-pr_pfas_delay=pr_pfas_y1+2,pr_pfas_3,0))*(1+pr_capex_esc)^pr_pfas_delay*(1+pr_capex_shift)</f>
        <v/>
      </c>
      <c r="L93" s="23">
        <f>(IF(L85-pr_pfas_delay=pr_pfas_y1,pr_pfas_1,0)+IF(L85-pr_pfas_delay=pr_pfas_y1+1,pr_pfas_2,0)+IF(L85-pr_pfas_delay=pr_pfas_y1+2,pr_pfas_3,0))*(1+pr_capex_esc)^pr_pfas_delay*(1+pr_capex_shift)</f>
        <v/>
      </c>
      <c r="M93" s="23">
        <f>(IF(M85-pr_pfas_delay=pr_pfas_y1,pr_pfas_1,0)+IF(M85-pr_pfas_delay=pr_pfas_y1+1,pr_pfas_2,0)+IF(M85-pr_pfas_delay=pr_pfas_y1+2,pr_pfas_3,0))*(1+pr_capex_esc)^pr_pfas_delay*(1+pr_capex_shift)</f>
        <v/>
      </c>
      <c r="N93" s="23">
        <f>(IF(N85-pr_pfas_delay=pr_pfas_y1,pr_pfas_1,0)+IF(N85-pr_pfas_delay=pr_pfas_y1+1,pr_pfas_2,0)+IF(N85-pr_pfas_delay=pr_pfas_y1+2,pr_pfas_3,0))*(1+pr_capex_esc)^pr_pfas_delay*(1+pr_capex_shift)</f>
        <v/>
      </c>
    </row>
    <row r="94">
      <c r="B94" s="2" t="inlineStr">
        <is>
          <t>Lead service lines</t>
        </is>
      </c>
      <c r="C94" s="5" t="inlineStr">
        <is>
          <t>$ million</t>
        </is>
      </c>
      <c r="E94" s="23">
        <f>IF(AND(E85&gt;=(pr_close+1),E85&lt;(pr_close+1)+pr_lead_years),pr_lead_lines/pr_lead_years*pr_lead_cost/1000000*E90,0)*(1+pr_capex_shift)</f>
        <v/>
      </c>
      <c r="F94" s="23">
        <f>IF(AND(F85&gt;=(pr_close+1),F85&lt;(pr_close+1)+pr_lead_years),pr_lead_lines/pr_lead_years*pr_lead_cost/1000000*F90,0)*(1+pr_capex_shift)</f>
        <v/>
      </c>
      <c r="G94" s="23">
        <f>IF(AND(G85&gt;=(pr_close+1),G85&lt;(pr_close+1)+pr_lead_years),pr_lead_lines/pr_lead_years*pr_lead_cost/1000000*G90,0)*(1+pr_capex_shift)</f>
        <v/>
      </c>
      <c r="H94" s="23">
        <f>IF(AND(H85&gt;=(pr_close+1),H85&lt;(pr_close+1)+pr_lead_years),pr_lead_lines/pr_lead_years*pr_lead_cost/1000000*H90,0)*(1+pr_capex_shift)</f>
        <v/>
      </c>
      <c r="I94" s="23">
        <f>IF(AND(I85&gt;=(pr_close+1),I85&lt;(pr_close+1)+pr_lead_years),pr_lead_lines/pr_lead_years*pr_lead_cost/1000000*I90,0)*(1+pr_capex_shift)</f>
        <v/>
      </c>
      <c r="J94" s="23">
        <f>IF(AND(J85&gt;=(pr_close+1),J85&lt;(pr_close+1)+pr_lead_years),pr_lead_lines/pr_lead_years*pr_lead_cost/1000000*J90,0)*(1+pr_capex_shift)</f>
        <v/>
      </c>
      <c r="K94" s="23">
        <f>IF(AND(K85&gt;=(pr_close+1),K85&lt;(pr_close+1)+pr_lead_years),pr_lead_lines/pr_lead_years*pr_lead_cost/1000000*K90,0)*(1+pr_capex_shift)</f>
        <v/>
      </c>
      <c r="L94" s="23">
        <f>IF(AND(L85&gt;=(pr_close+1),L85&lt;(pr_close+1)+pr_lead_years),pr_lead_lines/pr_lead_years*pr_lead_cost/1000000*L90,0)*(1+pr_capex_shift)</f>
        <v/>
      </c>
      <c r="M94" s="23">
        <f>IF(AND(M85&gt;=(pr_close+1),M85&lt;(pr_close+1)+pr_lead_years),pr_lead_lines/pr_lead_years*pr_lead_cost/1000000*M90,0)*(1+pr_capex_shift)</f>
        <v/>
      </c>
      <c r="N94" s="23">
        <f>IF(AND(N85&gt;=(pr_close+1),N85&lt;(pr_close+1)+pr_lead_years),pr_lead_lines/pr_lead_years*pr_lead_cost/1000000*N90,0)*(1+pr_capex_shift)</f>
        <v/>
      </c>
    </row>
    <row r="95">
      <c r="B95" s="2" t="inlineStr">
        <is>
          <t>Fennick system</t>
        </is>
      </c>
      <c r="C95" s="5" t="inlineStr">
        <is>
          <t>$ million</t>
        </is>
      </c>
      <c r="E95" s="23">
        <f>IF(AND(pr_fen_on=1,E85&gt;pr_fen_year),pr_fen_capex*(1+pr_capex_esc)^(E85-pr_fen_year-1),0)*(1+pr_capex_shift)</f>
        <v/>
      </c>
      <c r="F95" s="23">
        <f>IF(AND(pr_fen_on=1,F85&gt;pr_fen_year),pr_fen_capex*(1+pr_capex_esc)^(F85-pr_fen_year-1),0)*(1+pr_capex_shift)</f>
        <v/>
      </c>
      <c r="G95" s="23">
        <f>IF(AND(pr_fen_on=1,G85&gt;pr_fen_year),pr_fen_capex*(1+pr_capex_esc)^(G85-pr_fen_year-1),0)*(1+pr_capex_shift)</f>
        <v/>
      </c>
      <c r="H95" s="23">
        <f>IF(AND(pr_fen_on=1,H85&gt;pr_fen_year),pr_fen_capex*(1+pr_capex_esc)^(H85-pr_fen_year-1),0)*(1+pr_capex_shift)</f>
        <v/>
      </c>
      <c r="I95" s="23">
        <f>IF(AND(pr_fen_on=1,I85&gt;pr_fen_year),pr_fen_capex*(1+pr_capex_esc)^(I85-pr_fen_year-1),0)*(1+pr_capex_shift)</f>
        <v/>
      </c>
      <c r="J95" s="23">
        <f>IF(AND(pr_fen_on=1,J85&gt;pr_fen_year),pr_fen_capex*(1+pr_capex_esc)^(J85-pr_fen_year-1),0)*(1+pr_capex_shift)</f>
        <v/>
      </c>
      <c r="K95" s="23">
        <f>IF(AND(pr_fen_on=1,K85&gt;pr_fen_year),pr_fen_capex*(1+pr_capex_esc)^(K85-pr_fen_year-1),0)*(1+pr_capex_shift)</f>
        <v/>
      </c>
      <c r="L95" s="23">
        <f>IF(AND(pr_fen_on=1,L85&gt;pr_fen_year),pr_fen_capex*(1+pr_capex_esc)^(L85-pr_fen_year-1),0)*(1+pr_capex_shift)</f>
        <v/>
      </c>
      <c r="M95" s="23">
        <f>IF(AND(pr_fen_on=1,M85&gt;pr_fen_year),pr_fen_capex*(1+pr_capex_esc)^(M85-pr_fen_year-1),0)*(1+pr_capex_shift)</f>
        <v/>
      </c>
      <c r="N95" s="23">
        <f>IF(AND(pr_fen_on=1,N85&gt;pr_fen_year),pr_fen_capex*(1+pr_capex_esc)^(N85-pr_fen_year-1),0)*(1+pr_capex_shift)</f>
        <v/>
      </c>
    </row>
    <row r="96">
      <c r="B96" s="2" t="inlineStr">
        <is>
          <t>Total capital spending</t>
        </is>
      </c>
      <c r="C96" s="5" t="inlineStr">
        <is>
          <t>$ million</t>
        </is>
      </c>
      <c r="E96" s="23">
        <f>SUM(E91:E95)</f>
        <v/>
      </c>
      <c r="F96" s="23">
        <f>SUM(F91:F95)</f>
        <v/>
      </c>
      <c r="G96" s="23">
        <f>SUM(G91:G95)</f>
        <v/>
      </c>
      <c r="H96" s="23">
        <f>SUM(H91:H95)</f>
        <v/>
      </c>
      <c r="I96" s="23">
        <f>SUM(I91:I95)</f>
        <v/>
      </c>
      <c r="J96" s="23">
        <f>SUM(J91:J95)</f>
        <v/>
      </c>
      <c r="K96" s="23">
        <f>SUM(K91:K95)</f>
        <v/>
      </c>
      <c r="L96" s="23">
        <f>SUM(L91:L95)</f>
        <v/>
      </c>
      <c r="M96" s="23">
        <f>SUM(M91:M95)</f>
        <v/>
      </c>
      <c r="N96" s="23">
        <f>SUM(N91:N95)</f>
        <v/>
      </c>
    </row>
    <row r="97">
      <c r="B97" s="2" t="inlineStr">
        <is>
          <t>DSIC-eligible (mains and lead lines)</t>
        </is>
      </c>
      <c r="C97" s="5" t="inlineStr">
        <is>
          <t>$ million</t>
        </is>
      </c>
      <c r="E97" s="23">
        <f>E91+E94</f>
        <v/>
      </c>
      <c r="F97" s="23">
        <f>F91+F94</f>
        <v/>
      </c>
      <c r="G97" s="23">
        <f>G91+G94</f>
        <v/>
      </c>
      <c r="H97" s="23">
        <f>H91+H94</f>
        <v/>
      </c>
      <c r="I97" s="23">
        <f>I91+I94</f>
        <v/>
      </c>
      <c r="J97" s="23">
        <f>J91+J94</f>
        <v/>
      </c>
      <c r="K97" s="23">
        <f>K91+K94</f>
        <v/>
      </c>
      <c r="L97" s="23">
        <f>L91+L94</f>
        <v/>
      </c>
      <c r="M97" s="23">
        <f>M91+M94</f>
        <v/>
      </c>
      <c r="N97" s="23">
        <f>N91+N94</f>
        <v/>
      </c>
    </row>
    <row r="99">
      <c r="B99" s="6" t="inlineStr">
        <is>
          <t>Rate case (rates effective 1 January of the year; test-year values looked up to the left)</t>
        </is>
      </c>
      <c r="C99" s="7" t="n"/>
      <c r="D99" s="7" t="n"/>
      <c r="E99" s="7" t="n"/>
      <c r="F99" s="7" t="n"/>
      <c r="G99" s="7" t="n"/>
      <c r="H99" s="7" t="n"/>
      <c r="I99" s="7" t="n"/>
      <c r="J99" s="7" t="n"/>
      <c r="K99" s="7" t="n"/>
      <c r="L99" s="7" t="n"/>
      <c r="M99" s="7" t="n"/>
      <c r="N99" s="7" t="n"/>
    </row>
    <row r="100">
      <c r="B100" s="2" t="inlineStr">
        <is>
          <t>Rate case this year (1 = yes)</t>
        </is>
      </c>
      <c r="E100" s="26">
        <f>IF(AND(E85&gt;=pr_rc_first,MOD(E85-pr_rc_first,pr_rc_cycle)=0),1,0)</f>
        <v/>
      </c>
      <c r="F100" s="26">
        <f>IF(AND(F85&gt;=pr_rc_first,MOD(F85-pr_rc_first,pr_rc_cycle)=0),1,0)</f>
        <v/>
      </c>
      <c r="G100" s="26">
        <f>IF(AND(G85&gt;=pr_rc_first,MOD(G85-pr_rc_first,pr_rc_cycle)=0),1,0)</f>
        <v/>
      </c>
      <c r="H100" s="26">
        <f>IF(AND(H85&gt;=pr_rc_first,MOD(H85-pr_rc_first,pr_rc_cycle)=0),1,0)</f>
        <v/>
      </c>
      <c r="I100" s="26">
        <f>IF(AND(I85&gt;=pr_rc_first,MOD(I85-pr_rc_first,pr_rc_cycle)=0),1,0)</f>
        <v/>
      </c>
      <c r="J100" s="26">
        <f>IF(AND(J85&gt;=pr_rc_first,MOD(J85-pr_rc_first,pr_rc_cycle)=0),1,0)</f>
        <v/>
      </c>
      <c r="K100" s="26">
        <f>IF(AND(K85&gt;=pr_rc_first,MOD(K85-pr_rc_first,pr_rc_cycle)=0),1,0)</f>
        <v/>
      </c>
      <c r="L100" s="26">
        <f>IF(AND(L85&gt;=pr_rc_first,MOD(L85-pr_rc_first,pr_rc_cycle)=0),1,0)</f>
        <v/>
      </c>
      <c r="M100" s="26">
        <f>IF(AND(M85&gt;=pr_rc_first,MOD(M85-pr_rc_first,pr_rc_cycle)=0),1,0)</f>
        <v/>
      </c>
      <c r="N100" s="26">
        <f>IF(AND(N85&gt;=pr_rc_first,MOD(N85-pr_rc_first,pr_rc_cycle)=0),1,0)</f>
        <v/>
      </c>
    </row>
    <row r="101">
      <c r="B101" s="2" t="inlineStr">
        <is>
          <t>Test year</t>
        </is>
      </c>
      <c r="E101" s="26">
        <f>E85-pr_test_lag</f>
        <v/>
      </c>
      <c r="F101" s="26">
        <f>F85-pr_test_lag</f>
        <v/>
      </c>
      <c r="G101" s="26">
        <f>G85-pr_test_lag</f>
        <v/>
      </c>
      <c r="H101" s="26">
        <f>H85-pr_test_lag</f>
        <v/>
      </c>
      <c r="I101" s="26">
        <f>I85-pr_test_lag</f>
        <v/>
      </c>
      <c r="J101" s="26">
        <f>J85-pr_test_lag</f>
        <v/>
      </c>
      <c r="K101" s="26">
        <f>K85-pr_test_lag</f>
        <v/>
      </c>
      <c r="L101" s="26">
        <f>L85-pr_test_lag</f>
        <v/>
      </c>
      <c r="M101" s="26">
        <f>M85-pr_test_lag</f>
        <v/>
      </c>
      <c r="N101" s="26">
        <f>N85-pr_test_lag</f>
        <v/>
      </c>
    </row>
    <row r="102">
      <c r="B102" s="2" t="inlineStr">
        <is>
          <t>Test year of the latest rate case</t>
        </is>
      </c>
      <c r="D102" s="26">
        <f>pr_close</f>
        <v/>
      </c>
      <c r="E102" s="26">
        <f>IF(E100=1,E101,D102)</f>
        <v/>
      </c>
      <c r="F102" s="26">
        <f>IF(F100=1,F101,E102)</f>
        <v/>
      </c>
      <c r="G102" s="26">
        <f>IF(G100=1,G101,F102)</f>
        <v/>
      </c>
      <c r="H102" s="26">
        <f>IF(H100=1,H101,G102)</f>
        <v/>
      </c>
      <c r="I102" s="26">
        <f>IF(I100=1,I101,H102)</f>
        <v/>
      </c>
      <c r="J102" s="26">
        <f>IF(J100=1,J101,I102)</f>
        <v/>
      </c>
      <c r="K102" s="26">
        <f>IF(K100=1,K101,J102)</f>
        <v/>
      </c>
      <c r="L102" s="26">
        <f>IF(L100=1,L101,K102)</f>
        <v/>
      </c>
      <c r="M102" s="26">
        <f>IF(M100=1,M101,L102)</f>
        <v/>
      </c>
      <c r="N102" s="26">
        <f>IF(N100=1,N101,M102)</f>
        <v/>
      </c>
    </row>
    <row r="103">
      <c r="B103" s="2" t="inlineStr">
        <is>
          <t>Rate base at the end of the test year</t>
        </is>
      </c>
      <c r="C103" s="5" t="inlineStr">
        <is>
          <t>$ million</t>
        </is>
      </c>
      <c r="E103" s="23">
        <f>INDEX($D$142:D$142,MATCH(MAX(E101,pr_close),$D$85:D$85,0))</f>
        <v/>
      </c>
      <c r="F103" s="23">
        <f>INDEX($D$142:E$142,MATCH(MAX(F101,pr_close),$D$85:E$85,0))</f>
        <v/>
      </c>
      <c r="G103" s="23">
        <f>INDEX($D$142:F$142,MATCH(MAX(G101,pr_close),$D$85:F$85,0))</f>
        <v/>
      </c>
      <c r="H103" s="23">
        <f>INDEX($D$142:G$142,MATCH(MAX(H101,pr_close),$D$85:G$85,0))</f>
        <v/>
      </c>
      <c r="I103" s="23">
        <f>INDEX($D$142:H$142,MATCH(MAX(I101,pr_close),$D$85:H$85,0))</f>
        <v/>
      </c>
      <c r="J103" s="23">
        <f>INDEX($D$142:I$142,MATCH(MAX(J101,pr_close),$D$85:I$85,0))</f>
        <v/>
      </c>
      <c r="K103" s="23">
        <f>INDEX($D$142:J$142,MATCH(MAX(K101,pr_close),$D$85:J$85,0))</f>
        <v/>
      </c>
      <c r="L103" s="23">
        <f>INDEX($D$142:K$142,MATCH(MAX(L101,pr_close),$D$85:K$85,0))</f>
        <v/>
      </c>
      <c r="M103" s="23">
        <f>INDEX($D$142:L$142,MATCH(MAX(M101,pr_close),$D$85:L$85,0))</f>
        <v/>
      </c>
      <c r="N103" s="23">
        <f>INDEX($D$142:M$142,MATCH(MAX(N101,pr_close),$D$85:M$85,0))</f>
        <v/>
      </c>
    </row>
    <row r="104">
      <c r="B104" s="2" t="inlineStr">
        <is>
          <t>Embedded cost of debt in the test year</t>
        </is>
      </c>
      <c r="C104" s="5" t="inlineStr">
        <is>
          <t>rate</t>
        </is>
      </c>
      <c r="E104" s="27">
        <f>INDEX($D$146:D$146,MATCH(MAX(E101,pr_close),$D$85:D$85,0))</f>
        <v/>
      </c>
      <c r="F104" s="27">
        <f>INDEX($D$146:E$146,MATCH(MAX(F101,pr_close),$D$85:E$85,0))</f>
        <v/>
      </c>
      <c r="G104" s="27">
        <f>INDEX($D$146:F$146,MATCH(MAX(G101,pr_close),$D$85:F$85,0))</f>
        <v/>
      </c>
      <c r="H104" s="27">
        <f>INDEX($D$146:G$146,MATCH(MAX(H101,pr_close),$D$85:G$85,0))</f>
        <v/>
      </c>
      <c r="I104" s="27">
        <f>INDEX($D$146:H$146,MATCH(MAX(I101,pr_close),$D$85:H$85,0))</f>
        <v/>
      </c>
      <c r="J104" s="27">
        <f>INDEX($D$146:I$146,MATCH(MAX(J101,pr_close),$D$85:I$85,0))</f>
        <v/>
      </c>
      <c r="K104" s="27">
        <f>INDEX($D$146:J$146,MATCH(MAX(K101,pr_close),$D$85:J$85,0))</f>
        <v/>
      </c>
      <c r="L104" s="27">
        <f>INDEX($D$146:K$146,MATCH(MAX(L101,pr_close),$D$85:K$85,0))</f>
        <v/>
      </c>
      <c r="M104" s="27">
        <f>INDEX($D$146:L$146,MATCH(MAX(M101,pr_close),$D$85:L$85,0))</f>
        <v/>
      </c>
      <c r="N104" s="27">
        <f>INDEX($D$146:M$146,MATCH(MAX(N101,pr_close),$D$85:M$85,0))</f>
        <v/>
      </c>
    </row>
    <row r="105">
      <c r="B105" s="2" t="inlineStr">
        <is>
          <t>O&amp;M in the test year</t>
        </is>
      </c>
      <c r="C105" s="5" t="inlineStr">
        <is>
          <t>$ million</t>
        </is>
      </c>
      <c r="E105" s="23">
        <f>INDEX($D$127:D$127,MATCH(MAX(E101,pr_close),$D$85:D$85,0))</f>
        <v/>
      </c>
      <c r="F105" s="23">
        <f>INDEX($D$127:E$127,MATCH(MAX(F101,pr_close),$D$85:E$85,0))</f>
        <v/>
      </c>
      <c r="G105" s="23">
        <f>INDEX($D$127:F$127,MATCH(MAX(G101,pr_close),$D$85:F$85,0))</f>
        <v/>
      </c>
      <c r="H105" s="23">
        <f>INDEX($D$127:G$127,MATCH(MAX(H101,pr_close),$D$85:G$85,0))</f>
        <v/>
      </c>
      <c r="I105" s="23">
        <f>INDEX($D$127:H$127,MATCH(MAX(I101,pr_close),$D$85:H$85,0))</f>
        <v/>
      </c>
      <c r="J105" s="23">
        <f>INDEX($D$127:I$127,MATCH(MAX(J101,pr_close),$D$85:I$85,0))</f>
        <v/>
      </c>
      <c r="K105" s="23">
        <f>INDEX($D$127:J$127,MATCH(MAX(K101,pr_close),$D$85:J$85,0))</f>
        <v/>
      </c>
      <c r="L105" s="23">
        <f>INDEX($D$127:K$127,MATCH(MAX(L101,pr_close),$D$85:K$85,0))</f>
        <v/>
      </c>
      <c r="M105" s="23">
        <f>INDEX($D$127:L$127,MATCH(MAX(M101,pr_close),$D$85:L$85,0))</f>
        <v/>
      </c>
      <c r="N105" s="23">
        <f>INDEX($D$127:M$127,MATCH(MAX(N101,pr_close),$D$85:M$85,0))</f>
        <v/>
      </c>
    </row>
    <row r="106">
      <c r="B106" s="2" t="inlineStr">
        <is>
          <t>Authorized return on rate base</t>
        </is>
      </c>
      <c r="C106" s="5" t="inlineStr">
        <is>
          <t>rate</t>
        </is>
      </c>
      <c r="E106" s="27">
        <f>(pr_eq*Inputs!$C$231+(1-pr_eq)*E104)</f>
        <v/>
      </c>
      <c r="F106" s="27">
        <f>(pr_eq*Inputs!$C$231+(1-pr_eq)*F104)</f>
        <v/>
      </c>
      <c r="G106" s="27">
        <f>(pr_eq*Inputs!$C$231+(1-pr_eq)*G104)</f>
        <v/>
      </c>
      <c r="H106" s="27">
        <f>(pr_eq*Inputs!$C$231+(1-pr_eq)*H104)</f>
        <v/>
      </c>
      <c r="I106" s="27">
        <f>(pr_eq*Inputs!$C$231+(1-pr_eq)*I104)</f>
        <v/>
      </c>
      <c r="J106" s="27">
        <f>(pr_eq*Inputs!$C$231+(1-pr_eq)*J104)</f>
        <v/>
      </c>
      <c r="K106" s="27">
        <f>(pr_eq*Inputs!$C$231+(1-pr_eq)*K104)</f>
        <v/>
      </c>
      <c r="L106" s="27">
        <f>(pr_eq*Inputs!$C$231+(1-pr_eq)*L104)</f>
        <v/>
      </c>
      <c r="M106" s="27">
        <f>(pr_eq*Inputs!$C$231+(1-pr_eq)*M104)</f>
        <v/>
      </c>
      <c r="N106" s="27">
        <f>(pr_eq*Inputs!$C$231+(1-pr_eq)*N104)</f>
        <v/>
      </c>
    </row>
    <row r="107">
      <c r="B107" s="2" t="inlineStr">
        <is>
          <t>Return</t>
        </is>
      </c>
      <c r="C107" s="5" t="inlineStr">
        <is>
          <t>$ million</t>
        </is>
      </c>
      <c r="E107" s="23">
        <f>E106*E103</f>
        <v/>
      </c>
      <c r="F107" s="23">
        <f>F106*F103</f>
        <v/>
      </c>
      <c r="G107" s="23">
        <f>G106*G103</f>
        <v/>
      </c>
      <c r="H107" s="23">
        <f>H106*H103</f>
        <v/>
      </c>
      <c r="I107" s="23">
        <f>I106*I103</f>
        <v/>
      </c>
      <c r="J107" s="23">
        <f>J106*J103</f>
        <v/>
      </c>
      <c r="K107" s="23">
        <f>K106*K103</f>
        <v/>
      </c>
      <c r="L107" s="23">
        <f>L106*L103</f>
        <v/>
      </c>
      <c r="M107" s="23">
        <f>M106*M103</f>
        <v/>
      </c>
      <c r="N107" s="23">
        <f>N106*N103</f>
        <v/>
      </c>
    </row>
    <row r="108">
      <c r="B108" s="2" t="inlineStr">
        <is>
          <t>Income tax gross-up</t>
        </is>
      </c>
      <c r="C108" s="5" t="inlineStr">
        <is>
          <t>$ million</t>
        </is>
      </c>
      <c r="E108" s="23">
        <f>(pr_eq*Inputs!$C$231*pr_tax/(1-pr_tax))*E103</f>
        <v/>
      </c>
      <c r="F108" s="23">
        <f>(pr_eq*Inputs!$C$231*pr_tax/(1-pr_tax))*F103</f>
        <v/>
      </c>
      <c r="G108" s="23">
        <f>(pr_eq*Inputs!$C$231*pr_tax/(1-pr_tax))*G103</f>
        <v/>
      </c>
      <c r="H108" s="23">
        <f>(pr_eq*Inputs!$C$231*pr_tax/(1-pr_tax))*H103</f>
        <v/>
      </c>
      <c r="I108" s="23">
        <f>(pr_eq*Inputs!$C$231*pr_tax/(1-pr_tax))*I103</f>
        <v/>
      </c>
      <c r="J108" s="23">
        <f>(pr_eq*Inputs!$C$231*pr_tax/(1-pr_tax))*J103</f>
        <v/>
      </c>
      <c r="K108" s="23">
        <f>(pr_eq*Inputs!$C$231*pr_tax/(1-pr_tax))*K103</f>
        <v/>
      </c>
      <c r="L108" s="23">
        <f>(pr_eq*Inputs!$C$231*pr_tax/(1-pr_tax))*L103</f>
        <v/>
      </c>
      <c r="M108" s="23">
        <f>(pr_eq*Inputs!$C$231*pr_tax/(1-pr_tax))*M103</f>
        <v/>
      </c>
      <c r="N108" s="23">
        <f>(pr_eq*Inputs!$C$231*pr_tax/(1-pr_tax))*N103</f>
        <v/>
      </c>
    </row>
    <row r="109">
      <c r="B109" s="2" t="inlineStr">
        <is>
          <t>Depreciation</t>
        </is>
      </c>
      <c r="C109" s="5" t="inlineStr">
        <is>
          <t>$ million</t>
        </is>
      </c>
      <c r="E109" s="23">
        <f>pr_dep*E103</f>
        <v/>
      </c>
      <c r="F109" s="23">
        <f>pr_dep*F103</f>
        <v/>
      </c>
      <c r="G109" s="23">
        <f>pr_dep*G103</f>
        <v/>
      </c>
      <c r="H109" s="23">
        <f>pr_dep*H103</f>
        <v/>
      </c>
      <c r="I109" s="23">
        <f>pr_dep*I103</f>
        <v/>
      </c>
      <c r="J109" s="23">
        <f>pr_dep*J103</f>
        <v/>
      </c>
      <c r="K109" s="23">
        <f>pr_dep*K103</f>
        <v/>
      </c>
      <c r="L109" s="23">
        <f>pr_dep*L103</f>
        <v/>
      </c>
      <c r="M109" s="23">
        <f>pr_dep*M103</f>
        <v/>
      </c>
      <c r="N109" s="23">
        <f>pr_dep*N103</f>
        <v/>
      </c>
    </row>
    <row r="110">
      <c r="B110" s="2" t="inlineStr">
        <is>
          <t>Other taxes</t>
        </is>
      </c>
      <c r="C110" s="5" t="inlineStr">
        <is>
          <t>$ million</t>
        </is>
      </c>
      <c r="E110" s="23">
        <f>pr_ptax*E103</f>
        <v/>
      </c>
      <c r="F110" s="23">
        <f>pr_ptax*F103</f>
        <v/>
      </c>
      <c r="G110" s="23">
        <f>pr_ptax*G103</f>
        <v/>
      </c>
      <c r="H110" s="23">
        <f>pr_ptax*H103</f>
        <v/>
      </c>
      <c r="I110" s="23">
        <f>pr_ptax*I103</f>
        <v/>
      </c>
      <c r="J110" s="23">
        <f>pr_ptax*J103</f>
        <v/>
      </c>
      <c r="K110" s="23">
        <f>pr_ptax*K103</f>
        <v/>
      </c>
      <c r="L110" s="23">
        <f>pr_ptax*L103</f>
        <v/>
      </c>
      <c r="M110" s="23">
        <f>pr_ptax*M103</f>
        <v/>
      </c>
      <c r="N110" s="23">
        <f>pr_ptax*N103</f>
        <v/>
      </c>
    </row>
    <row r="111">
      <c r="B111" s="2" t="inlineStr">
        <is>
          <t>O&amp;M (test year, known and measurable)</t>
        </is>
      </c>
      <c r="C111" s="5" t="inlineStr">
        <is>
          <t>$ million</t>
        </is>
      </c>
      <c r="E111" s="23">
        <f>E105*(1+pr_om_infl)*(1+pr_growth)</f>
        <v/>
      </c>
      <c r="F111" s="23">
        <f>F105*(1+pr_om_infl)*(1+pr_growth)</f>
        <v/>
      </c>
      <c r="G111" s="23">
        <f>G105*(1+pr_om_infl)*(1+pr_growth)</f>
        <v/>
      </c>
      <c r="H111" s="23">
        <f>H105*(1+pr_om_infl)*(1+pr_growth)</f>
        <v/>
      </c>
      <c r="I111" s="23">
        <f>I105*(1+pr_om_infl)*(1+pr_growth)</f>
        <v/>
      </c>
      <c r="J111" s="23">
        <f>J105*(1+pr_om_infl)*(1+pr_growth)</f>
        <v/>
      </c>
      <c r="K111" s="23">
        <f>K105*(1+pr_om_infl)*(1+pr_growth)</f>
        <v/>
      </c>
      <c r="L111" s="23">
        <f>L105*(1+pr_om_infl)*(1+pr_growth)</f>
        <v/>
      </c>
      <c r="M111" s="23">
        <f>M105*(1+pr_om_infl)*(1+pr_growth)</f>
        <v/>
      </c>
      <c r="N111" s="23">
        <f>N105*(1+pr_om_infl)*(1+pr_growth)</f>
        <v/>
      </c>
    </row>
    <row r="112">
      <c r="B112" s="2" t="inlineStr">
        <is>
          <t>Revenue requirement (test-year connections)</t>
        </is>
      </c>
      <c r="C112" s="5" t="inlineStr">
        <is>
          <t>$ million</t>
        </is>
      </c>
      <c r="E112" s="23">
        <f>SUM(E107:E111)</f>
        <v/>
      </c>
      <c r="F112" s="23">
        <f>SUM(F107:F111)</f>
        <v/>
      </c>
      <c r="G112" s="23">
        <f>SUM(G107:G111)</f>
        <v/>
      </c>
      <c r="H112" s="23">
        <f>SUM(H107:H111)</f>
        <v/>
      </c>
      <c r="I112" s="23">
        <f>SUM(I107:I111)</f>
        <v/>
      </c>
      <c r="J112" s="23">
        <f>SUM(J107:J111)</f>
        <v/>
      </c>
      <c r="K112" s="23">
        <f>SUM(K107:K111)</f>
        <v/>
      </c>
      <c r="L112" s="23">
        <f>SUM(L107:L111)</f>
        <v/>
      </c>
      <c r="M112" s="23">
        <f>SUM(M107:M111)</f>
        <v/>
      </c>
      <c r="N112" s="23">
        <f>SUM(N107:N111)</f>
        <v/>
      </c>
    </row>
    <row r="113">
      <c r="B113" s="2" t="inlineStr">
        <is>
          <t>Revenue requirement on effective-year connections</t>
        </is>
      </c>
      <c r="C113" s="5" t="inlineStr">
        <is>
          <t>$ million</t>
        </is>
      </c>
      <c r="E113" s="23">
        <f>E112*(1+pr_growth)</f>
        <v/>
      </c>
      <c r="F113" s="23">
        <f>F112*(1+pr_growth)</f>
        <v/>
      </c>
      <c r="G113" s="23">
        <f>G112*(1+pr_growth)</f>
        <v/>
      </c>
      <c r="H113" s="23">
        <f>H112*(1+pr_growth)</f>
        <v/>
      </c>
      <c r="I113" s="23">
        <f>I112*(1+pr_growth)</f>
        <v/>
      </c>
      <c r="J113" s="23">
        <f>J112*(1+pr_growth)</f>
        <v/>
      </c>
      <c r="K113" s="23">
        <f>K112*(1+pr_growth)</f>
        <v/>
      </c>
      <c r="L113" s="23">
        <f>L112*(1+pr_growth)</f>
        <v/>
      </c>
      <c r="M113" s="23">
        <f>M112*(1+pr_growth)</f>
        <v/>
      </c>
      <c r="N113" s="23">
        <f>N112*(1+pr_growth)</f>
        <v/>
      </c>
    </row>
    <row r="114">
      <c r="B114" s="2" t="inlineStr">
        <is>
          <t>Revenue at existing rates</t>
        </is>
      </c>
      <c r="C114" s="5" t="inlineStr">
        <is>
          <t>$ million</t>
        </is>
      </c>
      <c r="E114" s="23">
        <f>IF(E85=(pr_close+1),D120,D120*(1+pr_growth)*(1-pr_vol_share*IF(pr_decoupling=1,0,pr_usage))+D121+D123)</f>
        <v/>
      </c>
      <c r="F114" s="23">
        <f>IF(F85=(pr_close+1),E120,E120*(1+pr_growth)*(1-pr_vol_share*IF(pr_decoupling=1,0,pr_usage))+E121+E123)</f>
        <v/>
      </c>
      <c r="G114" s="23">
        <f>IF(G85=(pr_close+1),F120,F120*(1+pr_growth)*(1-pr_vol_share*IF(pr_decoupling=1,0,pr_usage))+F121+F123)</f>
        <v/>
      </c>
      <c r="H114" s="23">
        <f>IF(H85=(pr_close+1),G120,G120*(1+pr_growth)*(1-pr_vol_share*IF(pr_decoupling=1,0,pr_usage))+G121+G123)</f>
        <v/>
      </c>
      <c r="I114" s="23">
        <f>IF(I85=(pr_close+1),H120,H120*(1+pr_growth)*(1-pr_vol_share*IF(pr_decoupling=1,0,pr_usage))+H121+H123)</f>
        <v/>
      </c>
      <c r="J114" s="23">
        <f>IF(J85=(pr_close+1),I120,I120*(1+pr_growth)*(1-pr_vol_share*IF(pr_decoupling=1,0,pr_usage))+I121+I123)</f>
        <v/>
      </c>
      <c r="K114" s="23">
        <f>IF(K85=(pr_close+1),J120,J120*(1+pr_growth)*(1-pr_vol_share*IF(pr_decoupling=1,0,pr_usage))+J121+J123)</f>
        <v/>
      </c>
      <c r="L114" s="23">
        <f>IF(L85=(pr_close+1),K120,K120*(1+pr_growth)*(1-pr_vol_share*IF(pr_decoupling=1,0,pr_usage))+K121+K123)</f>
        <v/>
      </c>
      <c r="M114" s="23">
        <f>IF(M85=(pr_close+1),L120,L120*(1+pr_growth)*(1-pr_vol_share*IF(pr_decoupling=1,0,pr_usage))+L121+L123)</f>
        <v/>
      </c>
      <c r="N114" s="23">
        <f>IF(N85=(pr_close+1),M120,M120*(1+pr_growth)*(1-pr_vol_share*IF(pr_decoupling=1,0,pr_usage))+M121+M123)</f>
        <v/>
      </c>
    </row>
    <row r="115">
      <c r="B115" s="2" t="inlineStr">
        <is>
          <t>Increase granted</t>
        </is>
      </c>
      <c r="C115" s="5" t="inlineStr">
        <is>
          <t>share</t>
        </is>
      </c>
      <c r="E115" s="20">
        <f>E113/E114-1</f>
        <v/>
      </c>
      <c r="F115" s="20">
        <f>F113/F114-1</f>
        <v/>
      </c>
      <c r="G115" s="20">
        <f>G113/G114-1</f>
        <v/>
      </c>
      <c r="H115" s="20">
        <f>H113/H114-1</f>
        <v/>
      </c>
      <c r="I115" s="20">
        <f>I113/I114-1</f>
        <v/>
      </c>
      <c r="J115" s="20">
        <f>J113/J114-1</f>
        <v/>
      </c>
      <c r="K115" s="20">
        <f>K113/K114-1</f>
        <v/>
      </c>
      <c r="L115" s="20">
        <f>L113/L114-1</f>
        <v/>
      </c>
      <c r="M115" s="20">
        <f>M113/M114-1</f>
        <v/>
      </c>
      <c r="N115" s="20">
        <f>N113/N114-1</f>
        <v/>
      </c>
    </row>
    <row r="116">
      <c r="B116" s="2" t="inlineStr">
        <is>
          <t>Revenue requirement requested (at the requested ROE)</t>
        </is>
      </c>
      <c r="C116" s="5" t="inlineStr">
        <is>
          <t>$ million</t>
        </is>
      </c>
      <c r="E116" s="23">
        <f>(pr_eq*pr_roe_ask+(1-pr_eq)*E104)*E103+pr_eq*pr_roe_ask*E103*pr_tax/(1-pr_tax)+E109+E110+E111</f>
        <v/>
      </c>
      <c r="F116" s="23">
        <f>(pr_eq*pr_roe_ask+(1-pr_eq)*F104)*F103+pr_eq*pr_roe_ask*F103*pr_tax/(1-pr_tax)+F109+F110+F111</f>
        <v/>
      </c>
      <c r="G116" s="23">
        <f>(pr_eq*pr_roe_ask+(1-pr_eq)*G104)*G103+pr_eq*pr_roe_ask*G103*pr_tax/(1-pr_tax)+G109+G110+G111</f>
        <v/>
      </c>
      <c r="H116" s="23">
        <f>(pr_eq*pr_roe_ask+(1-pr_eq)*H104)*H103+pr_eq*pr_roe_ask*H103*pr_tax/(1-pr_tax)+H109+H110+H111</f>
        <v/>
      </c>
      <c r="I116" s="23">
        <f>(pr_eq*pr_roe_ask+(1-pr_eq)*I104)*I103+pr_eq*pr_roe_ask*I103*pr_tax/(1-pr_tax)+I109+I110+I111</f>
        <v/>
      </c>
      <c r="J116" s="23">
        <f>(pr_eq*pr_roe_ask+(1-pr_eq)*J104)*J103+pr_eq*pr_roe_ask*J103*pr_tax/(1-pr_tax)+J109+J110+J111</f>
        <v/>
      </c>
      <c r="K116" s="23">
        <f>(pr_eq*pr_roe_ask+(1-pr_eq)*K104)*K103+pr_eq*pr_roe_ask*K103*pr_tax/(1-pr_tax)+K109+K110+K111</f>
        <v/>
      </c>
      <c r="L116" s="23">
        <f>(pr_eq*pr_roe_ask+(1-pr_eq)*L104)*L103+pr_eq*pr_roe_ask*L103*pr_tax/(1-pr_tax)+L109+L110+L111</f>
        <v/>
      </c>
      <c r="M116" s="23">
        <f>(pr_eq*pr_roe_ask+(1-pr_eq)*M104)*M103+pr_eq*pr_roe_ask*M103*pr_tax/(1-pr_tax)+M109+M110+M111</f>
        <v/>
      </c>
      <c r="N116" s="23">
        <f>(pr_eq*pr_roe_ask+(1-pr_eq)*N104)*N103+pr_eq*pr_roe_ask*N103*pr_tax/(1-pr_tax)+N109+N110+N111</f>
        <v/>
      </c>
    </row>
    <row r="117">
      <c r="B117" s="2" t="inlineStr">
        <is>
          <t>Increase requested</t>
        </is>
      </c>
      <c r="C117" s="5" t="inlineStr">
        <is>
          <t>share</t>
        </is>
      </c>
      <c r="E117" s="20">
        <f>E116*(1+pr_growth)/E114-1</f>
        <v/>
      </c>
      <c r="F117" s="20">
        <f>F116*(1+pr_growth)/F114-1</f>
        <v/>
      </c>
      <c r="G117" s="20">
        <f>G116*(1+pr_growth)/G114-1</f>
        <v/>
      </c>
      <c r="H117" s="20">
        <f>H116*(1+pr_growth)/H114-1</f>
        <v/>
      </c>
      <c r="I117" s="20">
        <f>I116*(1+pr_growth)/I114-1</f>
        <v/>
      </c>
      <c r="J117" s="20">
        <f>J116*(1+pr_growth)/J114-1</f>
        <v/>
      </c>
      <c r="K117" s="20">
        <f>K116*(1+pr_growth)/K114-1</f>
        <v/>
      </c>
      <c r="L117" s="20">
        <f>L116*(1+pr_growth)/L114-1</f>
        <v/>
      </c>
      <c r="M117" s="20">
        <f>M116*(1+pr_growth)/M114-1</f>
        <v/>
      </c>
      <c r="N117" s="20">
        <f>N116*(1+pr_growth)/N114-1</f>
        <v/>
      </c>
    </row>
    <row r="119">
      <c r="B119" s="6" t="inlineStr">
        <is>
          <t>Revenue ($ million)</t>
        </is>
      </c>
      <c r="C119" s="7" t="n"/>
      <c r="D119" s="7" t="n"/>
      <c r="E119" s="7" t="n"/>
      <c r="F119" s="7" t="n"/>
      <c r="G119" s="7" t="n"/>
      <c r="H119" s="7" t="n"/>
      <c r="I119" s="7" t="n"/>
      <c r="J119" s="7" t="n"/>
      <c r="K119" s="7" t="n"/>
      <c r="L119" s="7" t="n"/>
      <c r="M119" s="7" t="n"/>
      <c r="N119" s="7" t="n"/>
    </row>
    <row r="120">
      <c r="B120" s="2" t="inlineStr">
        <is>
          <t>Base revenue (rate case, or prior year x growth x volume erosion)</t>
        </is>
      </c>
      <c r="C120" s="5" t="inlineStr">
        <is>
          <t>$ million</t>
        </is>
      </c>
      <c r="D120" s="23">
        <f>pr_rev_2028/((1+pr_growth)*(1-pr_vol_share*IF(pr_decoupling=1,0,pr_usage)))</f>
        <v/>
      </c>
      <c r="E120" s="23">
        <f>IF(E100=1,E113,D120*(1+pr_growth)*(1-pr_vol_share*IF(pr_decoupling=1,0,pr_usage)))</f>
        <v/>
      </c>
      <c r="F120" s="23">
        <f>IF(F100=1,F113,E120*(1+pr_growth)*(1-pr_vol_share*IF(pr_decoupling=1,0,pr_usage)))</f>
        <v/>
      </c>
      <c r="G120" s="23">
        <f>IF(G100=1,G113,F120*(1+pr_growth)*(1-pr_vol_share*IF(pr_decoupling=1,0,pr_usage)))</f>
        <v/>
      </c>
      <c r="H120" s="23">
        <f>IF(H100=1,H113,G120*(1+pr_growth)*(1-pr_vol_share*IF(pr_decoupling=1,0,pr_usage)))</f>
        <v/>
      </c>
      <c r="I120" s="23">
        <f>IF(I100=1,I113,H120*(1+pr_growth)*(1-pr_vol_share*IF(pr_decoupling=1,0,pr_usage)))</f>
        <v/>
      </c>
      <c r="J120" s="23">
        <f>IF(J100=1,J113,I120*(1+pr_growth)*(1-pr_vol_share*IF(pr_decoupling=1,0,pr_usage)))</f>
        <v/>
      </c>
      <c r="K120" s="23">
        <f>IF(K100=1,K113,J120*(1+pr_growth)*(1-pr_vol_share*IF(pr_decoupling=1,0,pr_usage)))</f>
        <v/>
      </c>
      <c r="L120" s="23">
        <f>IF(L100=1,L113,K120*(1+pr_growth)*(1-pr_vol_share*IF(pr_decoupling=1,0,pr_usage)))</f>
        <v/>
      </c>
      <c r="M120" s="23">
        <f>IF(M100=1,M113,L120*(1+pr_growth)*(1-pr_vol_share*IF(pr_decoupling=1,0,pr_usage)))</f>
        <v/>
      </c>
      <c r="N120" s="23">
        <f>IF(N100=1,N113,M120*(1+pr_growth)*(1-pr_vol_share*IF(pr_decoupling=1,0,pr_usage)))</f>
        <v/>
      </c>
    </row>
    <row r="121">
      <c r="B121" s="2" t="inlineStr">
        <is>
          <t>Fennick revenue at its old rates (until the next rate case)</t>
        </is>
      </c>
      <c r="C121" s="5" t="inlineStr">
        <is>
          <t>$ million</t>
        </is>
      </c>
      <c r="E121" s="23">
        <f>IF(AND(pr_fen_on=1,E85&gt;pr_fen_year,SUMIFS($D$100:E$100,$D$85:E$85,"&gt;"&amp;pr_fen_year)=0),pr_fen_rev,0)</f>
        <v/>
      </c>
      <c r="F121" s="23">
        <f>IF(AND(pr_fen_on=1,F85&gt;pr_fen_year,SUMIFS($D$100:F$100,$D$85:F$85,"&gt;"&amp;pr_fen_year)=0),pr_fen_rev,0)</f>
        <v/>
      </c>
      <c r="G121" s="23">
        <f>IF(AND(pr_fen_on=1,G85&gt;pr_fen_year,SUMIFS($D$100:G$100,$D$85:G$85,"&gt;"&amp;pr_fen_year)=0),pr_fen_rev,0)</f>
        <v/>
      </c>
      <c r="H121" s="23">
        <f>IF(AND(pr_fen_on=1,H85&gt;pr_fen_year,SUMIFS($D$100:H$100,$D$85:H$85,"&gt;"&amp;pr_fen_year)=0),pr_fen_rev,0)</f>
        <v/>
      </c>
      <c r="I121" s="23">
        <f>IF(AND(pr_fen_on=1,I85&gt;pr_fen_year,SUMIFS($D$100:I$100,$D$85:I$85,"&gt;"&amp;pr_fen_year)=0),pr_fen_rev,0)</f>
        <v/>
      </c>
      <c r="J121" s="23">
        <f>IF(AND(pr_fen_on=1,J85&gt;pr_fen_year,SUMIFS($D$100:J$100,$D$85:J$85,"&gt;"&amp;pr_fen_year)=0),pr_fen_rev,0)</f>
        <v/>
      </c>
      <c r="K121" s="23">
        <f>IF(AND(pr_fen_on=1,K85&gt;pr_fen_year,SUMIFS($D$100:K$100,$D$85:K$85,"&gt;"&amp;pr_fen_year)=0),pr_fen_rev,0)</f>
        <v/>
      </c>
      <c r="L121" s="23">
        <f>IF(AND(pr_fen_on=1,L85&gt;pr_fen_year,SUMIFS($D$100:L$100,$D$85:L$85,"&gt;"&amp;pr_fen_year)=0),pr_fen_rev,0)</f>
        <v/>
      </c>
      <c r="M121" s="23">
        <f>IF(AND(pr_fen_on=1,M85&gt;pr_fen_year,SUMIFS($D$100:M$100,$D$85:M$85,"&gt;"&amp;pr_fen_year)=0),pr_fen_rev,0)</f>
        <v/>
      </c>
      <c r="N121" s="23">
        <f>IF(AND(pr_fen_on=1,N85&gt;pr_fen_year,SUMIFS($D$100:N$100,$D$85:N$85,"&gt;"&amp;pr_fen_year)=0),pr_fen_rev,0)</f>
        <v/>
      </c>
    </row>
    <row r="122">
      <c r="B122" s="2" t="inlineStr">
        <is>
          <t>DSIC pool: eligible plant since the latest test year</t>
        </is>
      </c>
      <c r="C122" s="5" t="inlineStr">
        <is>
          <t>$ million</t>
        </is>
      </c>
      <c r="E122" s="23">
        <f>IF(E85=(pr_close+1),0,SUMIFS($D$97:D$97,$D$85:D$85,"&gt;"&amp;E102))</f>
        <v/>
      </c>
      <c r="F122" s="23">
        <f>IF(F85=(pr_close+1),0,SUMIFS($D$97:E$97,$D$85:E$85,"&gt;"&amp;F102))</f>
        <v/>
      </c>
      <c r="G122" s="23">
        <f>IF(G85=(pr_close+1),0,SUMIFS($D$97:F$97,$D$85:F$85,"&gt;"&amp;G102))</f>
        <v/>
      </c>
      <c r="H122" s="23">
        <f>IF(H85=(pr_close+1),0,SUMIFS($D$97:G$97,$D$85:G$85,"&gt;"&amp;H102))</f>
        <v/>
      </c>
      <c r="I122" s="23">
        <f>IF(I85=(pr_close+1),0,SUMIFS($D$97:H$97,$D$85:H$85,"&gt;"&amp;I102))</f>
        <v/>
      </c>
      <c r="J122" s="23">
        <f>IF(J85=(pr_close+1),0,SUMIFS($D$97:I$97,$D$85:I$85,"&gt;"&amp;J102))</f>
        <v/>
      </c>
      <c r="K122" s="23">
        <f>IF(K85=(pr_close+1),0,SUMIFS($D$97:J$97,$D$85:J$85,"&gt;"&amp;K102))</f>
        <v/>
      </c>
      <c r="L122" s="23">
        <f>IF(L85=(pr_close+1),0,SUMIFS($D$97:K$97,$D$85:K$85,"&gt;"&amp;L102))</f>
        <v/>
      </c>
      <c r="M122" s="23">
        <f>IF(M85=(pr_close+1),0,SUMIFS($D$97:L$97,$D$85:L$85,"&gt;"&amp;M102))</f>
        <v/>
      </c>
      <c r="N122" s="23">
        <f>IF(N85=(pr_close+1),0,SUMIFS($D$97:M$97,$D$85:M$85,"&gt;"&amp;N102))</f>
        <v/>
      </c>
    </row>
    <row r="123">
      <c r="B123" s="2" t="inlineStr">
        <is>
          <t>DSIC surcharge (capped)</t>
        </is>
      </c>
      <c r="C123" s="5" t="inlineStr">
        <is>
          <t>$ million</t>
        </is>
      </c>
      <c r="E123" s="23">
        <f>IF(AND(pr_dsic=1,E85&gt;(pr_close+1)),MIN(pr_dsic_cap*E120,E122*((pr_eq*Inputs!$C$231+(1-pr_eq)*D146)+(pr_eq*Inputs!$C$231*pr_tax/(1-pr_tax))+pr_dep)),0)</f>
        <v/>
      </c>
      <c r="F123" s="23">
        <f>IF(AND(pr_dsic=1,F85&gt;(pr_close+1)),MIN(pr_dsic_cap*F120,F122*((pr_eq*Inputs!$C$231+(1-pr_eq)*E146)+(pr_eq*Inputs!$C$231*pr_tax/(1-pr_tax))+pr_dep)),0)</f>
        <v/>
      </c>
      <c r="G123" s="23">
        <f>IF(AND(pr_dsic=1,G85&gt;(pr_close+1)),MIN(pr_dsic_cap*G120,G122*((pr_eq*Inputs!$C$231+(1-pr_eq)*F146)+(pr_eq*Inputs!$C$231*pr_tax/(1-pr_tax))+pr_dep)),0)</f>
        <v/>
      </c>
      <c r="H123" s="23">
        <f>IF(AND(pr_dsic=1,H85&gt;(pr_close+1)),MIN(pr_dsic_cap*H120,H122*((pr_eq*Inputs!$C$231+(1-pr_eq)*G146)+(pr_eq*Inputs!$C$231*pr_tax/(1-pr_tax))+pr_dep)),0)</f>
        <v/>
      </c>
      <c r="I123" s="23">
        <f>IF(AND(pr_dsic=1,I85&gt;(pr_close+1)),MIN(pr_dsic_cap*I120,I122*((pr_eq*Inputs!$C$231+(1-pr_eq)*H146)+(pr_eq*Inputs!$C$231*pr_tax/(1-pr_tax))+pr_dep)),0)</f>
        <v/>
      </c>
      <c r="J123" s="23">
        <f>IF(AND(pr_dsic=1,J85&gt;(pr_close+1)),MIN(pr_dsic_cap*J120,J122*((pr_eq*Inputs!$C$231+(1-pr_eq)*I146)+(pr_eq*Inputs!$C$231*pr_tax/(1-pr_tax))+pr_dep)),0)</f>
        <v/>
      </c>
      <c r="K123" s="23">
        <f>IF(AND(pr_dsic=1,K85&gt;(pr_close+1)),MIN(pr_dsic_cap*K120,K122*((pr_eq*Inputs!$C$231+(1-pr_eq)*J146)+(pr_eq*Inputs!$C$231*pr_tax/(1-pr_tax))+pr_dep)),0)</f>
        <v/>
      </c>
      <c r="L123" s="23">
        <f>IF(AND(pr_dsic=1,L85&gt;(pr_close+1)),MIN(pr_dsic_cap*L120,L122*((pr_eq*Inputs!$C$231+(1-pr_eq)*K146)+(pr_eq*Inputs!$C$231*pr_tax/(1-pr_tax))+pr_dep)),0)</f>
        <v/>
      </c>
      <c r="M123" s="23">
        <f>IF(AND(pr_dsic=1,M85&gt;(pr_close+1)),MIN(pr_dsic_cap*M120,M122*((pr_eq*Inputs!$C$231+(1-pr_eq)*L146)+(pr_eq*Inputs!$C$231*pr_tax/(1-pr_tax))+pr_dep)),0)</f>
        <v/>
      </c>
      <c r="N123" s="23">
        <f>IF(AND(pr_dsic=1,N85&gt;(pr_close+1)),MIN(pr_dsic_cap*N120,N122*((pr_eq*Inputs!$C$231+(1-pr_eq)*M146)+(pr_eq*Inputs!$C$231*pr_tax/(1-pr_tax))+pr_dep)),0)</f>
        <v/>
      </c>
    </row>
    <row r="124">
      <c r="B124" s="3" t="inlineStr">
        <is>
          <t>Revenue</t>
        </is>
      </c>
      <c r="C124" s="5" t="inlineStr">
        <is>
          <t>$ million</t>
        </is>
      </c>
      <c r="E124" s="23">
        <f>E120+E121+E123</f>
        <v/>
      </c>
      <c r="F124" s="23">
        <f>F120+F121+F123</f>
        <v/>
      </c>
      <c r="G124" s="23">
        <f>G120+G121+G123</f>
        <v/>
      </c>
      <c r="H124" s="23">
        <f>H120+H121+H123</f>
        <v/>
      </c>
      <c r="I124" s="23">
        <f>I120+I121+I123</f>
        <v/>
      </c>
      <c r="J124" s="23">
        <f>J120+J121+J123</f>
        <v/>
      </c>
      <c r="K124" s="23">
        <f>K120+K121+K123</f>
        <v/>
      </c>
      <c r="L124" s="23">
        <f>L120+L121+L123</f>
        <v/>
      </c>
      <c r="M124" s="23">
        <f>M120+M121+M123</f>
        <v/>
      </c>
      <c r="N124" s="23">
        <f>N120+N121+N123</f>
        <v/>
      </c>
    </row>
    <row r="126">
      <c r="B126" s="6" t="inlineStr">
        <is>
          <t>Costs and income ($ million)</t>
        </is>
      </c>
      <c r="C126" s="7" t="n"/>
      <c r="D126" s="7" t="n"/>
      <c r="E126" s="7" t="n"/>
      <c r="F126" s="7" t="n"/>
      <c r="G126" s="7" t="n"/>
      <c r="H126" s="7" t="n"/>
      <c r="I126" s="7" t="n"/>
      <c r="J126" s="7" t="n"/>
      <c r="K126" s="7" t="n"/>
      <c r="L126" s="7" t="n"/>
      <c r="M126" s="7" t="n"/>
      <c r="N126" s="7" t="n"/>
    </row>
    <row r="127">
      <c r="B127" s="2" t="inlineStr">
        <is>
          <t>Operation and maintenance (with PFAS and Fennick)</t>
        </is>
      </c>
      <c r="C127" s="5" t="inlineStr">
        <is>
          <t>$ million</t>
        </is>
      </c>
      <c r="D127" s="23">
        <f>pr_om_2028/((1+pr_om_infl)*(1+pr_growth))</f>
        <v/>
      </c>
      <c r="E127" s="23">
        <f>pr_om_2028*((1+pr_om_infl)*(1+pr_growth))^E86+IF(E85&gt;=pr_pfas_om_y+pr_pfas_delay,pr_pfas_om*(1+pr_pfas_om_esc)^(E85-pr_pfas_om_y),0)+IF(AND(pr_fen_on=1,E85&gt;pr_fen_year),pr_fen_om*(1+pr_fen_esc)^(E85-pr_fen_year-1),0)</f>
        <v/>
      </c>
      <c r="F127" s="23">
        <f>pr_om_2028*((1+pr_om_infl)*(1+pr_growth))^F86+IF(F85&gt;=pr_pfas_om_y+pr_pfas_delay,pr_pfas_om*(1+pr_pfas_om_esc)^(F85-pr_pfas_om_y),0)+IF(AND(pr_fen_on=1,F85&gt;pr_fen_year),pr_fen_om*(1+pr_fen_esc)^(F85-pr_fen_year-1),0)</f>
        <v/>
      </c>
      <c r="G127" s="23">
        <f>pr_om_2028*((1+pr_om_infl)*(1+pr_growth))^G86+IF(G85&gt;=pr_pfas_om_y+pr_pfas_delay,pr_pfas_om*(1+pr_pfas_om_esc)^(G85-pr_pfas_om_y),0)+IF(AND(pr_fen_on=1,G85&gt;pr_fen_year),pr_fen_om*(1+pr_fen_esc)^(G85-pr_fen_year-1),0)</f>
        <v/>
      </c>
      <c r="H127" s="23">
        <f>pr_om_2028*((1+pr_om_infl)*(1+pr_growth))^H86+IF(H85&gt;=pr_pfas_om_y+pr_pfas_delay,pr_pfas_om*(1+pr_pfas_om_esc)^(H85-pr_pfas_om_y),0)+IF(AND(pr_fen_on=1,H85&gt;pr_fen_year),pr_fen_om*(1+pr_fen_esc)^(H85-pr_fen_year-1),0)</f>
        <v/>
      </c>
      <c r="I127" s="23">
        <f>pr_om_2028*((1+pr_om_infl)*(1+pr_growth))^I86+IF(I85&gt;=pr_pfas_om_y+pr_pfas_delay,pr_pfas_om*(1+pr_pfas_om_esc)^(I85-pr_pfas_om_y),0)+IF(AND(pr_fen_on=1,I85&gt;pr_fen_year),pr_fen_om*(1+pr_fen_esc)^(I85-pr_fen_year-1),0)</f>
        <v/>
      </c>
      <c r="J127" s="23">
        <f>pr_om_2028*((1+pr_om_infl)*(1+pr_growth))^J86+IF(J85&gt;=pr_pfas_om_y+pr_pfas_delay,pr_pfas_om*(1+pr_pfas_om_esc)^(J85-pr_pfas_om_y),0)+IF(AND(pr_fen_on=1,J85&gt;pr_fen_year),pr_fen_om*(1+pr_fen_esc)^(J85-pr_fen_year-1),0)</f>
        <v/>
      </c>
      <c r="K127" s="23">
        <f>pr_om_2028*((1+pr_om_infl)*(1+pr_growth))^K86+IF(K85&gt;=pr_pfas_om_y+pr_pfas_delay,pr_pfas_om*(1+pr_pfas_om_esc)^(K85-pr_pfas_om_y),0)+IF(AND(pr_fen_on=1,K85&gt;pr_fen_year),pr_fen_om*(1+pr_fen_esc)^(K85-pr_fen_year-1),0)</f>
        <v/>
      </c>
      <c r="L127" s="23">
        <f>pr_om_2028*((1+pr_om_infl)*(1+pr_growth))^L86+IF(L85&gt;=pr_pfas_om_y+pr_pfas_delay,pr_pfas_om*(1+pr_pfas_om_esc)^(L85-pr_pfas_om_y),0)+IF(AND(pr_fen_on=1,L85&gt;pr_fen_year),pr_fen_om*(1+pr_fen_esc)^(L85-pr_fen_year-1),0)</f>
        <v/>
      </c>
      <c r="M127" s="23">
        <f>pr_om_2028*((1+pr_om_infl)*(1+pr_growth))^M86+IF(M85&gt;=pr_pfas_om_y+pr_pfas_delay,pr_pfas_om*(1+pr_pfas_om_esc)^(M85-pr_pfas_om_y),0)+IF(AND(pr_fen_on=1,M85&gt;pr_fen_year),pr_fen_om*(1+pr_fen_esc)^(M85-pr_fen_year-1),0)</f>
        <v/>
      </c>
      <c r="N127" s="23">
        <f>pr_om_2028*((1+pr_om_infl)*(1+pr_growth))^N86+IF(N85&gt;=pr_pfas_om_y+pr_pfas_delay,pr_pfas_om*(1+pr_pfas_om_esc)^(N85-pr_pfas_om_y),0)+IF(AND(pr_fen_on=1,N85&gt;pr_fen_year),pr_fen_om*(1+pr_fen_esc)^(N85-pr_fen_year-1),0)</f>
        <v/>
      </c>
    </row>
    <row r="128">
      <c r="B128" s="2" t="inlineStr">
        <is>
          <t>Customer-side lead cost expensed</t>
        </is>
      </c>
      <c r="C128" s="5" t="inlineStr">
        <is>
          <t>$ million</t>
        </is>
      </c>
      <c r="E128" s="23">
        <f>pr_lead_exp*E94*pr_lead_cust</f>
        <v/>
      </c>
      <c r="F128" s="23">
        <f>pr_lead_exp*F94*pr_lead_cust</f>
        <v/>
      </c>
      <c r="G128" s="23">
        <f>pr_lead_exp*G94*pr_lead_cust</f>
        <v/>
      </c>
      <c r="H128" s="23">
        <f>pr_lead_exp*H94*pr_lead_cust</f>
        <v/>
      </c>
      <c r="I128" s="23">
        <f>pr_lead_exp*I94*pr_lead_cust</f>
        <v/>
      </c>
      <c r="J128" s="23">
        <f>pr_lead_exp*J94*pr_lead_cust</f>
        <v/>
      </c>
      <c r="K128" s="23">
        <f>pr_lead_exp*K94*pr_lead_cust</f>
        <v/>
      </c>
      <c r="L128" s="23">
        <f>pr_lead_exp*L94*pr_lead_cust</f>
        <v/>
      </c>
      <c r="M128" s="23">
        <f>pr_lead_exp*M94*pr_lead_cust</f>
        <v/>
      </c>
      <c r="N128" s="23">
        <f>pr_lead_exp*N94*pr_lead_cust</f>
        <v/>
      </c>
    </row>
    <row r="129">
      <c r="B129" s="2" t="inlineStr">
        <is>
          <t>Other taxes</t>
        </is>
      </c>
      <c r="C129" s="5" t="inlineStr">
        <is>
          <t>$ million</t>
        </is>
      </c>
      <c r="E129" s="23">
        <f>pr_ptax*E138</f>
        <v/>
      </c>
      <c r="F129" s="23">
        <f>pr_ptax*F138</f>
        <v/>
      </c>
      <c r="G129" s="23">
        <f>pr_ptax*G138</f>
        <v/>
      </c>
      <c r="H129" s="23">
        <f>pr_ptax*H138</f>
        <v/>
      </c>
      <c r="I129" s="23">
        <f>pr_ptax*I138</f>
        <v/>
      </c>
      <c r="J129" s="23">
        <f>pr_ptax*J138</f>
        <v/>
      </c>
      <c r="K129" s="23">
        <f>pr_ptax*K138</f>
        <v/>
      </c>
      <c r="L129" s="23">
        <f>pr_ptax*L138</f>
        <v/>
      </c>
      <c r="M129" s="23">
        <f>pr_ptax*M138</f>
        <v/>
      </c>
      <c r="N129" s="23">
        <f>pr_ptax*N138</f>
        <v/>
      </c>
    </row>
    <row r="130">
      <c r="B130" s="2" t="inlineStr">
        <is>
          <t>EBITDA</t>
        </is>
      </c>
      <c r="C130" s="5" t="inlineStr">
        <is>
          <t>$ million</t>
        </is>
      </c>
      <c r="E130" s="23">
        <f>E124-E127-E129-E128</f>
        <v/>
      </c>
      <c r="F130" s="23">
        <f>F124-F127-F129-F128</f>
        <v/>
      </c>
      <c r="G130" s="23">
        <f>G124-G127-G129-G128</f>
        <v/>
      </c>
      <c r="H130" s="23">
        <f>H124-H127-H129-H128</f>
        <v/>
      </c>
      <c r="I130" s="23">
        <f>I124-I127-I129-I128</f>
        <v/>
      </c>
      <c r="J130" s="23">
        <f>J124-J127-J129-J128</f>
        <v/>
      </c>
      <c r="K130" s="23">
        <f>K124-K127-K129-K128</f>
        <v/>
      </c>
      <c r="L130" s="23">
        <f>L124-L127-L129-L128</f>
        <v/>
      </c>
      <c r="M130" s="23">
        <f>M124-M127-M129-M128</f>
        <v/>
      </c>
      <c r="N130" s="23">
        <f>N124-N127-N129-N128</f>
        <v/>
      </c>
    </row>
    <row r="131">
      <c r="B131" s="2" t="inlineStr">
        <is>
          <t>Depreciation</t>
        </is>
      </c>
      <c r="C131" s="5" t="inlineStr">
        <is>
          <t>$ million</t>
        </is>
      </c>
      <c r="E131" s="23">
        <f>pr_dep*E138</f>
        <v/>
      </c>
      <c r="F131" s="23">
        <f>pr_dep*F138</f>
        <v/>
      </c>
      <c r="G131" s="23">
        <f>pr_dep*G138</f>
        <v/>
      </c>
      <c r="H131" s="23">
        <f>pr_dep*H138</f>
        <v/>
      </c>
      <c r="I131" s="23">
        <f>pr_dep*I138</f>
        <v/>
      </c>
      <c r="J131" s="23">
        <f>pr_dep*J138</f>
        <v/>
      </c>
      <c r="K131" s="23">
        <f>pr_dep*K138</f>
        <v/>
      </c>
      <c r="L131" s="23">
        <f>pr_dep*L138</f>
        <v/>
      </c>
      <c r="M131" s="23">
        <f>pr_dep*M138</f>
        <v/>
      </c>
      <c r="N131" s="23">
        <f>pr_dep*N138</f>
        <v/>
      </c>
    </row>
    <row r="132">
      <c r="B132" s="2" t="inlineStr">
        <is>
          <t>Interest (average of opening and closing debt)</t>
        </is>
      </c>
      <c r="C132" s="5" t="inlineStr">
        <is>
          <t>$ million</t>
        </is>
      </c>
      <c r="E132" s="23">
        <f>0.5*(D144*D146+E144*E146)</f>
        <v/>
      </c>
      <c r="F132" s="23">
        <f>0.5*(E144*E146+F144*F146)</f>
        <v/>
      </c>
      <c r="G132" s="23">
        <f>0.5*(F144*F146+G144*G146)</f>
        <v/>
      </c>
      <c r="H132" s="23">
        <f>0.5*(G144*G146+H144*H146)</f>
        <v/>
      </c>
      <c r="I132" s="23">
        <f>0.5*(H144*H146+I144*I146)</f>
        <v/>
      </c>
      <c r="J132" s="23">
        <f>0.5*(I144*I146+J144*J146)</f>
        <v/>
      </c>
      <c r="K132" s="23">
        <f>0.5*(J144*J146+K144*K146)</f>
        <v/>
      </c>
      <c r="L132" s="23">
        <f>0.5*(K144*K146+L144*L146)</f>
        <v/>
      </c>
      <c r="M132" s="23">
        <f>0.5*(L144*L146+M144*M146)</f>
        <v/>
      </c>
      <c r="N132" s="23">
        <f>0.5*(M144*M146+N144*N146)</f>
        <v/>
      </c>
    </row>
    <row r="133">
      <c r="B133" s="2" t="inlineStr">
        <is>
          <t>Income before tax</t>
        </is>
      </c>
      <c r="C133" s="5" t="inlineStr">
        <is>
          <t>$ million</t>
        </is>
      </c>
      <c r="E133" s="23">
        <f>E130-E131-E132</f>
        <v/>
      </c>
      <c r="F133" s="23">
        <f>F130-F131-F132</f>
        <v/>
      </c>
      <c r="G133" s="23">
        <f>G130-G131-G132</f>
        <v/>
      </c>
      <c r="H133" s="23">
        <f>H130-H131-H132</f>
        <v/>
      </c>
      <c r="I133" s="23">
        <f>I130-I131-I132</f>
        <v/>
      </c>
      <c r="J133" s="23">
        <f>J130-J131-J132</f>
        <v/>
      </c>
      <c r="K133" s="23">
        <f>K130-K131-K132</f>
        <v/>
      </c>
      <c r="L133" s="23">
        <f>L130-L131-L132</f>
        <v/>
      </c>
      <c r="M133" s="23">
        <f>M130-M131-M132</f>
        <v/>
      </c>
      <c r="N133" s="23">
        <f>N130-N131-N132</f>
        <v/>
      </c>
    </row>
    <row r="134">
      <c r="B134" s="2" t="inlineStr">
        <is>
          <t>Income tax</t>
        </is>
      </c>
      <c r="C134" s="5" t="inlineStr">
        <is>
          <t>$ million</t>
        </is>
      </c>
      <c r="E134" s="23">
        <f>pr_tax*E133</f>
        <v/>
      </c>
      <c r="F134" s="23">
        <f>pr_tax*F133</f>
        <v/>
      </c>
      <c r="G134" s="23">
        <f>pr_tax*G133</f>
        <v/>
      </c>
      <c r="H134" s="23">
        <f>pr_tax*H133</f>
        <v/>
      </c>
      <c r="I134" s="23">
        <f>pr_tax*I133</f>
        <v/>
      </c>
      <c r="J134" s="23">
        <f>pr_tax*J133</f>
        <v/>
      </c>
      <c r="K134" s="23">
        <f>pr_tax*K133</f>
        <v/>
      </c>
      <c r="L134" s="23">
        <f>pr_tax*L133</f>
        <v/>
      </c>
      <c r="M134" s="23">
        <f>pr_tax*M133</f>
        <v/>
      </c>
      <c r="N134" s="23">
        <f>pr_tax*N133</f>
        <v/>
      </c>
    </row>
    <row r="135">
      <c r="B135" s="3" t="inlineStr">
        <is>
          <t>Net income</t>
        </is>
      </c>
      <c r="C135" s="5" t="inlineStr">
        <is>
          <t>$ million</t>
        </is>
      </c>
      <c r="E135" s="23">
        <f>E133-E134</f>
        <v/>
      </c>
      <c r="F135" s="23">
        <f>F133-F134</f>
        <v/>
      </c>
      <c r="G135" s="23">
        <f>G133-G134</f>
        <v/>
      </c>
      <c r="H135" s="23">
        <f>H133-H134</f>
        <v/>
      </c>
      <c r="I135" s="23">
        <f>I133-I134</f>
        <v/>
      </c>
      <c r="J135" s="23">
        <f>J133-J134</f>
        <v/>
      </c>
      <c r="K135" s="23">
        <f>K133-K134</f>
        <v/>
      </c>
      <c r="L135" s="23">
        <f>L133-L134</f>
        <v/>
      </c>
      <c r="M135" s="23">
        <f>M133-M134</f>
        <v/>
      </c>
      <c r="N135" s="23">
        <f>N133-N134</f>
        <v/>
      </c>
    </row>
    <row r="137">
      <c r="B137" s="6" t="inlineStr">
        <is>
          <t>Rate base and debt ($ million)</t>
        </is>
      </c>
      <c r="C137" s="7" t="n"/>
      <c r="D137" s="7" t="n"/>
      <c r="E137" s="7" t="n"/>
      <c r="F137" s="7" t="n"/>
      <c r="G137" s="7" t="n"/>
      <c r="H137" s="7" t="n"/>
      <c r="I137" s="7" t="n"/>
      <c r="J137" s="7" t="n"/>
      <c r="K137" s="7" t="n"/>
      <c r="L137" s="7" t="n"/>
      <c r="M137" s="7" t="n"/>
      <c r="N137" s="7" t="n"/>
    </row>
    <row r="138">
      <c r="B138" s="2" t="inlineStr">
        <is>
          <t>Opening rate base</t>
        </is>
      </c>
      <c r="C138" s="5" t="inlineStr">
        <is>
          <t>$ million</t>
        </is>
      </c>
      <c r="E138" s="23">
        <f>D142</f>
        <v/>
      </c>
      <c r="F138" s="23">
        <f>E142</f>
        <v/>
      </c>
      <c r="G138" s="23">
        <f>F142</f>
        <v/>
      </c>
      <c r="H138" s="23">
        <f>G142</f>
        <v/>
      </c>
      <c r="I138" s="23">
        <f>H142</f>
        <v/>
      </c>
      <c r="J138" s="23">
        <f>I142</f>
        <v/>
      </c>
      <c r="K138" s="23">
        <f>J142</f>
        <v/>
      </c>
      <c r="L138" s="23">
        <f>K142</f>
        <v/>
      </c>
      <c r="M138" s="23">
        <f>L142</f>
        <v/>
      </c>
      <c r="N138" s="23">
        <f>M142</f>
        <v/>
      </c>
    </row>
    <row r="139">
      <c r="B139" s="2" t="inlineStr">
        <is>
          <t>Spending disallowed (never in rate base)</t>
        </is>
      </c>
      <c r="C139" s="5" t="inlineStr">
        <is>
          <t>$ million</t>
        </is>
      </c>
      <c r="E139" s="23">
        <f>pr_disallow*(E93+E94-E128)</f>
        <v/>
      </c>
      <c r="F139" s="23">
        <f>pr_disallow*(F93+F94-F128)</f>
        <v/>
      </c>
      <c r="G139" s="23">
        <f>pr_disallow*(G93+G94-G128)</f>
        <v/>
      </c>
      <c r="H139" s="23">
        <f>pr_disallow*(H93+H94-H128)</f>
        <v/>
      </c>
      <c r="I139" s="23">
        <f>pr_disallow*(I93+I94-I128)</f>
        <v/>
      </c>
      <c r="J139" s="23">
        <f>pr_disallow*(J93+J94-J128)</f>
        <v/>
      </c>
      <c r="K139" s="23">
        <f>pr_disallow*(K93+K94-K128)</f>
        <v/>
      </c>
      <c r="L139" s="23">
        <f>pr_disallow*(L93+L94-L128)</f>
        <v/>
      </c>
      <c r="M139" s="23">
        <f>pr_disallow*(M93+M94-M128)</f>
        <v/>
      </c>
      <c r="N139" s="23">
        <f>pr_disallow*(N93+N94-N128)</f>
        <v/>
      </c>
    </row>
    <row r="140">
      <c r="B140" s="2" t="inlineStr">
        <is>
          <t>Acquisitions (Fennick at its price)</t>
        </is>
      </c>
      <c r="C140" s="5" t="inlineStr">
        <is>
          <t>$ million</t>
        </is>
      </c>
      <c r="E140" s="23">
        <f>IF(AND(pr_fen_on=1,E85=pr_fen_year),pr_fen_price,0)</f>
        <v/>
      </c>
      <c r="F140" s="23">
        <f>IF(AND(pr_fen_on=1,F85=pr_fen_year),pr_fen_price,0)</f>
        <v/>
      </c>
      <c r="G140" s="23">
        <f>IF(AND(pr_fen_on=1,G85=pr_fen_year),pr_fen_price,0)</f>
        <v/>
      </c>
      <c r="H140" s="23">
        <f>IF(AND(pr_fen_on=1,H85=pr_fen_year),pr_fen_price,0)</f>
        <v/>
      </c>
      <c r="I140" s="23">
        <f>IF(AND(pr_fen_on=1,I85=pr_fen_year),pr_fen_price,0)</f>
        <v/>
      </c>
      <c r="J140" s="23">
        <f>IF(AND(pr_fen_on=1,J85=pr_fen_year),pr_fen_price,0)</f>
        <v/>
      </c>
      <c r="K140" s="23">
        <f>IF(AND(pr_fen_on=1,K85=pr_fen_year),pr_fen_price,0)</f>
        <v/>
      </c>
      <c r="L140" s="23">
        <f>IF(AND(pr_fen_on=1,L85=pr_fen_year),pr_fen_price,0)</f>
        <v/>
      </c>
      <c r="M140" s="23">
        <f>IF(AND(pr_fen_on=1,M85=pr_fen_year),pr_fen_price,0)</f>
        <v/>
      </c>
      <c r="N140" s="23">
        <f>IF(AND(pr_fen_on=1,N85=pr_fen_year),pr_fen_price,0)</f>
        <v/>
      </c>
    </row>
    <row r="141">
      <c r="B141" s="2" t="inlineStr">
        <is>
          <t>Settlement credited against rate base</t>
        </is>
      </c>
      <c r="C141" s="5" t="inlineStr">
        <is>
          <t>$ million</t>
        </is>
      </c>
      <c r="E141" s="23">
        <f>IF(E85=pr_settle_y,pr_settle,0)</f>
        <v/>
      </c>
      <c r="F141" s="23">
        <f>IF(F85=pr_settle_y,pr_settle,0)</f>
        <v/>
      </c>
      <c r="G141" s="23">
        <f>IF(G85=pr_settle_y,pr_settle,0)</f>
        <v/>
      </c>
      <c r="H141" s="23">
        <f>IF(H85=pr_settle_y,pr_settle,0)</f>
        <v/>
      </c>
      <c r="I141" s="23">
        <f>IF(I85=pr_settle_y,pr_settle,0)</f>
        <v/>
      </c>
      <c r="J141" s="23">
        <f>IF(J85=pr_settle_y,pr_settle,0)</f>
        <v/>
      </c>
      <c r="K141" s="23">
        <f>IF(K85=pr_settle_y,pr_settle,0)</f>
        <v/>
      </c>
      <c r="L141" s="23">
        <f>IF(L85=pr_settle_y,pr_settle,0)</f>
        <v/>
      </c>
      <c r="M141" s="23">
        <f>IF(M85=pr_settle_y,pr_settle,0)</f>
        <v/>
      </c>
      <c r="N141" s="23">
        <f>IF(N85=pr_settle_y,pr_settle,0)</f>
        <v/>
      </c>
    </row>
    <row r="142">
      <c r="B142" s="3" t="inlineStr">
        <is>
          <t>Closing rate base</t>
        </is>
      </c>
      <c r="C142" s="5" t="inlineStr">
        <is>
          <t>$ million</t>
        </is>
      </c>
      <c r="D142" s="23">
        <f>pr_rb0</f>
        <v/>
      </c>
      <c r="E142" s="23">
        <f>E138+E96-E128-E139+E140-E131-E141</f>
        <v/>
      </c>
      <c r="F142" s="23">
        <f>F138+F96-F128-F139+F140-F131-F141</f>
        <v/>
      </c>
      <c r="G142" s="23">
        <f>G138+G96-G128-G139+G140-G131-G141</f>
        <v/>
      </c>
      <c r="H142" s="23">
        <f>H138+H96-H128-H139+H140-H131-H141</f>
        <v/>
      </c>
      <c r="I142" s="23">
        <f>I138+I96-I128-I139+I140-I131-I141</f>
        <v/>
      </c>
      <c r="J142" s="23">
        <f>J138+J96-J128-J139+J140-J131-J141</f>
        <v/>
      </c>
      <c r="K142" s="23">
        <f>K138+K96-K128-K139+K140-K131-K141</f>
        <v/>
      </c>
      <c r="L142" s="23">
        <f>L138+L96-L128-L139+L140-L131-L141</f>
        <v/>
      </c>
      <c r="M142" s="23">
        <f>M138+M96-M128-M139+M140-M131-M141</f>
        <v/>
      </c>
      <c r="N142" s="23">
        <f>N138+N96-N128-N139+N140-N131-N141</f>
        <v/>
      </c>
    </row>
    <row r="143">
      <c r="B143" s="2" t="inlineStr">
        <is>
          <t>Original bonds outstanding</t>
        </is>
      </c>
      <c r="C143" s="5" t="inlineStr">
        <is>
          <t>$ million</t>
        </is>
      </c>
      <c r="D143" s="23">
        <f>(1-pr_eq)*pr_rb0</f>
        <v/>
      </c>
      <c r="E143" s="23">
        <f>MAX(0,D143-pr_amort*(1-pr_eq)*pr_rb0)</f>
        <v/>
      </c>
      <c r="F143" s="23">
        <f>MAX(0,E143-pr_amort*(1-pr_eq)*pr_rb0)</f>
        <v/>
      </c>
      <c r="G143" s="23">
        <f>MAX(0,F143-pr_amort*(1-pr_eq)*pr_rb0)</f>
        <v/>
      </c>
      <c r="H143" s="23">
        <f>MAX(0,G143-pr_amort*(1-pr_eq)*pr_rb0)</f>
        <v/>
      </c>
      <c r="I143" s="23">
        <f>MAX(0,H143-pr_amort*(1-pr_eq)*pr_rb0)</f>
        <v/>
      </c>
      <c r="J143" s="23">
        <f>MAX(0,I143-pr_amort*(1-pr_eq)*pr_rb0)</f>
        <v/>
      </c>
      <c r="K143" s="23">
        <f>MAX(0,J143-pr_amort*(1-pr_eq)*pr_rb0)</f>
        <v/>
      </c>
      <c r="L143" s="23">
        <f>MAX(0,K143-pr_amort*(1-pr_eq)*pr_rb0)</f>
        <v/>
      </c>
      <c r="M143" s="23">
        <f>MAX(0,L143-pr_amort*(1-pr_eq)*pr_rb0)</f>
        <v/>
      </c>
      <c r="N143" s="23">
        <f>MAX(0,M143-pr_amort*(1-pr_eq)*pr_rb0)</f>
        <v/>
      </c>
    </row>
    <row r="144">
      <c r="B144" s="2" t="inlineStr">
        <is>
          <t>Operating company debt (debt share of rate base)</t>
        </is>
      </c>
      <c r="C144" s="5" t="inlineStr">
        <is>
          <t>$ million</t>
        </is>
      </c>
      <c r="D144" s="23">
        <f>(1-pr_eq)*D142</f>
        <v/>
      </c>
      <c r="E144" s="23">
        <f>(1-pr_eq)*E142</f>
        <v/>
      </c>
      <c r="F144" s="23">
        <f>(1-pr_eq)*F142</f>
        <v/>
      </c>
      <c r="G144" s="23">
        <f>(1-pr_eq)*G142</f>
        <v/>
      </c>
      <c r="H144" s="23">
        <f>(1-pr_eq)*H142</f>
        <v/>
      </c>
      <c r="I144" s="23">
        <f>(1-pr_eq)*I142</f>
        <v/>
      </c>
      <c r="J144" s="23">
        <f>(1-pr_eq)*J142</f>
        <v/>
      </c>
      <c r="K144" s="23">
        <f>(1-pr_eq)*K142</f>
        <v/>
      </c>
      <c r="L144" s="23">
        <f>(1-pr_eq)*L142</f>
        <v/>
      </c>
      <c r="M144" s="23">
        <f>(1-pr_eq)*M142</f>
        <v/>
      </c>
      <c r="N144" s="23">
        <f>(1-pr_eq)*N142</f>
        <v/>
      </c>
    </row>
    <row r="145">
      <c r="B145" s="2" t="inlineStr">
        <is>
          <t>New bonds outstanding</t>
        </is>
      </c>
      <c r="C145" s="5" t="inlineStr">
        <is>
          <t>$ million</t>
        </is>
      </c>
      <c r="D145" s="23">
        <f>D144-D143</f>
        <v/>
      </c>
      <c r="E145" s="23">
        <f>E144-E143</f>
        <v/>
      </c>
      <c r="F145" s="23">
        <f>F144-F143</f>
        <v/>
      </c>
      <c r="G145" s="23">
        <f>G144-G143</f>
        <v/>
      </c>
      <c r="H145" s="23">
        <f>H144-H143</f>
        <v/>
      </c>
      <c r="I145" s="23">
        <f>I144-I143</f>
        <v/>
      </c>
      <c r="J145" s="23">
        <f>J144-J143</f>
        <v/>
      </c>
      <c r="K145" s="23">
        <f>K144-K143</f>
        <v/>
      </c>
      <c r="L145" s="23">
        <f>L144-L143</f>
        <v/>
      </c>
      <c r="M145" s="23">
        <f>M144-M143</f>
        <v/>
      </c>
      <c r="N145" s="23">
        <f>N144-N143</f>
        <v/>
      </c>
    </row>
    <row r="146">
      <c r="B146" s="2" t="inlineStr">
        <is>
          <t>Embedded cost of debt at year end</t>
        </is>
      </c>
      <c r="C146" s="5" t="inlineStr">
        <is>
          <t>rate</t>
        </is>
      </c>
      <c r="D146" s="27">
        <f>pr_kd_old</f>
        <v/>
      </c>
      <c r="E146" s="27">
        <f>(E143*pr_kd_old+E145*pr_kd_new)/E144</f>
        <v/>
      </c>
      <c r="F146" s="27">
        <f>(F143*pr_kd_old+F145*pr_kd_new)/F144</f>
        <v/>
      </c>
      <c r="G146" s="27">
        <f>(G143*pr_kd_old+G145*pr_kd_new)/G144</f>
        <v/>
      </c>
      <c r="H146" s="27">
        <f>(H143*pr_kd_old+H145*pr_kd_new)/H144</f>
        <v/>
      </c>
      <c r="I146" s="27">
        <f>(I143*pr_kd_old+I145*pr_kd_new)/I144</f>
        <v/>
      </c>
      <c r="J146" s="27">
        <f>(J143*pr_kd_old+J145*pr_kd_new)/J144</f>
        <v/>
      </c>
      <c r="K146" s="27">
        <f>(K143*pr_kd_old+K145*pr_kd_new)/K144</f>
        <v/>
      </c>
      <c r="L146" s="27">
        <f>(L143*pr_kd_old+L145*pr_kd_new)/L144</f>
        <v/>
      </c>
      <c r="M146" s="27">
        <f>(M143*pr_kd_old+M145*pr_kd_new)/M144</f>
        <v/>
      </c>
      <c r="N146" s="27">
        <f>(N143*pr_kd_old+N145*pr_kd_new)/N144</f>
        <v/>
      </c>
    </row>
    <row r="148">
      <c r="B148" s="6" t="inlineStr">
        <is>
          <t>Returns and cash ($ million)</t>
        </is>
      </c>
      <c r="C148" s="7" t="n"/>
      <c r="D148" s="7" t="n"/>
      <c r="E148" s="7" t="n"/>
      <c r="F148" s="7" t="n"/>
      <c r="G148" s="7" t="n"/>
      <c r="H148" s="7" t="n"/>
      <c r="I148" s="7" t="n"/>
      <c r="J148" s="7" t="n"/>
      <c r="K148" s="7" t="n"/>
      <c r="L148" s="7" t="n"/>
      <c r="M148" s="7" t="n"/>
      <c r="N148" s="7" t="n"/>
    </row>
    <row r="149">
      <c r="B149" s="2" t="inlineStr">
        <is>
          <t>Average equity share of rate base</t>
        </is>
      </c>
      <c r="C149" s="5" t="inlineStr">
        <is>
          <t>$ million</t>
        </is>
      </c>
      <c r="E149" s="23">
        <f>pr_eq*0.5*(E138+E142)</f>
        <v/>
      </c>
      <c r="F149" s="23">
        <f>pr_eq*0.5*(F138+F142)</f>
        <v/>
      </c>
      <c r="G149" s="23">
        <f>pr_eq*0.5*(G138+G142)</f>
        <v/>
      </c>
      <c r="H149" s="23">
        <f>pr_eq*0.5*(H138+H142)</f>
        <v/>
      </c>
      <c r="I149" s="23">
        <f>pr_eq*0.5*(I138+I142)</f>
        <v/>
      </c>
      <c r="J149" s="23">
        <f>pr_eq*0.5*(J138+J142)</f>
        <v/>
      </c>
      <c r="K149" s="23">
        <f>pr_eq*0.5*(K138+K142)</f>
        <v/>
      </c>
      <c r="L149" s="23">
        <f>pr_eq*0.5*(L138+L142)</f>
        <v/>
      </c>
      <c r="M149" s="23">
        <f>pr_eq*0.5*(M138+M142)</f>
        <v/>
      </c>
      <c r="N149" s="23">
        <f>pr_eq*0.5*(N138+N142)</f>
        <v/>
      </c>
    </row>
    <row r="150">
      <c r="B150" s="2" t="inlineStr">
        <is>
          <t>Earned return on equity</t>
        </is>
      </c>
      <c r="C150" s="5" t="inlineStr">
        <is>
          <t>rate</t>
        </is>
      </c>
      <c r="E150" s="27">
        <f>E135/E149</f>
        <v/>
      </c>
      <c r="F150" s="27">
        <f>F135/F149</f>
        <v/>
      </c>
      <c r="G150" s="27">
        <f>G135/G149</f>
        <v/>
      </c>
      <c r="H150" s="27">
        <f>H135/H149</f>
        <v/>
      </c>
      <c r="I150" s="27">
        <f>I135/I149</f>
        <v/>
      </c>
      <c r="J150" s="27">
        <f>J135/J149</f>
        <v/>
      </c>
      <c r="K150" s="27">
        <f>K135/K149</f>
        <v/>
      </c>
      <c r="L150" s="27">
        <f>L135/L149</f>
        <v/>
      </c>
      <c r="M150" s="27">
        <f>M135/M149</f>
        <v/>
      </c>
      <c r="N150" s="27">
        <f>N135/N149</f>
        <v/>
      </c>
    </row>
    <row r="151">
      <c r="B151" s="2" t="inlineStr">
        <is>
          <t>Authorized return on equity</t>
        </is>
      </c>
      <c r="C151" s="5" t="inlineStr">
        <is>
          <t>rate</t>
        </is>
      </c>
      <c r="E151" s="27">
        <f>Inputs!$C$231</f>
        <v/>
      </c>
      <c r="F151" s="27">
        <f>Inputs!$C$231</f>
        <v/>
      </c>
      <c r="G151" s="27">
        <f>Inputs!$C$231</f>
        <v/>
      </c>
      <c r="H151" s="27">
        <f>Inputs!$C$231</f>
        <v/>
      </c>
      <c r="I151" s="27">
        <f>Inputs!$C$231</f>
        <v/>
      </c>
      <c r="J151" s="27">
        <f>Inputs!$C$231</f>
        <v/>
      </c>
      <c r="K151" s="27">
        <f>Inputs!$C$231</f>
        <v/>
      </c>
      <c r="L151" s="27">
        <f>Inputs!$C$231</f>
        <v/>
      </c>
      <c r="M151" s="27">
        <f>Inputs!$C$231</f>
        <v/>
      </c>
      <c r="N151" s="27">
        <f>Inputs!$C$231</f>
        <v/>
      </c>
    </row>
    <row r="152">
      <c r="B152" s="3" t="inlineStr">
        <is>
          <t>Cash to the shareholder (FCFE)</t>
        </is>
      </c>
      <c r="C152" s="5" t="inlineStr">
        <is>
          <t>$ million</t>
        </is>
      </c>
      <c r="E152" s="23">
        <f>E135+E131-E96-E140+E141+E144-D144</f>
        <v/>
      </c>
      <c r="F152" s="23">
        <f>F135+F131-F96-F140+F141+F144-E144</f>
        <v/>
      </c>
      <c r="G152" s="23">
        <f>G135+G131-G96-G140+G141+G144-F144</f>
        <v/>
      </c>
      <c r="H152" s="23">
        <f>H135+H131-H96-H140+H141+H144-G144</f>
        <v/>
      </c>
      <c r="I152" s="23">
        <f>I135+I131-I96-I140+I141+I144-H144</f>
        <v/>
      </c>
      <c r="J152" s="23">
        <f>J135+J131-J96-J140+J141+J144-I144</f>
        <v/>
      </c>
      <c r="K152" s="23">
        <f>K135+K131-K96-K140+K141+K144-J144</f>
        <v/>
      </c>
      <c r="L152" s="23">
        <f>L135+L131-L96-L140+L141+L144-K144</f>
        <v/>
      </c>
      <c r="M152" s="23">
        <f>M135+M131-M96-M140+M141+M144-L144</f>
        <v/>
      </c>
      <c r="N152" s="23">
        <f>N135+N131-N96-N140+N141+N144-M144</f>
        <v/>
      </c>
    </row>
    <row r="153">
      <c r="B153" s="2" t="inlineStr">
        <is>
          <t>Funds from operations (net income + depreciation)</t>
        </is>
      </c>
      <c r="C153" s="5" t="inlineStr">
        <is>
          <t>$ million</t>
        </is>
      </c>
      <c r="E153" s="23">
        <f>E135+E131</f>
        <v/>
      </c>
      <c r="F153" s="23">
        <f>F135+F131</f>
        <v/>
      </c>
      <c r="G153" s="23">
        <f>G135+G131</f>
        <v/>
      </c>
      <c r="H153" s="23">
        <f>H135+H131</f>
        <v/>
      </c>
      <c r="I153" s="23">
        <f>I135+I131</f>
        <v/>
      </c>
      <c r="J153" s="23">
        <f>J135+J131</f>
        <v/>
      </c>
      <c r="K153" s="23">
        <f>K135+K131</f>
        <v/>
      </c>
      <c r="L153" s="23">
        <f>L135+L131</f>
        <v/>
      </c>
      <c r="M153" s="23">
        <f>M135+M131</f>
        <v/>
      </c>
      <c r="N153" s="23">
        <f>N135+N131</f>
        <v/>
      </c>
    </row>
    <row r="154">
      <c r="B154" s="3" t="inlineStr">
        <is>
          <t>Brannock's net flows (exit at the exit multiple)</t>
        </is>
      </c>
      <c r="C154" s="5" t="inlineStr">
        <is>
          <t>$ million</t>
        </is>
      </c>
      <c r="D154" s="23">
        <f>-(pr_ev_mult*pr_rb0-(1-pr_eq)*pr_rb0+pr_costs-pr_holdco)</f>
        <v/>
      </c>
      <c r="E154" s="23">
        <f>E152-pr_holdco*pr_kd_holdco*(1-pr_tax)</f>
        <v/>
      </c>
      <c r="F154" s="23">
        <f>F152-pr_holdco*pr_kd_holdco*(1-pr_tax)</f>
        <v/>
      </c>
      <c r="G154" s="23">
        <f>G152-pr_holdco*pr_kd_holdco*(1-pr_tax)</f>
        <v/>
      </c>
      <c r="H154" s="23">
        <f>H152-pr_holdco*pr_kd_holdco*(1-pr_tax)</f>
        <v/>
      </c>
      <c r="I154" s="23">
        <f>I152-pr_holdco*pr_kd_holdco*(1-pr_tax)</f>
        <v/>
      </c>
      <c r="J154" s="23">
        <f>J152-pr_holdco*pr_kd_holdco*(1-pr_tax)</f>
        <v/>
      </c>
      <c r="K154" s="23">
        <f>K152-pr_holdco*pr_kd_holdco*(1-pr_tax)</f>
        <v/>
      </c>
      <c r="L154" s="23">
        <f>L152-pr_holdco*pr_kd_holdco*(1-pr_tax)</f>
        <v/>
      </c>
      <c r="M154" s="23">
        <f>M152-pr_holdco*pr_kd_holdco*(1-pr_tax)</f>
        <v/>
      </c>
      <c r="N154" s="23">
        <f>N152-pr_holdco*pr_kd_holdco*(1-pr_tax)+pr_exit_mult*N142-N144-pr_holdco</f>
        <v/>
      </c>
    </row>
    <row r="155">
      <c r="B155" s="2" t="inlineStr">
        <is>
          <t>Levered IRR</t>
        </is>
      </c>
      <c r="C155" s="5" t="inlineStr">
        <is>
          <t>rate</t>
        </is>
      </c>
      <c r="D155" s="27">
        <f>IRR($D$154:N$154,0.08)</f>
        <v/>
      </c>
    </row>
    <row r="156">
      <c r="B156" s="2" t="inlineStr">
        <is>
          <t>Average earned return on equity 2028 to 2037</t>
        </is>
      </c>
      <c r="C156" s="5" t="inlineStr">
        <is>
          <t>rate</t>
        </is>
      </c>
      <c r="D156" s="27">
        <f>AVERAGE($E$150:N$150)</f>
        <v/>
      </c>
    </row>
    <row r="157">
      <c r="B157" s="2" t="inlineStr">
        <is>
          <t>Price at the target return (enterprise value)</t>
        </is>
      </c>
      <c r="C157" s="5" t="inlineStr">
        <is>
          <t>$ million</t>
        </is>
      </c>
      <c r="D157" s="23">
        <f>NPV(pr_target,$E$154:N$154)+(1-pr_eq)*pr_rb0-pr_costs+pr_holdco</f>
        <v/>
      </c>
    </row>
    <row r="158">
      <c r="B158" s="2" t="inlineStr">
        <is>
          <t>Exit equity</t>
        </is>
      </c>
      <c r="C158" s="5" t="inlineStr">
        <is>
          <t>$ million</t>
        </is>
      </c>
      <c r="D158" s="23">
        <f>pr_exit_mult*N142-N144-pr_holdco</f>
        <v/>
      </c>
    </row>
    <row r="159">
      <c r="B159" s="2" t="inlineStr">
        <is>
          <t>Rate base at exit</t>
        </is>
      </c>
      <c r="C159" s="5" t="inlineStr">
        <is>
          <t>$ million</t>
        </is>
      </c>
      <c r="D159" s="23">
        <f>N142</f>
        <v/>
      </c>
    </row>
    <row r="162">
      <c r="B162" s="6" t="inlineStr">
        <is>
          <t>S3: No DSIC (Pell River, after tax)</t>
        </is>
      </c>
      <c r="C162" s="7" t="n"/>
      <c r="D162" s="7" t="n"/>
      <c r="E162" s="7" t="n"/>
      <c r="F162" s="7" t="n"/>
      <c r="G162" s="7" t="n"/>
      <c r="H162" s="7" t="n"/>
      <c r="I162" s="7" t="n"/>
      <c r="J162" s="7" t="n"/>
      <c r="K162" s="7" t="n"/>
      <c r="L162" s="7" t="n"/>
      <c r="M162" s="7" t="n"/>
      <c r="N162" s="7" t="n"/>
    </row>
    <row r="163">
      <c r="B163" s="2" t="inlineStr">
        <is>
          <t>Year (31 December)</t>
        </is>
      </c>
      <c r="D163" s="26">
        <f>pr_close</f>
        <v/>
      </c>
      <c r="E163" s="26">
        <f>D163+1</f>
        <v/>
      </c>
      <c r="F163" s="26">
        <f>E163+1</f>
        <v/>
      </c>
      <c r="G163" s="26">
        <f>F163+1</f>
        <v/>
      </c>
      <c r="H163" s="26">
        <f>G163+1</f>
        <v/>
      </c>
      <c r="I163" s="26">
        <f>H163+1</f>
        <v/>
      </c>
      <c r="J163" s="26">
        <f>I163+1</f>
        <v/>
      </c>
      <c r="K163" s="26">
        <f>J163+1</f>
        <v/>
      </c>
      <c r="L163" s="26">
        <f>K163+1</f>
        <v/>
      </c>
      <c r="M163" s="26">
        <f>L163+1</f>
        <v/>
      </c>
      <c r="N163" s="26">
        <f>M163+1</f>
        <v/>
      </c>
    </row>
    <row r="164">
      <c r="B164" s="2" t="inlineStr">
        <is>
          <t>Years after the first year of the hold (2028 = 0)</t>
        </is>
      </c>
      <c r="D164" s="26">
        <f>D163-(pr_close+1)</f>
        <v/>
      </c>
      <c r="E164" s="26">
        <f>E163-(pr_close+1)</f>
        <v/>
      </c>
      <c r="F164" s="26">
        <f>F163-(pr_close+1)</f>
        <v/>
      </c>
      <c r="G164" s="26">
        <f>G163-(pr_close+1)</f>
        <v/>
      </c>
      <c r="H164" s="26">
        <f>H163-(pr_close+1)</f>
        <v/>
      </c>
      <c r="I164" s="26">
        <f>I163-(pr_close+1)</f>
        <v/>
      </c>
      <c r="J164" s="26">
        <f>J163-(pr_close+1)</f>
        <v/>
      </c>
      <c r="K164" s="26">
        <f>K163-(pr_close+1)</f>
        <v/>
      </c>
      <c r="L164" s="26">
        <f>L163-(pr_close+1)</f>
        <v/>
      </c>
      <c r="M164" s="26">
        <f>M163-(pr_close+1)</f>
        <v/>
      </c>
      <c r="N164" s="26">
        <f>N163-(pr_close+1)</f>
        <v/>
      </c>
    </row>
    <row r="165">
      <c r="B165" s="2" t="inlineStr">
        <is>
          <t>Connections (water and wastewater), year end</t>
        </is>
      </c>
      <c r="C165" s="5" t="inlineStr">
        <is>
          <t>number</t>
        </is>
      </c>
      <c r="D165" s="19">
        <f>pr_water_conn+pr_ww_conn</f>
        <v/>
      </c>
      <c r="E165" s="19">
        <f>D165*(1+pr_growth)+IF(AND(pr_fen_on=1,E163=pr_fen_year+1),pr_fen_conn,0)</f>
        <v/>
      </c>
      <c r="F165" s="19">
        <f>E165*(1+pr_growth)+IF(AND(pr_fen_on=1,F163=pr_fen_year+1),pr_fen_conn,0)</f>
        <v/>
      </c>
      <c r="G165" s="19">
        <f>F165*(1+pr_growth)+IF(AND(pr_fen_on=1,G163=pr_fen_year+1),pr_fen_conn,0)</f>
        <v/>
      </c>
      <c r="H165" s="19">
        <f>G165*(1+pr_growth)+IF(AND(pr_fen_on=1,H163=pr_fen_year+1),pr_fen_conn,0)</f>
        <v/>
      </c>
      <c r="I165" s="19">
        <f>H165*(1+pr_growth)+IF(AND(pr_fen_on=1,I163=pr_fen_year+1),pr_fen_conn,0)</f>
        <v/>
      </c>
      <c r="J165" s="19">
        <f>I165*(1+pr_growth)+IF(AND(pr_fen_on=1,J163=pr_fen_year+1),pr_fen_conn,0)</f>
        <v/>
      </c>
      <c r="K165" s="19">
        <f>J165*(1+pr_growth)+IF(AND(pr_fen_on=1,K163=pr_fen_year+1),pr_fen_conn,0)</f>
        <v/>
      </c>
      <c r="L165" s="19">
        <f>K165*(1+pr_growth)+IF(AND(pr_fen_on=1,L163=pr_fen_year+1),pr_fen_conn,0)</f>
        <v/>
      </c>
      <c r="M165" s="19">
        <f>L165*(1+pr_growth)+IF(AND(pr_fen_on=1,M163=pr_fen_year+1),pr_fen_conn,0)</f>
        <v/>
      </c>
      <c r="N165" s="19">
        <f>M165*(1+pr_growth)+IF(AND(pr_fen_on=1,N163=pr_fen_year+1),pr_fen_conn,0)</f>
        <v/>
      </c>
    </row>
    <row r="167">
      <c r="B167" s="6" t="inlineStr">
        <is>
          <t>Capital spending ($ million)</t>
        </is>
      </c>
      <c r="C167" s="7" t="n"/>
      <c r="D167" s="7" t="n"/>
      <c r="E167" s="7" t="n"/>
      <c r="F167" s="7" t="n"/>
      <c r="G167" s="7" t="n"/>
      <c r="H167" s="7" t="n"/>
      <c r="I167" s="7" t="n"/>
      <c r="J167" s="7" t="n"/>
      <c r="K167" s="7" t="n"/>
      <c r="L167" s="7" t="n"/>
      <c r="M167" s="7" t="n"/>
      <c r="N167" s="7" t="n"/>
    </row>
    <row r="168">
      <c r="B168" s="2" t="inlineStr">
        <is>
          <t>Cost escalation index (2028 = 1)</t>
        </is>
      </c>
      <c r="E168" s="28">
        <f>(1+pr_capex_esc)^(E163-(pr_close+1))</f>
        <v/>
      </c>
      <c r="F168" s="28">
        <f>(1+pr_capex_esc)^(F163-(pr_close+1))</f>
        <v/>
      </c>
      <c r="G168" s="28">
        <f>(1+pr_capex_esc)^(G163-(pr_close+1))</f>
        <v/>
      </c>
      <c r="H168" s="28">
        <f>(1+pr_capex_esc)^(H163-(pr_close+1))</f>
        <v/>
      </c>
      <c r="I168" s="28">
        <f>(1+pr_capex_esc)^(I163-(pr_close+1))</f>
        <v/>
      </c>
      <c r="J168" s="28">
        <f>(1+pr_capex_esc)^(J163-(pr_close+1))</f>
        <v/>
      </c>
      <c r="K168" s="28">
        <f>(1+pr_capex_esc)^(K163-(pr_close+1))</f>
        <v/>
      </c>
      <c r="L168" s="28">
        <f>(1+pr_capex_esc)^(L163-(pr_close+1))</f>
        <v/>
      </c>
      <c r="M168" s="28">
        <f>(1+pr_capex_esc)^(M163-(pr_close+1))</f>
        <v/>
      </c>
      <c r="N168" s="28">
        <f>(1+pr_capex_esc)^(N163-(pr_close+1))</f>
        <v/>
      </c>
    </row>
    <row r="169">
      <c r="B169" s="2" t="inlineStr">
        <is>
          <t>Main renewal</t>
        </is>
      </c>
      <c r="C169" s="5" t="inlineStr">
        <is>
          <t>$ million</t>
        </is>
      </c>
      <c r="E169" s="23">
        <f>pr_renewal*pr_mains_miles*pr_cost_mile*E168*(1+pr_capex_shift)</f>
        <v/>
      </c>
      <c r="F169" s="23">
        <f>pr_renewal*pr_mains_miles*pr_cost_mile*F168*(1+pr_capex_shift)</f>
        <v/>
      </c>
      <c r="G169" s="23">
        <f>pr_renewal*pr_mains_miles*pr_cost_mile*G168*(1+pr_capex_shift)</f>
        <v/>
      </c>
      <c r="H169" s="23">
        <f>pr_renewal*pr_mains_miles*pr_cost_mile*H168*(1+pr_capex_shift)</f>
        <v/>
      </c>
      <c r="I169" s="23">
        <f>pr_renewal*pr_mains_miles*pr_cost_mile*I168*(1+pr_capex_shift)</f>
        <v/>
      </c>
      <c r="J169" s="23">
        <f>pr_renewal*pr_mains_miles*pr_cost_mile*J168*(1+pr_capex_shift)</f>
        <v/>
      </c>
      <c r="K169" s="23">
        <f>pr_renewal*pr_mains_miles*pr_cost_mile*K168*(1+pr_capex_shift)</f>
        <v/>
      </c>
      <c r="L169" s="23">
        <f>pr_renewal*pr_mains_miles*pr_cost_mile*L168*(1+pr_capex_shift)</f>
        <v/>
      </c>
      <c r="M169" s="23">
        <f>pr_renewal*pr_mains_miles*pr_cost_mile*M168*(1+pr_capex_shift)</f>
        <v/>
      </c>
      <c r="N169" s="23">
        <f>pr_renewal*pr_mains_miles*pr_cost_mile*N168*(1+pr_capex_shift)</f>
        <v/>
      </c>
    </row>
    <row r="170">
      <c r="B170" s="2" t="inlineStr">
        <is>
          <t>Treatment, storage, meters, IT and growth</t>
        </is>
      </c>
      <c r="C170" s="5" t="inlineStr">
        <is>
          <t>$ million</t>
        </is>
      </c>
      <c r="E170" s="23">
        <f>pr_other_capex*E168*(1+pr_capex_shift)</f>
        <v/>
      </c>
      <c r="F170" s="23">
        <f>pr_other_capex*F168*(1+pr_capex_shift)</f>
        <v/>
      </c>
      <c r="G170" s="23">
        <f>pr_other_capex*G168*(1+pr_capex_shift)</f>
        <v/>
      </c>
      <c r="H170" s="23">
        <f>pr_other_capex*H168*(1+pr_capex_shift)</f>
        <v/>
      </c>
      <c r="I170" s="23">
        <f>pr_other_capex*I168*(1+pr_capex_shift)</f>
        <v/>
      </c>
      <c r="J170" s="23">
        <f>pr_other_capex*J168*(1+pr_capex_shift)</f>
        <v/>
      </c>
      <c r="K170" s="23">
        <f>pr_other_capex*K168*(1+pr_capex_shift)</f>
        <v/>
      </c>
      <c r="L170" s="23">
        <f>pr_other_capex*L168*(1+pr_capex_shift)</f>
        <v/>
      </c>
      <c r="M170" s="23">
        <f>pr_other_capex*M168*(1+pr_capex_shift)</f>
        <v/>
      </c>
      <c r="N170" s="23">
        <f>pr_other_capex*N168*(1+pr_capex_shift)</f>
        <v/>
      </c>
    </row>
    <row r="171">
      <c r="B171" s="2" t="inlineStr">
        <is>
          <t>PFAS treatment</t>
        </is>
      </c>
      <c r="C171" s="5" t="inlineStr">
        <is>
          <t>$ million</t>
        </is>
      </c>
      <c r="E171" s="23">
        <f>(IF(E163-pr_pfas_delay=pr_pfas_y1,pr_pfas_1,0)+IF(E163-pr_pfas_delay=pr_pfas_y1+1,pr_pfas_2,0)+IF(E163-pr_pfas_delay=pr_pfas_y1+2,pr_pfas_3,0))*(1+pr_capex_esc)^pr_pfas_delay*(1+pr_capex_shift)</f>
        <v/>
      </c>
      <c r="F171" s="23">
        <f>(IF(F163-pr_pfas_delay=pr_pfas_y1,pr_pfas_1,0)+IF(F163-pr_pfas_delay=pr_pfas_y1+1,pr_pfas_2,0)+IF(F163-pr_pfas_delay=pr_pfas_y1+2,pr_pfas_3,0))*(1+pr_capex_esc)^pr_pfas_delay*(1+pr_capex_shift)</f>
        <v/>
      </c>
      <c r="G171" s="23">
        <f>(IF(G163-pr_pfas_delay=pr_pfas_y1,pr_pfas_1,0)+IF(G163-pr_pfas_delay=pr_pfas_y1+1,pr_pfas_2,0)+IF(G163-pr_pfas_delay=pr_pfas_y1+2,pr_pfas_3,0))*(1+pr_capex_esc)^pr_pfas_delay*(1+pr_capex_shift)</f>
        <v/>
      </c>
      <c r="H171" s="23">
        <f>(IF(H163-pr_pfas_delay=pr_pfas_y1,pr_pfas_1,0)+IF(H163-pr_pfas_delay=pr_pfas_y1+1,pr_pfas_2,0)+IF(H163-pr_pfas_delay=pr_pfas_y1+2,pr_pfas_3,0))*(1+pr_capex_esc)^pr_pfas_delay*(1+pr_capex_shift)</f>
        <v/>
      </c>
      <c r="I171" s="23">
        <f>(IF(I163-pr_pfas_delay=pr_pfas_y1,pr_pfas_1,0)+IF(I163-pr_pfas_delay=pr_pfas_y1+1,pr_pfas_2,0)+IF(I163-pr_pfas_delay=pr_pfas_y1+2,pr_pfas_3,0))*(1+pr_capex_esc)^pr_pfas_delay*(1+pr_capex_shift)</f>
        <v/>
      </c>
      <c r="J171" s="23">
        <f>(IF(J163-pr_pfas_delay=pr_pfas_y1,pr_pfas_1,0)+IF(J163-pr_pfas_delay=pr_pfas_y1+1,pr_pfas_2,0)+IF(J163-pr_pfas_delay=pr_pfas_y1+2,pr_pfas_3,0))*(1+pr_capex_esc)^pr_pfas_delay*(1+pr_capex_shift)</f>
        <v/>
      </c>
      <c r="K171" s="23">
        <f>(IF(K163-pr_pfas_delay=pr_pfas_y1,pr_pfas_1,0)+IF(K163-pr_pfas_delay=pr_pfas_y1+1,pr_pfas_2,0)+IF(K163-pr_pfas_delay=pr_pfas_y1+2,pr_pfas_3,0))*(1+pr_capex_esc)^pr_pfas_delay*(1+pr_capex_shift)</f>
        <v/>
      </c>
      <c r="L171" s="23">
        <f>(IF(L163-pr_pfas_delay=pr_pfas_y1,pr_pfas_1,0)+IF(L163-pr_pfas_delay=pr_pfas_y1+1,pr_pfas_2,0)+IF(L163-pr_pfas_delay=pr_pfas_y1+2,pr_pfas_3,0))*(1+pr_capex_esc)^pr_pfas_delay*(1+pr_capex_shift)</f>
        <v/>
      </c>
      <c r="M171" s="23">
        <f>(IF(M163-pr_pfas_delay=pr_pfas_y1,pr_pfas_1,0)+IF(M163-pr_pfas_delay=pr_pfas_y1+1,pr_pfas_2,0)+IF(M163-pr_pfas_delay=pr_pfas_y1+2,pr_pfas_3,0))*(1+pr_capex_esc)^pr_pfas_delay*(1+pr_capex_shift)</f>
        <v/>
      </c>
      <c r="N171" s="23">
        <f>(IF(N163-pr_pfas_delay=pr_pfas_y1,pr_pfas_1,0)+IF(N163-pr_pfas_delay=pr_pfas_y1+1,pr_pfas_2,0)+IF(N163-pr_pfas_delay=pr_pfas_y1+2,pr_pfas_3,0))*(1+pr_capex_esc)^pr_pfas_delay*(1+pr_capex_shift)</f>
        <v/>
      </c>
    </row>
    <row r="172">
      <c r="B172" s="2" t="inlineStr">
        <is>
          <t>Lead service lines</t>
        </is>
      </c>
      <c r="C172" s="5" t="inlineStr">
        <is>
          <t>$ million</t>
        </is>
      </c>
      <c r="E172" s="23">
        <f>IF(AND(E163&gt;=(pr_close+1),E163&lt;(pr_close+1)+pr_lead_years),pr_lead_lines/pr_lead_years*pr_lead_cost/1000000*E168,0)*(1+pr_capex_shift)</f>
        <v/>
      </c>
      <c r="F172" s="23">
        <f>IF(AND(F163&gt;=(pr_close+1),F163&lt;(pr_close+1)+pr_lead_years),pr_lead_lines/pr_lead_years*pr_lead_cost/1000000*F168,0)*(1+pr_capex_shift)</f>
        <v/>
      </c>
      <c r="G172" s="23">
        <f>IF(AND(G163&gt;=(pr_close+1),G163&lt;(pr_close+1)+pr_lead_years),pr_lead_lines/pr_lead_years*pr_lead_cost/1000000*G168,0)*(1+pr_capex_shift)</f>
        <v/>
      </c>
      <c r="H172" s="23">
        <f>IF(AND(H163&gt;=(pr_close+1),H163&lt;(pr_close+1)+pr_lead_years),pr_lead_lines/pr_lead_years*pr_lead_cost/1000000*H168,0)*(1+pr_capex_shift)</f>
        <v/>
      </c>
      <c r="I172" s="23">
        <f>IF(AND(I163&gt;=(pr_close+1),I163&lt;(pr_close+1)+pr_lead_years),pr_lead_lines/pr_lead_years*pr_lead_cost/1000000*I168,0)*(1+pr_capex_shift)</f>
        <v/>
      </c>
      <c r="J172" s="23">
        <f>IF(AND(J163&gt;=(pr_close+1),J163&lt;(pr_close+1)+pr_lead_years),pr_lead_lines/pr_lead_years*pr_lead_cost/1000000*J168,0)*(1+pr_capex_shift)</f>
        <v/>
      </c>
      <c r="K172" s="23">
        <f>IF(AND(K163&gt;=(pr_close+1),K163&lt;(pr_close+1)+pr_lead_years),pr_lead_lines/pr_lead_years*pr_lead_cost/1000000*K168,0)*(1+pr_capex_shift)</f>
        <v/>
      </c>
      <c r="L172" s="23">
        <f>IF(AND(L163&gt;=(pr_close+1),L163&lt;(pr_close+1)+pr_lead_years),pr_lead_lines/pr_lead_years*pr_lead_cost/1000000*L168,0)*(1+pr_capex_shift)</f>
        <v/>
      </c>
      <c r="M172" s="23">
        <f>IF(AND(M163&gt;=(pr_close+1),M163&lt;(pr_close+1)+pr_lead_years),pr_lead_lines/pr_lead_years*pr_lead_cost/1000000*M168,0)*(1+pr_capex_shift)</f>
        <v/>
      </c>
      <c r="N172" s="23">
        <f>IF(AND(N163&gt;=(pr_close+1),N163&lt;(pr_close+1)+pr_lead_years),pr_lead_lines/pr_lead_years*pr_lead_cost/1000000*N168,0)*(1+pr_capex_shift)</f>
        <v/>
      </c>
    </row>
    <row r="173">
      <c r="B173" s="2" t="inlineStr">
        <is>
          <t>Fennick system</t>
        </is>
      </c>
      <c r="C173" s="5" t="inlineStr">
        <is>
          <t>$ million</t>
        </is>
      </c>
      <c r="E173" s="23">
        <f>IF(AND(pr_fen_on=1,E163&gt;pr_fen_year),pr_fen_capex*(1+pr_capex_esc)^(E163-pr_fen_year-1),0)*(1+pr_capex_shift)</f>
        <v/>
      </c>
      <c r="F173" s="23">
        <f>IF(AND(pr_fen_on=1,F163&gt;pr_fen_year),pr_fen_capex*(1+pr_capex_esc)^(F163-pr_fen_year-1),0)*(1+pr_capex_shift)</f>
        <v/>
      </c>
      <c r="G173" s="23">
        <f>IF(AND(pr_fen_on=1,G163&gt;pr_fen_year),pr_fen_capex*(1+pr_capex_esc)^(G163-pr_fen_year-1),0)*(1+pr_capex_shift)</f>
        <v/>
      </c>
      <c r="H173" s="23">
        <f>IF(AND(pr_fen_on=1,H163&gt;pr_fen_year),pr_fen_capex*(1+pr_capex_esc)^(H163-pr_fen_year-1),0)*(1+pr_capex_shift)</f>
        <v/>
      </c>
      <c r="I173" s="23">
        <f>IF(AND(pr_fen_on=1,I163&gt;pr_fen_year),pr_fen_capex*(1+pr_capex_esc)^(I163-pr_fen_year-1),0)*(1+pr_capex_shift)</f>
        <v/>
      </c>
      <c r="J173" s="23">
        <f>IF(AND(pr_fen_on=1,J163&gt;pr_fen_year),pr_fen_capex*(1+pr_capex_esc)^(J163-pr_fen_year-1),0)*(1+pr_capex_shift)</f>
        <v/>
      </c>
      <c r="K173" s="23">
        <f>IF(AND(pr_fen_on=1,K163&gt;pr_fen_year),pr_fen_capex*(1+pr_capex_esc)^(K163-pr_fen_year-1),0)*(1+pr_capex_shift)</f>
        <v/>
      </c>
      <c r="L173" s="23">
        <f>IF(AND(pr_fen_on=1,L163&gt;pr_fen_year),pr_fen_capex*(1+pr_capex_esc)^(L163-pr_fen_year-1),0)*(1+pr_capex_shift)</f>
        <v/>
      </c>
      <c r="M173" s="23">
        <f>IF(AND(pr_fen_on=1,M163&gt;pr_fen_year),pr_fen_capex*(1+pr_capex_esc)^(M163-pr_fen_year-1),0)*(1+pr_capex_shift)</f>
        <v/>
      </c>
      <c r="N173" s="23">
        <f>IF(AND(pr_fen_on=1,N163&gt;pr_fen_year),pr_fen_capex*(1+pr_capex_esc)^(N163-pr_fen_year-1),0)*(1+pr_capex_shift)</f>
        <v/>
      </c>
    </row>
    <row r="174">
      <c r="B174" s="2" t="inlineStr">
        <is>
          <t>Total capital spending</t>
        </is>
      </c>
      <c r="C174" s="5" t="inlineStr">
        <is>
          <t>$ million</t>
        </is>
      </c>
      <c r="E174" s="23">
        <f>SUM(E169:E173)</f>
        <v/>
      </c>
      <c r="F174" s="23">
        <f>SUM(F169:F173)</f>
        <v/>
      </c>
      <c r="G174" s="23">
        <f>SUM(G169:G173)</f>
        <v/>
      </c>
      <c r="H174" s="23">
        <f>SUM(H169:H173)</f>
        <v/>
      </c>
      <c r="I174" s="23">
        <f>SUM(I169:I173)</f>
        <v/>
      </c>
      <c r="J174" s="23">
        <f>SUM(J169:J173)</f>
        <v/>
      </c>
      <c r="K174" s="23">
        <f>SUM(K169:K173)</f>
        <v/>
      </c>
      <c r="L174" s="23">
        <f>SUM(L169:L173)</f>
        <v/>
      </c>
      <c r="M174" s="23">
        <f>SUM(M169:M173)</f>
        <v/>
      </c>
      <c r="N174" s="23">
        <f>SUM(N169:N173)</f>
        <v/>
      </c>
    </row>
    <row r="175">
      <c r="B175" s="2" t="inlineStr">
        <is>
          <t>DSIC-eligible (mains and lead lines)</t>
        </is>
      </c>
      <c r="C175" s="5" t="inlineStr">
        <is>
          <t>$ million</t>
        </is>
      </c>
      <c r="E175" s="23">
        <f>E169+E172</f>
        <v/>
      </c>
      <c r="F175" s="23">
        <f>F169+F172</f>
        <v/>
      </c>
      <c r="G175" s="23">
        <f>G169+G172</f>
        <v/>
      </c>
      <c r="H175" s="23">
        <f>H169+H172</f>
        <v/>
      </c>
      <c r="I175" s="23">
        <f>I169+I172</f>
        <v/>
      </c>
      <c r="J175" s="23">
        <f>J169+J172</f>
        <v/>
      </c>
      <c r="K175" s="23">
        <f>K169+K172</f>
        <v/>
      </c>
      <c r="L175" s="23">
        <f>L169+L172</f>
        <v/>
      </c>
      <c r="M175" s="23">
        <f>M169+M172</f>
        <v/>
      </c>
      <c r="N175" s="23">
        <f>N169+N172</f>
        <v/>
      </c>
    </row>
    <row r="177">
      <c r="B177" s="6" t="inlineStr">
        <is>
          <t>Rate case (rates effective 1 January of the year; test-year values looked up to the left)</t>
        </is>
      </c>
      <c r="C177" s="7" t="n"/>
      <c r="D177" s="7" t="n"/>
      <c r="E177" s="7" t="n"/>
      <c r="F177" s="7" t="n"/>
      <c r="G177" s="7" t="n"/>
      <c r="H177" s="7" t="n"/>
      <c r="I177" s="7" t="n"/>
      <c r="J177" s="7" t="n"/>
      <c r="K177" s="7" t="n"/>
      <c r="L177" s="7" t="n"/>
      <c r="M177" s="7" t="n"/>
      <c r="N177" s="7" t="n"/>
    </row>
    <row r="178">
      <c r="B178" s="2" t="inlineStr">
        <is>
          <t>Rate case this year (1 = yes)</t>
        </is>
      </c>
      <c r="E178" s="26">
        <f>IF(AND(E163&gt;=pr_rc_first,MOD(E163-pr_rc_first,pr_rc_cycle)=0),1,0)</f>
        <v/>
      </c>
      <c r="F178" s="26">
        <f>IF(AND(F163&gt;=pr_rc_first,MOD(F163-pr_rc_first,pr_rc_cycle)=0),1,0)</f>
        <v/>
      </c>
      <c r="G178" s="26">
        <f>IF(AND(G163&gt;=pr_rc_first,MOD(G163-pr_rc_first,pr_rc_cycle)=0),1,0)</f>
        <v/>
      </c>
      <c r="H178" s="26">
        <f>IF(AND(H163&gt;=pr_rc_first,MOD(H163-pr_rc_first,pr_rc_cycle)=0),1,0)</f>
        <v/>
      </c>
      <c r="I178" s="26">
        <f>IF(AND(I163&gt;=pr_rc_first,MOD(I163-pr_rc_first,pr_rc_cycle)=0),1,0)</f>
        <v/>
      </c>
      <c r="J178" s="26">
        <f>IF(AND(J163&gt;=pr_rc_first,MOD(J163-pr_rc_first,pr_rc_cycle)=0),1,0)</f>
        <v/>
      </c>
      <c r="K178" s="26">
        <f>IF(AND(K163&gt;=pr_rc_first,MOD(K163-pr_rc_first,pr_rc_cycle)=0),1,0)</f>
        <v/>
      </c>
      <c r="L178" s="26">
        <f>IF(AND(L163&gt;=pr_rc_first,MOD(L163-pr_rc_first,pr_rc_cycle)=0),1,0)</f>
        <v/>
      </c>
      <c r="M178" s="26">
        <f>IF(AND(M163&gt;=pr_rc_first,MOD(M163-pr_rc_first,pr_rc_cycle)=0),1,0)</f>
        <v/>
      </c>
      <c r="N178" s="26">
        <f>IF(AND(N163&gt;=pr_rc_first,MOD(N163-pr_rc_first,pr_rc_cycle)=0),1,0)</f>
        <v/>
      </c>
    </row>
    <row r="179">
      <c r="B179" s="2" t="inlineStr">
        <is>
          <t>Test year</t>
        </is>
      </c>
      <c r="E179" s="26">
        <f>E163-pr_test_lag</f>
        <v/>
      </c>
      <c r="F179" s="26">
        <f>F163-pr_test_lag</f>
        <v/>
      </c>
      <c r="G179" s="26">
        <f>G163-pr_test_lag</f>
        <v/>
      </c>
      <c r="H179" s="26">
        <f>H163-pr_test_lag</f>
        <v/>
      </c>
      <c r="I179" s="26">
        <f>I163-pr_test_lag</f>
        <v/>
      </c>
      <c r="J179" s="26">
        <f>J163-pr_test_lag</f>
        <v/>
      </c>
      <c r="K179" s="26">
        <f>K163-pr_test_lag</f>
        <v/>
      </c>
      <c r="L179" s="26">
        <f>L163-pr_test_lag</f>
        <v/>
      </c>
      <c r="M179" s="26">
        <f>M163-pr_test_lag</f>
        <v/>
      </c>
      <c r="N179" s="26">
        <f>N163-pr_test_lag</f>
        <v/>
      </c>
    </row>
    <row r="180">
      <c r="B180" s="2" t="inlineStr">
        <is>
          <t>Test year of the latest rate case</t>
        </is>
      </c>
      <c r="D180" s="26">
        <f>pr_close</f>
        <v/>
      </c>
      <c r="E180" s="26">
        <f>IF(E178=1,E179,D180)</f>
        <v/>
      </c>
      <c r="F180" s="26">
        <f>IF(F178=1,F179,E180)</f>
        <v/>
      </c>
      <c r="G180" s="26">
        <f>IF(G178=1,G179,F180)</f>
        <v/>
      </c>
      <c r="H180" s="26">
        <f>IF(H178=1,H179,G180)</f>
        <v/>
      </c>
      <c r="I180" s="26">
        <f>IF(I178=1,I179,H180)</f>
        <v/>
      </c>
      <c r="J180" s="26">
        <f>IF(J178=1,J179,I180)</f>
        <v/>
      </c>
      <c r="K180" s="26">
        <f>IF(K178=1,K179,J180)</f>
        <v/>
      </c>
      <c r="L180" s="26">
        <f>IF(L178=1,L179,K180)</f>
        <v/>
      </c>
      <c r="M180" s="26">
        <f>IF(M178=1,M179,L180)</f>
        <v/>
      </c>
      <c r="N180" s="26">
        <f>IF(N178=1,N179,M180)</f>
        <v/>
      </c>
    </row>
    <row r="181">
      <c r="B181" s="2" t="inlineStr">
        <is>
          <t>Rate base at the end of the test year</t>
        </is>
      </c>
      <c r="C181" s="5" t="inlineStr">
        <is>
          <t>$ million</t>
        </is>
      </c>
      <c r="E181" s="23">
        <f>INDEX($D$220:D$220,MATCH(MAX(E179,pr_close),$D$163:D$163,0))</f>
        <v/>
      </c>
      <c r="F181" s="23">
        <f>INDEX($D$220:E$220,MATCH(MAX(F179,pr_close),$D$163:E$163,0))</f>
        <v/>
      </c>
      <c r="G181" s="23">
        <f>INDEX($D$220:F$220,MATCH(MAX(G179,pr_close),$D$163:F$163,0))</f>
        <v/>
      </c>
      <c r="H181" s="23">
        <f>INDEX($D$220:G$220,MATCH(MAX(H179,pr_close),$D$163:G$163,0))</f>
        <v/>
      </c>
      <c r="I181" s="23">
        <f>INDEX($D$220:H$220,MATCH(MAX(I179,pr_close),$D$163:H$163,0))</f>
        <v/>
      </c>
      <c r="J181" s="23">
        <f>INDEX($D$220:I$220,MATCH(MAX(J179,pr_close),$D$163:I$163,0))</f>
        <v/>
      </c>
      <c r="K181" s="23">
        <f>INDEX($D$220:J$220,MATCH(MAX(K179,pr_close),$D$163:J$163,0))</f>
        <v/>
      </c>
      <c r="L181" s="23">
        <f>INDEX($D$220:K$220,MATCH(MAX(L179,pr_close),$D$163:K$163,0))</f>
        <v/>
      </c>
      <c r="M181" s="23">
        <f>INDEX($D$220:L$220,MATCH(MAX(M179,pr_close),$D$163:L$163,0))</f>
        <v/>
      </c>
      <c r="N181" s="23">
        <f>INDEX($D$220:M$220,MATCH(MAX(N179,pr_close),$D$163:M$163,0))</f>
        <v/>
      </c>
    </row>
    <row r="182">
      <c r="B182" s="2" t="inlineStr">
        <is>
          <t>Embedded cost of debt in the test year</t>
        </is>
      </c>
      <c r="C182" s="5" t="inlineStr">
        <is>
          <t>rate</t>
        </is>
      </c>
      <c r="E182" s="27">
        <f>INDEX($D$224:D$224,MATCH(MAX(E179,pr_close),$D$163:D$163,0))</f>
        <v/>
      </c>
      <c r="F182" s="27">
        <f>INDEX($D$224:E$224,MATCH(MAX(F179,pr_close),$D$163:E$163,0))</f>
        <v/>
      </c>
      <c r="G182" s="27">
        <f>INDEX($D$224:F$224,MATCH(MAX(G179,pr_close),$D$163:F$163,0))</f>
        <v/>
      </c>
      <c r="H182" s="27">
        <f>INDEX($D$224:G$224,MATCH(MAX(H179,pr_close),$D$163:G$163,0))</f>
        <v/>
      </c>
      <c r="I182" s="27">
        <f>INDEX($D$224:H$224,MATCH(MAX(I179,pr_close),$D$163:H$163,0))</f>
        <v/>
      </c>
      <c r="J182" s="27">
        <f>INDEX($D$224:I$224,MATCH(MAX(J179,pr_close),$D$163:I$163,0))</f>
        <v/>
      </c>
      <c r="K182" s="27">
        <f>INDEX($D$224:J$224,MATCH(MAX(K179,pr_close),$D$163:J$163,0))</f>
        <v/>
      </c>
      <c r="L182" s="27">
        <f>INDEX($D$224:K$224,MATCH(MAX(L179,pr_close),$D$163:K$163,0))</f>
        <v/>
      </c>
      <c r="M182" s="27">
        <f>INDEX($D$224:L$224,MATCH(MAX(M179,pr_close),$D$163:L$163,0))</f>
        <v/>
      </c>
      <c r="N182" s="27">
        <f>INDEX($D$224:M$224,MATCH(MAX(N179,pr_close),$D$163:M$163,0))</f>
        <v/>
      </c>
    </row>
    <row r="183">
      <c r="B183" s="2" t="inlineStr">
        <is>
          <t>O&amp;M in the test year</t>
        </is>
      </c>
      <c r="C183" s="5" t="inlineStr">
        <is>
          <t>$ million</t>
        </is>
      </c>
      <c r="E183" s="23">
        <f>INDEX($D$205:D$205,MATCH(MAX(E179,pr_close),$D$163:D$163,0))</f>
        <v/>
      </c>
      <c r="F183" s="23">
        <f>INDEX($D$205:E$205,MATCH(MAX(F179,pr_close),$D$163:E$163,0))</f>
        <v/>
      </c>
      <c r="G183" s="23">
        <f>INDEX($D$205:F$205,MATCH(MAX(G179,pr_close),$D$163:F$163,0))</f>
        <v/>
      </c>
      <c r="H183" s="23">
        <f>INDEX($D$205:G$205,MATCH(MAX(H179,pr_close),$D$163:G$163,0))</f>
        <v/>
      </c>
      <c r="I183" s="23">
        <f>INDEX($D$205:H$205,MATCH(MAX(I179,pr_close),$D$163:H$163,0))</f>
        <v/>
      </c>
      <c r="J183" s="23">
        <f>INDEX($D$205:I$205,MATCH(MAX(J179,pr_close),$D$163:I$163,0))</f>
        <v/>
      </c>
      <c r="K183" s="23">
        <f>INDEX($D$205:J$205,MATCH(MAX(K179,pr_close),$D$163:J$163,0))</f>
        <v/>
      </c>
      <c r="L183" s="23">
        <f>INDEX($D$205:K$205,MATCH(MAX(L179,pr_close),$D$163:K$163,0))</f>
        <v/>
      </c>
      <c r="M183" s="23">
        <f>INDEX($D$205:L$205,MATCH(MAX(M179,pr_close),$D$163:L$163,0))</f>
        <v/>
      </c>
      <c r="N183" s="23">
        <f>INDEX($D$205:M$205,MATCH(MAX(N179,pr_close),$D$163:M$163,0))</f>
        <v/>
      </c>
    </row>
    <row r="184">
      <c r="B184" s="2" t="inlineStr">
        <is>
          <t>Authorized return on rate base</t>
        </is>
      </c>
      <c r="C184" s="5" t="inlineStr">
        <is>
          <t>rate</t>
        </is>
      </c>
      <c r="E184" s="27">
        <f>(pr_eq*pr_roe+(1-pr_eq)*E182)</f>
        <v/>
      </c>
      <c r="F184" s="27">
        <f>(pr_eq*pr_roe+(1-pr_eq)*F182)</f>
        <v/>
      </c>
      <c r="G184" s="27">
        <f>(pr_eq*pr_roe+(1-pr_eq)*G182)</f>
        <v/>
      </c>
      <c r="H184" s="27">
        <f>(pr_eq*pr_roe+(1-pr_eq)*H182)</f>
        <v/>
      </c>
      <c r="I184" s="27">
        <f>(pr_eq*pr_roe+(1-pr_eq)*I182)</f>
        <v/>
      </c>
      <c r="J184" s="27">
        <f>(pr_eq*pr_roe+(1-pr_eq)*J182)</f>
        <v/>
      </c>
      <c r="K184" s="27">
        <f>(pr_eq*pr_roe+(1-pr_eq)*K182)</f>
        <v/>
      </c>
      <c r="L184" s="27">
        <f>(pr_eq*pr_roe+(1-pr_eq)*L182)</f>
        <v/>
      </c>
      <c r="M184" s="27">
        <f>(pr_eq*pr_roe+(1-pr_eq)*M182)</f>
        <v/>
      </c>
      <c r="N184" s="27">
        <f>(pr_eq*pr_roe+(1-pr_eq)*N182)</f>
        <v/>
      </c>
    </row>
    <row r="185">
      <c r="B185" s="2" t="inlineStr">
        <is>
          <t>Return</t>
        </is>
      </c>
      <c r="C185" s="5" t="inlineStr">
        <is>
          <t>$ million</t>
        </is>
      </c>
      <c r="E185" s="23">
        <f>E184*E181</f>
        <v/>
      </c>
      <c r="F185" s="23">
        <f>F184*F181</f>
        <v/>
      </c>
      <c r="G185" s="23">
        <f>G184*G181</f>
        <v/>
      </c>
      <c r="H185" s="23">
        <f>H184*H181</f>
        <v/>
      </c>
      <c r="I185" s="23">
        <f>I184*I181</f>
        <v/>
      </c>
      <c r="J185" s="23">
        <f>J184*J181</f>
        <v/>
      </c>
      <c r="K185" s="23">
        <f>K184*K181</f>
        <v/>
      </c>
      <c r="L185" s="23">
        <f>L184*L181</f>
        <v/>
      </c>
      <c r="M185" s="23">
        <f>M184*M181</f>
        <v/>
      </c>
      <c r="N185" s="23">
        <f>N184*N181</f>
        <v/>
      </c>
    </row>
    <row r="186">
      <c r="B186" s="2" t="inlineStr">
        <is>
          <t>Income tax gross-up</t>
        </is>
      </c>
      <c r="C186" s="5" t="inlineStr">
        <is>
          <t>$ million</t>
        </is>
      </c>
      <c r="E186" s="23">
        <f>(pr_eq*pr_roe*pr_tax/(1-pr_tax))*E181</f>
        <v/>
      </c>
      <c r="F186" s="23">
        <f>(pr_eq*pr_roe*pr_tax/(1-pr_tax))*F181</f>
        <v/>
      </c>
      <c r="G186" s="23">
        <f>(pr_eq*pr_roe*pr_tax/(1-pr_tax))*G181</f>
        <v/>
      </c>
      <c r="H186" s="23">
        <f>(pr_eq*pr_roe*pr_tax/(1-pr_tax))*H181</f>
        <v/>
      </c>
      <c r="I186" s="23">
        <f>(pr_eq*pr_roe*pr_tax/(1-pr_tax))*I181</f>
        <v/>
      </c>
      <c r="J186" s="23">
        <f>(pr_eq*pr_roe*pr_tax/(1-pr_tax))*J181</f>
        <v/>
      </c>
      <c r="K186" s="23">
        <f>(pr_eq*pr_roe*pr_tax/(1-pr_tax))*K181</f>
        <v/>
      </c>
      <c r="L186" s="23">
        <f>(pr_eq*pr_roe*pr_tax/(1-pr_tax))*L181</f>
        <v/>
      </c>
      <c r="M186" s="23">
        <f>(pr_eq*pr_roe*pr_tax/(1-pr_tax))*M181</f>
        <v/>
      </c>
      <c r="N186" s="23">
        <f>(pr_eq*pr_roe*pr_tax/(1-pr_tax))*N181</f>
        <v/>
      </c>
    </row>
    <row r="187">
      <c r="B187" s="2" t="inlineStr">
        <is>
          <t>Depreciation</t>
        </is>
      </c>
      <c r="C187" s="5" t="inlineStr">
        <is>
          <t>$ million</t>
        </is>
      </c>
      <c r="E187" s="23">
        <f>pr_dep*E181</f>
        <v/>
      </c>
      <c r="F187" s="23">
        <f>pr_dep*F181</f>
        <v/>
      </c>
      <c r="G187" s="23">
        <f>pr_dep*G181</f>
        <v/>
      </c>
      <c r="H187" s="23">
        <f>pr_dep*H181</f>
        <v/>
      </c>
      <c r="I187" s="23">
        <f>pr_dep*I181</f>
        <v/>
      </c>
      <c r="J187" s="23">
        <f>pr_dep*J181</f>
        <v/>
      </c>
      <c r="K187" s="23">
        <f>pr_dep*K181</f>
        <v/>
      </c>
      <c r="L187" s="23">
        <f>pr_dep*L181</f>
        <v/>
      </c>
      <c r="M187" s="23">
        <f>pr_dep*M181</f>
        <v/>
      </c>
      <c r="N187" s="23">
        <f>pr_dep*N181</f>
        <v/>
      </c>
    </row>
    <row r="188">
      <c r="B188" s="2" t="inlineStr">
        <is>
          <t>Other taxes</t>
        </is>
      </c>
      <c r="C188" s="5" t="inlineStr">
        <is>
          <t>$ million</t>
        </is>
      </c>
      <c r="E188" s="23">
        <f>pr_ptax*E181</f>
        <v/>
      </c>
      <c r="F188" s="23">
        <f>pr_ptax*F181</f>
        <v/>
      </c>
      <c r="G188" s="23">
        <f>pr_ptax*G181</f>
        <v/>
      </c>
      <c r="H188" s="23">
        <f>pr_ptax*H181</f>
        <v/>
      </c>
      <c r="I188" s="23">
        <f>pr_ptax*I181</f>
        <v/>
      </c>
      <c r="J188" s="23">
        <f>pr_ptax*J181</f>
        <v/>
      </c>
      <c r="K188" s="23">
        <f>pr_ptax*K181</f>
        <v/>
      </c>
      <c r="L188" s="23">
        <f>pr_ptax*L181</f>
        <v/>
      </c>
      <c r="M188" s="23">
        <f>pr_ptax*M181</f>
        <v/>
      </c>
      <c r="N188" s="23">
        <f>pr_ptax*N181</f>
        <v/>
      </c>
    </row>
    <row r="189">
      <c r="B189" s="2" t="inlineStr">
        <is>
          <t>O&amp;M (test year, known and measurable)</t>
        </is>
      </c>
      <c r="C189" s="5" t="inlineStr">
        <is>
          <t>$ million</t>
        </is>
      </c>
      <c r="E189" s="23">
        <f>E183*(1+pr_om_infl)*(1+pr_growth)</f>
        <v/>
      </c>
      <c r="F189" s="23">
        <f>F183*(1+pr_om_infl)*(1+pr_growth)</f>
        <v/>
      </c>
      <c r="G189" s="23">
        <f>G183*(1+pr_om_infl)*(1+pr_growth)</f>
        <v/>
      </c>
      <c r="H189" s="23">
        <f>H183*(1+pr_om_infl)*(1+pr_growth)</f>
        <v/>
      </c>
      <c r="I189" s="23">
        <f>I183*(1+pr_om_infl)*(1+pr_growth)</f>
        <v/>
      </c>
      <c r="J189" s="23">
        <f>J183*(1+pr_om_infl)*(1+pr_growth)</f>
        <v/>
      </c>
      <c r="K189" s="23">
        <f>K183*(1+pr_om_infl)*(1+pr_growth)</f>
        <v/>
      </c>
      <c r="L189" s="23">
        <f>L183*(1+pr_om_infl)*(1+pr_growth)</f>
        <v/>
      </c>
      <c r="M189" s="23">
        <f>M183*(1+pr_om_infl)*(1+pr_growth)</f>
        <v/>
      </c>
      <c r="N189" s="23">
        <f>N183*(1+pr_om_infl)*(1+pr_growth)</f>
        <v/>
      </c>
    </row>
    <row r="190">
      <c r="B190" s="2" t="inlineStr">
        <is>
          <t>Revenue requirement (test-year connections)</t>
        </is>
      </c>
      <c r="C190" s="5" t="inlineStr">
        <is>
          <t>$ million</t>
        </is>
      </c>
      <c r="E190" s="23">
        <f>SUM(E185:E189)</f>
        <v/>
      </c>
      <c r="F190" s="23">
        <f>SUM(F185:F189)</f>
        <v/>
      </c>
      <c r="G190" s="23">
        <f>SUM(G185:G189)</f>
        <v/>
      </c>
      <c r="H190" s="23">
        <f>SUM(H185:H189)</f>
        <v/>
      </c>
      <c r="I190" s="23">
        <f>SUM(I185:I189)</f>
        <v/>
      </c>
      <c r="J190" s="23">
        <f>SUM(J185:J189)</f>
        <v/>
      </c>
      <c r="K190" s="23">
        <f>SUM(K185:K189)</f>
        <v/>
      </c>
      <c r="L190" s="23">
        <f>SUM(L185:L189)</f>
        <v/>
      </c>
      <c r="M190" s="23">
        <f>SUM(M185:M189)</f>
        <v/>
      </c>
      <c r="N190" s="23">
        <f>SUM(N185:N189)</f>
        <v/>
      </c>
    </row>
    <row r="191">
      <c r="B191" s="2" t="inlineStr">
        <is>
          <t>Revenue requirement on effective-year connections</t>
        </is>
      </c>
      <c r="C191" s="5" t="inlineStr">
        <is>
          <t>$ million</t>
        </is>
      </c>
      <c r="E191" s="23">
        <f>E190*(1+pr_growth)</f>
        <v/>
      </c>
      <c r="F191" s="23">
        <f>F190*(1+pr_growth)</f>
        <v/>
      </c>
      <c r="G191" s="23">
        <f>G190*(1+pr_growth)</f>
        <v/>
      </c>
      <c r="H191" s="23">
        <f>H190*(1+pr_growth)</f>
        <v/>
      </c>
      <c r="I191" s="23">
        <f>I190*(1+pr_growth)</f>
        <v/>
      </c>
      <c r="J191" s="23">
        <f>J190*(1+pr_growth)</f>
        <v/>
      </c>
      <c r="K191" s="23">
        <f>K190*(1+pr_growth)</f>
        <v/>
      </c>
      <c r="L191" s="23">
        <f>L190*(1+pr_growth)</f>
        <v/>
      </c>
      <c r="M191" s="23">
        <f>M190*(1+pr_growth)</f>
        <v/>
      </c>
      <c r="N191" s="23">
        <f>N190*(1+pr_growth)</f>
        <v/>
      </c>
    </row>
    <row r="192">
      <c r="B192" s="2" t="inlineStr">
        <is>
          <t>Revenue at existing rates</t>
        </is>
      </c>
      <c r="C192" s="5" t="inlineStr">
        <is>
          <t>$ million</t>
        </is>
      </c>
      <c r="E192" s="23">
        <f>IF(E163=(pr_close+1),D198,D198*(1+pr_growth)*(1-pr_vol_share*IF(pr_decoupling=1,0,pr_usage))+D199+D201)</f>
        <v/>
      </c>
      <c r="F192" s="23">
        <f>IF(F163=(pr_close+1),E198,E198*(1+pr_growth)*(1-pr_vol_share*IF(pr_decoupling=1,0,pr_usage))+E199+E201)</f>
        <v/>
      </c>
      <c r="G192" s="23">
        <f>IF(G163=(pr_close+1),F198,F198*(1+pr_growth)*(1-pr_vol_share*IF(pr_decoupling=1,0,pr_usage))+F199+F201)</f>
        <v/>
      </c>
      <c r="H192" s="23">
        <f>IF(H163=(pr_close+1),G198,G198*(1+pr_growth)*(1-pr_vol_share*IF(pr_decoupling=1,0,pr_usage))+G199+G201)</f>
        <v/>
      </c>
      <c r="I192" s="23">
        <f>IF(I163=(pr_close+1),H198,H198*(1+pr_growth)*(1-pr_vol_share*IF(pr_decoupling=1,0,pr_usage))+H199+H201)</f>
        <v/>
      </c>
      <c r="J192" s="23">
        <f>IF(J163=(pr_close+1),I198,I198*(1+pr_growth)*(1-pr_vol_share*IF(pr_decoupling=1,0,pr_usage))+I199+I201)</f>
        <v/>
      </c>
      <c r="K192" s="23">
        <f>IF(K163=(pr_close+1),J198,J198*(1+pr_growth)*(1-pr_vol_share*IF(pr_decoupling=1,0,pr_usage))+J199+J201)</f>
        <v/>
      </c>
      <c r="L192" s="23">
        <f>IF(L163=(pr_close+1),K198,K198*(1+pr_growth)*(1-pr_vol_share*IF(pr_decoupling=1,0,pr_usage))+K199+K201)</f>
        <v/>
      </c>
      <c r="M192" s="23">
        <f>IF(M163=(pr_close+1),L198,L198*(1+pr_growth)*(1-pr_vol_share*IF(pr_decoupling=1,0,pr_usage))+L199+L201)</f>
        <v/>
      </c>
      <c r="N192" s="23">
        <f>IF(N163=(pr_close+1),M198,M198*(1+pr_growth)*(1-pr_vol_share*IF(pr_decoupling=1,0,pr_usage))+M199+M201)</f>
        <v/>
      </c>
    </row>
    <row r="193">
      <c r="B193" s="2" t="inlineStr">
        <is>
          <t>Increase granted</t>
        </is>
      </c>
      <c r="C193" s="5" t="inlineStr">
        <is>
          <t>share</t>
        </is>
      </c>
      <c r="E193" s="20">
        <f>E191/E192-1</f>
        <v/>
      </c>
      <c r="F193" s="20">
        <f>F191/F192-1</f>
        <v/>
      </c>
      <c r="G193" s="20">
        <f>G191/G192-1</f>
        <v/>
      </c>
      <c r="H193" s="20">
        <f>H191/H192-1</f>
        <v/>
      </c>
      <c r="I193" s="20">
        <f>I191/I192-1</f>
        <v/>
      </c>
      <c r="J193" s="20">
        <f>J191/J192-1</f>
        <v/>
      </c>
      <c r="K193" s="20">
        <f>K191/K192-1</f>
        <v/>
      </c>
      <c r="L193" s="20">
        <f>L191/L192-1</f>
        <v/>
      </c>
      <c r="M193" s="20">
        <f>M191/M192-1</f>
        <v/>
      </c>
      <c r="N193" s="20">
        <f>N191/N192-1</f>
        <v/>
      </c>
    </row>
    <row r="194">
      <c r="B194" s="2" t="inlineStr">
        <is>
          <t>Revenue requirement requested (at the requested ROE)</t>
        </is>
      </c>
      <c r="C194" s="5" t="inlineStr">
        <is>
          <t>$ million</t>
        </is>
      </c>
      <c r="E194" s="23">
        <f>(pr_eq*pr_roe_ask+(1-pr_eq)*E182)*E181+pr_eq*pr_roe_ask*E181*pr_tax/(1-pr_tax)+E187+E188+E189</f>
        <v/>
      </c>
      <c r="F194" s="23">
        <f>(pr_eq*pr_roe_ask+(1-pr_eq)*F182)*F181+pr_eq*pr_roe_ask*F181*pr_tax/(1-pr_tax)+F187+F188+F189</f>
        <v/>
      </c>
      <c r="G194" s="23">
        <f>(pr_eq*pr_roe_ask+(1-pr_eq)*G182)*G181+pr_eq*pr_roe_ask*G181*pr_tax/(1-pr_tax)+G187+G188+G189</f>
        <v/>
      </c>
      <c r="H194" s="23">
        <f>(pr_eq*pr_roe_ask+(1-pr_eq)*H182)*H181+pr_eq*pr_roe_ask*H181*pr_tax/(1-pr_tax)+H187+H188+H189</f>
        <v/>
      </c>
      <c r="I194" s="23">
        <f>(pr_eq*pr_roe_ask+(1-pr_eq)*I182)*I181+pr_eq*pr_roe_ask*I181*pr_tax/(1-pr_tax)+I187+I188+I189</f>
        <v/>
      </c>
      <c r="J194" s="23">
        <f>(pr_eq*pr_roe_ask+(1-pr_eq)*J182)*J181+pr_eq*pr_roe_ask*J181*pr_tax/(1-pr_tax)+J187+J188+J189</f>
        <v/>
      </c>
      <c r="K194" s="23">
        <f>(pr_eq*pr_roe_ask+(1-pr_eq)*K182)*K181+pr_eq*pr_roe_ask*K181*pr_tax/(1-pr_tax)+K187+K188+K189</f>
        <v/>
      </c>
      <c r="L194" s="23">
        <f>(pr_eq*pr_roe_ask+(1-pr_eq)*L182)*L181+pr_eq*pr_roe_ask*L181*pr_tax/(1-pr_tax)+L187+L188+L189</f>
        <v/>
      </c>
      <c r="M194" s="23">
        <f>(pr_eq*pr_roe_ask+(1-pr_eq)*M182)*M181+pr_eq*pr_roe_ask*M181*pr_tax/(1-pr_tax)+M187+M188+M189</f>
        <v/>
      </c>
      <c r="N194" s="23">
        <f>(pr_eq*pr_roe_ask+(1-pr_eq)*N182)*N181+pr_eq*pr_roe_ask*N181*pr_tax/(1-pr_tax)+N187+N188+N189</f>
        <v/>
      </c>
    </row>
    <row r="195">
      <c r="B195" s="2" t="inlineStr">
        <is>
          <t>Increase requested</t>
        </is>
      </c>
      <c r="C195" s="5" t="inlineStr">
        <is>
          <t>share</t>
        </is>
      </c>
      <c r="E195" s="20">
        <f>E194*(1+pr_growth)/E192-1</f>
        <v/>
      </c>
      <c r="F195" s="20">
        <f>F194*(1+pr_growth)/F192-1</f>
        <v/>
      </c>
      <c r="G195" s="20">
        <f>G194*(1+pr_growth)/G192-1</f>
        <v/>
      </c>
      <c r="H195" s="20">
        <f>H194*(1+pr_growth)/H192-1</f>
        <v/>
      </c>
      <c r="I195" s="20">
        <f>I194*(1+pr_growth)/I192-1</f>
        <v/>
      </c>
      <c r="J195" s="20">
        <f>J194*(1+pr_growth)/J192-1</f>
        <v/>
      </c>
      <c r="K195" s="20">
        <f>K194*(1+pr_growth)/K192-1</f>
        <v/>
      </c>
      <c r="L195" s="20">
        <f>L194*(1+pr_growth)/L192-1</f>
        <v/>
      </c>
      <c r="M195" s="20">
        <f>M194*(1+pr_growth)/M192-1</f>
        <v/>
      </c>
      <c r="N195" s="20">
        <f>N194*(1+pr_growth)/N192-1</f>
        <v/>
      </c>
    </row>
    <row r="197">
      <c r="B197" s="6" t="inlineStr">
        <is>
          <t>Revenue ($ million)</t>
        </is>
      </c>
      <c r="C197" s="7" t="n"/>
      <c r="D197" s="7" t="n"/>
      <c r="E197" s="7" t="n"/>
      <c r="F197" s="7" t="n"/>
      <c r="G197" s="7" t="n"/>
      <c r="H197" s="7" t="n"/>
      <c r="I197" s="7" t="n"/>
      <c r="J197" s="7" t="n"/>
      <c r="K197" s="7" t="n"/>
      <c r="L197" s="7" t="n"/>
      <c r="M197" s="7" t="n"/>
      <c r="N197" s="7" t="n"/>
    </row>
    <row r="198">
      <c r="B198" s="2" t="inlineStr">
        <is>
          <t>Base revenue (rate case, or prior year x growth x volume erosion)</t>
        </is>
      </c>
      <c r="C198" s="5" t="inlineStr">
        <is>
          <t>$ million</t>
        </is>
      </c>
      <c r="D198" s="23">
        <f>pr_rev_2028/((1+pr_growth)*(1-pr_vol_share*IF(pr_decoupling=1,0,pr_usage)))</f>
        <v/>
      </c>
      <c r="E198" s="23">
        <f>IF(E178=1,E191,D198*(1+pr_growth)*(1-pr_vol_share*IF(pr_decoupling=1,0,pr_usage)))</f>
        <v/>
      </c>
      <c r="F198" s="23">
        <f>IF(F178=1,F191,E198*(1+pr_growth)*(1-pr_vol_share*IF(pr_decoupling=1,0,pr_usage)))</f>
        <v/>
      </c>
      <c r="G198" s="23">
        <f>IF(G178=1,G191,F198*(1+pr_growth)*(1-pr_vol_share*IF(pr_decoupling=1,0,pr_usage)))</f>
        <v/>
      </c>
      <c r="H198" s="23">
        <f>IF(H178=1,H191,G198*(1+pr_growth)*(1-pr_vol_share*IF(pr_decoupling=1,0,pr_usage)))</f>
        <v/>
      </c>
      <c r="I198" s="23">
        <f>IF(I178=1,I191,H198*(1+pr_growth)*(1-pr_vol_share*IF(pr_decoupling=1,0,pr_usage)))</f>
        <v/>
      </c>
      <c r="J198" s="23">
        <f>IF(J178=1,J191,I198*(1+pr_growth)*(1-pr_vol_share*IF(pr_decoupling=1,0,pr_usage)))</f>
        <v/>
      </c>
      <c r="K198" s="23">
        <f>IF(K178=1,K191,J198*(1+pr_growth)*(1-pr_vol_share*IF(pr_decoupling=1,0,pr_usage)))</f>
        <v/>
      </c>
      <c r="L198" s="23">
        <f>IF(L178=1,L191,K198*(1+pr_growth)*(1-pr_vol_share*IF(pr_decoupling=1,0,pr_usage)))</f>
        <v/>
      </c>
      <c r="M198" s="23">
        <f>IF(M178=1,M191,L198*(1+pr_growth)*(1-pr_vol_share*IF(pr_decoupling=1,0,pr_usage)))</f>
        <v/>
      </c>
      <c r="N198" s="23">
        <f>IF(N178=1,N191,M198*(1+pr_growth)*(1-pr_vol_share*IF(pr_decoupling=1,0,pr_usage)))</f>
        <v/>
      </c>
    </row>
    <row r="199">
      <c r="B199" s="2" t="inlineStr">
        <is>
          <t>Fennick revenue at its old rates (until the next rate case)</t>
        </is>
      </c>
      <c r="C199" s="5" t="inlineStr">
        <is>
          <t>$ million</t>
        </is>
      </c>
      <c r="E199" s="23">
        <f>IF(AND(pr_fen_on=1,E163&gt;pr_fen_year,SUMIFS($D$178:E$178,$D$163:E$163,"&gt;"&amp;pr_fen_year)=0),pr_fen_rev,0)</f>
        <v/>
      </c>
      <c r="F199" s="23">
        <f>IF(AND(pr_fen_on=1,F163&gt;pr_fen_year,SUMIFS($D$178:F$178,$D$163:F$163,"&gt;"&amp;pr_fen_year)=0),pr_fen_rev,0)</f>
        <v/>
      </c>
      <c r="G199" s="23">
        <f>IF(AND(pr_fen_on=1,G163&gt;pr_fen_year,SUMIFS($D$178:G$178,$D$163:G$163,"&gt;"&amp;pr_fen_year)=0),pr_fen_rev,0)</f>
        <v/>
      </c>
      <c r="H199" s="23">
        <f>IF(AND(pr_fen_on=1,H163&gt;pr_fen_year,SUMIFS($D$178:H$178,$D$163:H$163,"&gt;"&amp;pr_fen_year)=0),pr_fen_rev,0)</f>
        <v/>
      </c>
      <c r="I199" s="23">
        <f>IF(AND(pr_fen_on=1,I163&gt;pr_fen_year,SUMIFS($D$178:I$178,$D$163:I$163,"&gt;"&amp;pr_fen_year)=0),pr_fen_rev,0)</f>
        <v/>
      </c>
      <c r="J199" s="23">
        <f>IF(AND(pr_fen_on=1,J163&gt;pr_fen_year,SUMIFS($D$178:J$178,$D$163:J$163,"&gt;"&amp;pr_fen_year)=0),pr_fen_rev,0)</f>
        <v/>
      </c>
      <c r="K199" s="23">
        <f>IF(AND(pr_fen_on=1,K163&gt;pr_fen_year,SUMIFS($D$178:K$178,$D$163:K$163,"&gt;"&amp;pr_fen_year)=0),pr_fen_rev,0)</f>
        <v/>
      </c>
      <c r="L199" s="23">
        <f>IF(AND(pr_fen_on=1,L163&gt;pr_fen_year,SUMIFS($D$178:L$178,$D$163:L$163,"&gt;"&amp;pr_fen_year)=0),pr_fen_rev,0)</f>
        <v/>
      </c>
      <c r="M199" s="23">
        <f>IF(AND(pr_fen_on=1,M163&gt;pr_fen_year,SUMIFS($D$178:M$178,$D$163:M$163,"&gt;"&amp;pr_fen_year)=0),pr_fen_rev,0)</f>
        <v/>
      </c>
      <c r="N199" s="23">
        <f>IF(AND(pr_fen_on=1,N163&gt;pr_fen_year,SUMIFS($D$178:N$178,$D$163:N$163,"&gt;"&amp;pr_fen_year)=0),pr_fen_rev,0)</f>
        <v/>
      </c>
    </row>
    <row r="200">
      <c r="B200" s="2" t="inlineStr">
        <is>
          <t>DSIC pool: eligible plant since the latest test year</t>
        </is>
      </c>
      <c r="C200" s="5" t="inlineStr">
        <is>
          <t>$ million</t>
        </is>
      </c>
      <c r="E200" s="23">
        <f>IF(E163=(pr_close+1),0,SUMIFS($D$175:D$175,$D$163:D$163,"&gt;"&amp;E180))</f>
        <v/>
      </c>
      <c r="F200" s="23">
        <f>IF(F163=(pr_close+1),0,SUMIFS($D$175:E$175,$D$163:E$163,"&gt;"&amp;F180))</f>
        <v/>
      </c>
      <c r="G200" s="23">
        <f>IF(G163=(pr_close+1),0,SUMIFS($D$175:F$175,$D$163:F$163,"&gt;"&amp;G180))</f>
        <v/>
      </c>
      <c r="H200" s="23">
        <f>IF(H163=(pr_close+1),0,SUMIFS($D$175:G$175,$D$163:G$163,"&gt;"&amp;H180))</f>
        <v/>
      </c>
      <c r="I200" s="23">
        <f>IF(I163=(pr_close+1),0,SUMIFS($D$175:H$175,$D$163:H$163,"&gt;"&amp;I180))</f>
        <v/>
      </c>
      <c r="J200" s="23">
        <f>IF(J163=(pr_close+1),0,SUMIFS($D$175:I$175,$D$163:I$163,"&gt;"&amp;J180))</f>
        <v/>
      </c>
      <c r="K200" s="23">
        <f>IF(K163=(pr_close+1),0,SUMIFS($D$175:J$175,$D$163:J$163,"&gt;"&amp;K180))</f>
        <v/>
      </c>
      <c r="L200" s="23">
        <f>IF(L163=(pr_close+1),0,SUMIFS($D$175:K$175,$D$163:K$163,"&gt;"&amp;L180))</f>
        <v/>
      </c>
      <c r="M200" s="23">
        <f>IF(M163=(pr_close+1),0,SUMIFS($D$175:L$175,$D$163:L$163,"&gt;"&amp;M180))</f>
        <v/>
      </c>
      <c r="N200" s="23">
        <f>IF(N163=(pr_close+1),0,SUMIFS($D$175:M$175,$D$163:M$163,"&gt;"&amp;N180))</f>
        <v/>
      </c>
    </row>
    <row r="201">
      <c r="B201" s="2" t="inlineStr">
        <is>
          <t>DSIC surcharge (capped)</t>
        </is>
      </c>
      <c r="C201" s="5" t="inlineStr">
        <is>
          <t>$ million</t>
        </is>
      </c>
      <c r="E201" s="23">
        <f>IF(AND(Inputs!$C$232=1,E163&gt;(pr_close+1)),MIN(pr_dsic_cap*E198,E200*((pr_eq*pr_roe+(1-pr_eq)*D224)+(pr_eq*pr_roe*pr_tax/(1-pr_tax))+pr_dep)),0)</f>
        <v/>
      </c>
      <c r="F201" s="23">
        <f>IF(AND(Inputs!$C$232=1,F163&gt;(pr_close+1)),MIN(pr_dsic_cap*F198,F200*((pr_eq*pr_roe+(1-pr_eq)*E224)+(pr_eq*pr_roe*pr_tax/(1-pr_tax))+pr_dep)),0)</f>
        <v/>
      </c>
      <c r="G201" s="23">
        <f>IF(AND(Inputs!$C$232=1,G163&gt;(pr_close+1)),MIN(pr_dsic_cap*G198,G200*((pr_eq*pr_roe+(1-pr_eq)*F224)+(pr_eq*pr_roe*pr_tax/(1-pr_tax))+pr_dep)),0)</f>
        <v/>
      </c>
      <c r="H201" s="23">
        <f>IF(AND(Inputs!$C$232=1,H163&gt;(pr_close+1)),MIN(pr_dsic_cap*H198,H200*((pr_eq*pr_roe+(1-pr_eq)*G224)+(pr_eq*pr_roe*pr_tax/(1-pr_tax))+pr_dep)),0)</f>
        <v/>
      </c>
      <c r="I201" s="23">
        <f>IF(AND(Inputs!$C$232=1,I163&gt;(pr_close+1)),MIN(pr_dsic_cap*I198,I200*((pr_eq*pr_roe+(1-pr_eq)*H224)+(pr_eq*pr_roe*pr_tax/(1-pr_tax))+pr_dep)),0)</f>
        <v/>
      </c>
      <c r="J201" s="23">
        <f>IF(AND(Inputs!$C$232=1,J163&gt;(pr_close+1)),MIN(pr_dsic_cap*J198,J200*((pr_eq*pr_roe+(1-pr_eq)*I224)+(pr_eq*pr_roe*pr_tax/(1-pr_tax))+pr_dep)),0)</f>
        <v/>
      </c>
      <c r="K201" s="23">
        <f>IF(AND(Inputs!$C$232=1,K163&gt;(pr_close+1)),MIN(pr_dsic_cap*K198,K200*((pr_eq*pr_roe+(1-pr_eq)*J224)+(pr_eq*pr_roe*pr_tax/(1-pr_tax))+pr_dep)),0)</f>
        <v/>
      </c>
      <c r="L201" s="23">
        <f>IF(AND(Inputs!$C$232=1,L163&gt;(pr_close+1)),MIN(pr_dsic_cap*L198,L200*((pr_eq*pr_roe+(1-pr_eq)*K224)+(pr_eq*pr_roe*pr_tax/(1-pr_tax))+pr_dep)),0)</f>
        <v/>
      </c>
      <c r="M201" s="23">
        <f>IF(AND(Inputs!$C$232=1,M163&gt;(pr_close+1)),MIN(pr_dsic_cap*M198,M200*((pr_eq*pr_roe+(1-pr_eq)*L224)+(pr_eq*pr_roe*pr_tax/(1-pr_tax))+pr_dep)),0)</f>
        <v/>
      </c>
      <c r="N201" s="23">
        <f>IF(AND(Inputs!$C$232=1,N163&gt;(pr_close+1)),MIN(pr_dsic_cap*N198,N200*((pr_eq*pr_roe+(1-pr_eq)*M224)+(pr_eq*pr_roe*pr_tax/(1-pr_tax))+pr_dep)),0)</f>
        <v/>
      </c>
    </row>
    <row r="202">
      <c r="B202" s="3" t="inlineStr">
        <is>
          <t>Revenue</t>
        </is>
      </c>
      <c r="C202" s="5" t="inlineStr">
        <is>
          <t>$ million</t>
        </is>
      </c>
      <c r="E202" s="23">
        <f>E198+E199+E201</f>
        <v/>
      </c>
      <c r="F202" s="23">
        <f>F198+F199+F201</f>
        <v/>
      </c>
      <c r="G202" s="23">
        <f>G198+G199+G201</f>
        <v/>
      </c>
      <c r="H202" s="23">
        <f>H198+H199+H201</f>
        <v/>
      </c>
      <c r="I202" s="23">
        <f>I198+I199+I201</f>
        <v/>
      </c>
      <c r="J202" s="23">
        <f>J198+J199+J201</f>
        <v/>
      </c>
      <c r="K202" s="23">
        <f>K198+K199+K201</f>
        <v/>
      </c>
      <c r="L202" s="23">
        <f>L198+L199+L201</f>
        <v/>
      </c>
      <c r="M202" s="23">
        <f>M198+M199+M201</f>
        <v/>
      </c>
      <c r="N202" s="23">
        <f>N198+N199+N201</f>
        <v/>
      </c>
    </row>
    <row r="204">
      <c r="B204" s="6" t="inlineStr">
        <is>
          <t>Costs and income ($ million)</t>
        </is>
      </c>
      <c r="C204" s="7" t="n"/>
      <c r="D204" s="7" t="n"/>
      <c r="E204" s="7" t="n"/>
      <c r="F204" s="7" t="n"/>
      <c r="G204" s="7" t="n"/>
      <c r="H204" s="7" t="n"/>
      <c r="I204" s="7" t="n"/>
      <c r="J204" s="7" t="n"/>
      <c r="K204" s="7" t="n"/>
      <c r="L204" s="7" t="n"/>
      <c r="M204" s="7" t="n"/>
      <c r="N204" s="7" t="n"/>
    </row>
    <row r="205">
      <c r="B205" s="2" t="inlineStr">
        <is>
          <t>Operation and maintenance (with PFAS and Fennick)</t>
        </is>
      </c>
      <c r="C205" s="5" t="inlineStr">
        <is>
          <t>$ million</t>
        </is>
      </c>
      <c r="D205" s="23">
        <f>pr_om_2028/((1+pr_om_infl)*(1+pr_growth))</f>
        <v/>
      </c>
      <c r="E205" s="23">
        <f>pr_om_2028*((1+pr_om_infl)*(1+pr_growth))^E164+IF(E163&gt;=pr_pfas_om_y+pr_pfas_delay,pr_pfas_om*(1+pr_pfas_om_esc)^(E163-pr_pfas_om_y),0)+IF(AND(pr_fen_on=1,E163&gt;pr_fen_year),pr_fen_om*(1+pr_fen_esc)^(E163-pr_fen_year-1),0)</f>
        <v/>
      </c>
      <c r="F205" s="23">
        <f>pr_om_2028*((1+pr_om_infl)*(1+pr_growth))^F164+IF(F163&gt;=pr_pfas_om_y+pr_pfas_delay,pr_pfas_om*(1+pr_pfas_om_esc)^(F163-pr_pfas_om_y),0)+IF(AND(pr_fen_on=1,F163&gt;pr_fen_year),pr_fen_om*(1+pr_fen_esc)^(F163-pr_fen_year-1),0)</f>
        <v/>
      </c>
      <c r="G205" s="23">
        <f>pr_om_2028*((1+pr_om_infl)*(1+pr_growth))^G164+IF(G163&gt;=pr_pfas_om_y+pr_pfas_delay,pr_pfas_om*(1+pr_pfas_om_esc)^(G163-pr_pfas_om_y),0)+IF(AND(pr_fen_on=1,G163&gt;pr_fen_year),pr_fen_om*(1+pr_fen_esc)^(G163-pr_fen_year-1),0)</f>
        <v/>
      </c>
      <c r="H205" s="23">
        <f>pr_om_2028*((1+pr_om_infl)*(1+pr_growth))^H164+IF(H163&gt;=pr_pfas_om_y+pr_pfas_delay,pr_pfas_om*(1+pr_pfas_om_esc)^(H163-pr_pfas_om_y),0)+IF(AND(pr_fen_on=1,H163&gt;pr_fen_year),pr_fen_om*(1+pr_fen_esc)^(H163-pr_fen_year-1),0)</f>
        <v/>
      </c>
      <c r="I205" s="23">
        <f>pr_om_2028*((1+pr_om_infl)*(1+pr_growth))^I164+IF(I163&gt;=pr_pfas_om_y+pr_pfas_delay,pr_pfas_om*(1+pr_pfas_om_esc)^(I163-pr_pfas_om_y),0)+IF(AND(pr_fen_on=1,I163&gt;pr_fen_year),pr_fen_om*(1+pr_fen_esc)^(I163-pr_fen_year-1),0)</f>
        <v/>
      </c>
      <c r="J205" s="23">
        <f>pr_om_2028*((1+pr_om_infl)*(1+pr_growth))^J164+IF(J163&gt;=pr_pfas_om_y+pr_pfas_delay,pr_pfas_om*(1+pr_pfas_om_esc)^(J163-pr_pfas_om_y),0)+IF(AND(pr_fen_on=1,J163&gt;pr_fen_year),pr_fen_om*(1+pr_fen_esc)^(J163-pr_fen_year-1),0)</f>
        <v/>
      </c>
      <c r="K205" s="23">
        <f>pr_om_2028*((1+pr_om_infl)*(1+pr_growth))^K164+IF(K163&gt;=pr_pfas_om_y+pr_pfas_delay,pr_pfas_om*(1+pr_pfas_om_esc)^(K163-pr_pfas_om_y),0)+IF(AND(pr_fen_on=1,K163&gt;pr_fen_year),pr_fen_om*(1+pr_fen_esc)^(K163-pr_fen_year-1),0)</f>
        <v/>
      </c>
      <c r="L205" s="23">
        <f>pr_om_2028*((1+pr_om_infl)*(1+pr_growth))^L164+IF(L163&gt;=pr_pfas_om_y+pr_pfas_delay,pr_pfas_om*(1+pr_pfas_om_esc)^(L163-pr_pfas_om_y),0)+IF(AND(pr_fen_on=1,L163&gt;pr_fen_year),pr_fen_om*(1+pr_fen_esc)^(L163-pr_fen_year-1),0)</f>
        <v/>
      </c>
      <c r="M205" s="23">
        <f>pr_om_2028*((1+pr_om_infl)*(1+pr_growth))^M164+IF(M163&gt;=pr_pfas_om_y+pr_pfas_delay,pr_pfas_om*(1+pr_pfas_om_esc)^(M163-pr_pfas_om_y),0)+IF(AND(pr_fen_on=1,M163&gt;pr_fen_year),pr_fen_om*(1+pr_fen_esc)^(M163-pr_fen_year-1),0)</f>
        <v/>
      </c>
      <c r="N205" s="23">
        <f>pr_om_2028*((1+pr_om_infl)*(1+pr_growth))^N164+IF(N163&gt;=pr_pfas_om_y+pr_pfas_delay,pr_pfas_om*(1+pr_pfas_om_esc)^(N163-pr_pfas_om_y),0)+IF(AND(pr_fen_on=1,N163&gt;pr_fen_year),pr_fen_om*(1+pr_fen_esc)^(N163-pr_fen_year-1),0)</f>
        <v/>
      </c>
    </row>
    <row r="206">
      <c r="B206" s="2" t="inlineStr">
        <is>
          <t>Customer-side lead cost expensed</t>
        </is>
      </c>
      <c r="C206" s="5" t="inlineStr">
        <is>
          <t>$ million</t>
        </is>
      </c>
      <c r="E206" s="23">
        <f>pr_lead_exp*E172*pr_lead_cust</f>
        <v/>
      </c>
      <c r="F206" s="23">
        <f>pr_lead_exp*F172*pr_lead_cust</f>
        <v/>
      </c>
      <c r="G206" s="23">
        <f>pr_lead_exp*G172*pr_lead_cust</f>
        <v/>
      </c>
      <c r="H206" s="23">
        <f>pr_lead_exp*H172*pr_lead_cust</f>
        <v/>
      </c>
      <c r="I206" s="23">
        <f>pr_lead_exp*I172*pr_lead_cust</f>
        <v/>
      </c>
      <c r="J206" s="23">
        <f>pr_lead_exp*J172*pr_lead_cust</f>
        <v/>
      </c>
      <c r="K206" s="23">
        <f>pr_lead_exp*K172*pr_lead_cust</f>
        <v/>
      </c>
      <c r="L206" s="23">
        <f>pr_lead_exp*L172*pr_lead_cust</f>
        <v/>
      </c>
      <c r="M206" s="23">
        <f>pr_lead_exp*M172*pr_lead_cust</f>
        <v/>
      </c>
      <c r="N206" s="23">
        <f>pr_lead_exp*N172*pr_lead_cust</f>
        <v/>
      </c>
    </row>
    <row r="207">
      <c r="B207" s="2" t="inlineStr">
        <is>
          <t>Other taxes</t>
        </is>
      </c>
      <c r="C207" s="5" t="inlineStr">
        <is>
          <t>$ million</t>
        </is>
      </c>
      <c r="E207" s="23">
        <f>pr_ptax*E216</f>
        <v/>
      </c>
      <c r="F207" s="23">
        <f>pr_ptax*F216</f>
        <v/>
      </c>
      <c r="G207" s="23">
        <f>pr_ptax*G216</f>
        <v/>
      </c>
      <c r="H207" s="23">
        <f>pr_ptax*H216</f>
        <v/>
      </c>
      <c r="I207" s="23">
        <f>pr_ptax*I216</f>
        <v/>
      </c>
      <c r="J207" s="23">
        <f>pr_ptax*J216</f>
        <v/>
      </c>
      <c r="K207" s="23">
        <f>pr_ptax*K216</f>
        <v/>
      </c>
      <c r="L207" s="23">
        <f>pr_ptax*L216</f>
        <v/>
      </c>
      <c r="M207" s="23">
        <f>pr_ptax*M216</f>
        <v/>
      </c>
      <c r="N207" s="23">
        <f>pr_ptax*N216</f>
        <v/>
      </c>
    </row>
    <row r="208">
      <c r="B208" s="2" t="inlineStr">
        <is>
          <t>EBITDA</t>
        </is>
      </c>
      <c r="C208" s="5" t="inlineStr">
        <is>
          <t>$ million</t>
        </is>
      </c>
      <c r="E208" s="23">
        <f>E202-E205-E207-E206</f>
        <v/>
      </c>
      <c r="F208" s="23">
        <f>F202-F205-F207-F206</f>
        <v/>
      </c>
      <c r="G208" s="23">
        <f>G202-G205-G207-G206</f>
        <v/>
      </c>
      <c r="H208" s="23">
        <f>H202-H205-H207-H206</f>
        <v/>
      </c>
      <c r="I208" s="23">
        <f>I202-I205-I207-I206</f>
        <v/>
      </c>
      <c r="J208" s="23">
        <f>J202-J205-J207-J206</f>
        <v/>
      </c>
      <c r="K208" s="23">
        <f>K202-K205-K207-K206</f>
        <v/>
      </c>
      <c r="L208" s="23">
        <f>L202-L205-L207-L206</f>
        <v/>
      </c>
      <c r="M208" s="23">
        <f>M202-M205-M207-M206</f>
        <v/>
      </c>
      <c r="N208" s="23">
        <f>N202-N205-N207-N206</f>
        <v/>
      </c>
    </row>
    <row r="209">
      <c r="B209" s="2" t="inlineStr">
        <is>
          <t>Depreciation</t>
        </is>
      </c>
      <c r="C209" s="5" t="inlineStr">
        <is>
          <t>$ million</t>
        </is>
      </c>
      <c r="E209" s="23">
        <f>pr_dep*E216</f>
        <v/>
      </c>
      <c r="F209" s="23">
        <f>pr_dep*F216</f>
        <v/>
      </c>
      <c r="G209" s="23">
        <f>pr_dep*G216</f>
        <v/>
      </c>
      <c r="H209" s="23">
        <f>pr_dep*H216</f>
        <v/>
      </c>
      <c r="I209" s="23">
        <f>pr_dep*I216</f>
        <v/>
      </c>
      <c r="J209" s="23">
        <f>pr_dep*J216</f>
        <v/>
      </c>
      <c r="K209" s="23">
        <f>pr_dep*K216</f>
        <v/>
      </c>
      <c r="L209" s="23">
        <f>pr_dep*L216</f>
        <v/>
      </c>
      <c r="M209" s="23">
        <f>pr_dep*M216</f>
        <v/>
      </c>
      <c r="N209" s="23">
        <f>pr_dep*N216</f>
        <v/>
      </c>
    </row>
    <row r="210">
      <c r="B210" s="2" t="inlineStr">
        <is>
          <t>Interest (average of opening and closing debt)</t>
        </is>
      </c>
      <c r="C210" s="5" t="inlineStr">
        <is>
          <t>$ million</t>
        </is>
      </c>
      <c r="E210" s="23">
        <f>0.5*(D222*D224+E222*E224)</f>
        <v/>
      </c>
      <c r="F210" s="23">
        <f>0.5*(E222*E224+F222*F224)</f>
        <v/>
      </c>
      <c r="G210" s="23">
        <f>0.5*(F222*F224+G222*G224)</f>
        <v/>
      </c>
      <c r="H210" s="23">
        <f>0.5*(G222*G224+H222*H224)</f>
        <v/>
      </c>
      <c r="I210" s="23">
        <f>0.5*(H222*H224+I222*I224)</f>
        <v/>
      </c>
      <c r="J210" s="23">
        <f>0.5*(I222*I224+J222*J224)</f>
        <v/>
      </c>
      <c r="K210" s="23">
        <f>0.5*(J222*J224+K222*K224)</f>
        <v/>
      </c>
      <c r="L210" s="23">
        <f>0.5*(K222*K224+L222*L224)</f>
        <v/>
      </c>
      <c r="M210" s="23">
        <f>0.5*(L222*L224+M222*M224)</f>
        <v/>
      </c>
      <c r="N210" s="23">
        <f>0.5*(M222*M224+N222*N224)</f>
        <v/>
      </c>
    </row>
    <row r="211">
      <c r="B211" s="2" t="inlineStr">
        <is>
          <t>Income before tax</t>
        </is>
      </c>
      <c r="C211" s="5" t="inlineStr">
        <is>
          <t>$ million</t>
        </is>
      </c>
      <c r="E211" s="23">
        <f>E208-E209-E210</f>
        <v/>
      </c>
      <c r="F211" s="23">
        <f>F208-F209-F210</f>
        <v/>
      </c>
      <c r="G211" s="23">
        <f>G208-G209-G210</f>
        <v/>
      </c>
      <c r="H211" s="23">
        <f>H208-H209-H210</f>
        <v/>
      </c>
      <c r="I211" s="23">
        <f>I208-I209-I210</f>
        <v/>
      </c>
      <c r="J211" s="23">
        <f>J208-J209-J210</f>
        <v/>
      </c>
      <c r="K211" s="23">
        <f>K208-K209-K210</f>
        <v/>
      </c>
      <c r="L211" s="23">
        <f>L208-L209-L210</f>
        <v/>
      </c>
      <c r="M211" s="23">
        <f>M208-M209-M210</f>
        <v/>
      </c>
      <c r="N211" s="23">
        <f>N208-N209-N210</f>
        <v/>
      </c>
    </row>
    <row r="212">
      <c r="B212" s="2" t="inlineStr">
        <is>
          <t>Income tax</t>
        </is>
      </c>
      <c r="C212" s="5" t="inlineStr">
        <is>
          <t>$ million</t>
        </is>
      </c>
      <c r="E212" s="23">
        <f>pr_tax*E211</f>
        <v/>
      </c>
      <c r="F212" s="23">
        <f>pr_tax*F211</f>
        <v/>
      </c>
      <c r="G212" s="23">
        <f>pr_tax*G211</f>
        <v/>
      </c>
      <c r="H212" s="23">
        <f>pr_tax*H211</f>
        <v/>
      </c>
      <c r="I212" s="23">
        <f>pr_tax*I211</f>
        <v/>
      </c>
      <c r="J212" s="23">
        <f>pr_tax*J211</f>
        <v/>
      </c>
      <c r="K212" s="23">
        <f>pr_tax*K211</f>
        <v/>
      </c>
      <c r="L212" s="23">
        <f>pr_tax*L211</f>
        <v/>
      </c>
      <c r="M212" s="23">
        <f>pr_tax*M211</f>
        <v/>
      </c>
      <c r="N212" s="23">
        <f>pr_tax*N211</f>
        <v/>
      </c>
    </row>
    <row r="213">
      <c r="B213" s="3" t="inlineStr">
        <is>
          <t>Net income</t>
        </is>
      </c>
      <c r="C213" s="5" t="inlineStr">
        <is>
          <t>$ million</t>
        </is>
      </c>
      <c r="E213" s="23">
        <f>E211-E212</f>
        <v/>
      </c>
      <c r="F213" s="23">
        <f>F211-F212</f>
        <v/>
      </c>
      <c r="G213" s="23">
        <f>G211-G212</f>
        <v/>
      </c>
      <c r="H213" s="23">
        <f>H211-H212</f>
        <v/>
      </c>
      <c r="I213" s="23">
        <f>I211-I212</f>
        <v/>
      </c>
      <c r="J213" s="23">
        <f>J211-J212</f>
        <v/>
      </c>
      <c r="K213" s="23">
        <f>K211-K212</f>
        <v/>
      </c>
      <c r="L213" s="23">
        <f>L211-L212</f>
        <v/>
      </c>
      <c r="M213" s="23">
        <f>M211-M212</f>
        <v/>
      </c>
      <c r="N213" s="23">
        <f>N211-N212</f>
        <v/>
      </c>
    </row>
    <row r="215">
      <c r="B215" s="6" t="inlineStr">
        <is>
          <t>Rate base and debt ($ million)</t>
        </is>
      </c>
      <c r="C215" s="7" t="n"/>
      <c r="D215" s="7" t="n"/>
      <c r="E215" s="7" t="n"/>
      <c r="F215" s="7" t="n"/>
      <c r="G215" s="7" t="n"/>
      <c r="H215" s="7" t="n"/>
      <c r="I215" s="7" t="n"/>
      <c r="J215" s="7" t="n"/>
      <c r="K215" s="7" t="n"/>
      <c r="L215" s="7" t="n"/>
      <c r="M215" s="7" t="n"/>
      <c r="N215" s="7" t="n"/>
    </row>
    <row r="216">
      <c r="B216" s="2" t="inlineStr">
        <is>
          <t>Opening rate base</t>
        </is>
      </c>
      <c r="C216" s="5" t="inlineStr">
        <is>
          <t>$ million</t>
        </is>
      </c>
      <c r="E216" s="23">
        <f>D220</f>
        <v/>
      </c>
      <c r="F216" s="23">
        <f>E220</f>
        <v/>
      </c>
      <c r="G216" s="23">
        <f>F220</f>
        <v/>
      </c>
      <c r="H216" s="23">
        <f>G220</f>
        <v/>
      </c>
      <c r="I216" s="23">
        <f>H220</f>
        <v/>
      </c>
      <c r="J216" s="23">
        <f>I220</f>
        <v/>
      </c>
      <c r="K216" s="23">
        <f>J220</f>
        <v/>
      </c>
      <c r="L216" s="23">
        <f>K220</f>
        <v/>
      </c>
      <c r="M216" s="23">
        <f>L220</f>
        <v/>
      </c>
      <c r="N216" s="23">
        <f>M220</f>
        <v/>
      </c>
    </row>
    <row r="217">
      <c r="B217" s="2" t="inlineStr">
        <is>
          <t>Spending disallowed (never in rate base)</t>
        </is>
      </c>
      <c r="C217" s="5" t="inlineStr">
        <is>
          <t>$ million</t>
        </is>
      </c>
      <c r="E217" s="23">
        <f>pr_disallow*(E171+E172-E206)</f>
        <v/>
      </c>
      <c r="F217" s="23">
        <f>pr_disallow*(F171+F172-F206)</f>
        <v/>
      </c>
      <c r="G217" s="23">
        <f>pr_disallow*(G171+G172-G206)</f>
        <v/>
      </c>
      <c r="H217" s="23">
        <f>pr_disallow*(H171+H172-H206)</f>
        <v/>
      </c>
      <c r="I217" s="23">
        <f>pr_disallow*(I171+I172-I206)</f>
        <v/>
      </c>
      <c r="J217" s="23">
        <f>pr_disallow*(J171+J172-J206)</f>
        <v/>
      </c>
      <c r="K217" s="23">
        <f>pr_disallow*(K171+K172-K206)</f>
        <v/>
      </c>
      <c r="L217" s="23">
        <f>pr_disallow*(L171+L172-L206)</f>
        <v/>
      </c>
      <c r="M217" s="23">
        <f>pr_disallow*(M171+M172-M206)</f>
        <v/>
      </c>
      <c r="N217" s="23">
        <f>pr_disallow*(N171+N172-N206)</f>
        <v/>
      </c>
    </row>
    <row r="218">
      <c r="B218" s="2" t="inlineStr">
        <is>
          <t>Acquisitions (Fennick at its price)</t>
        </is>
      </c>
      <c r="C218" s="5" t="inlineStr">
        <is>
          <t>$ million</t>
        </is>
      </c>
      <c r="E218" s="23">
        <f>IF(AND(pr_fen_on=1,E163=pr_fen_year),pr_fen_price,0)</f>
        <v/>
      </c>
      <c r="F218" s="23">
        <f>IF(AND(pr_fen_on=1,F163=pr_fen_year),pr_fen_price,0)</f>
        <v/>
      </c>
      <c r="G218" s="23">
        <f>IF(AND(pr_fen_on=1,G163=pr_fen_year),pr_fen_price,0)</f>
        <v/>
      </c>
      <c r="H218" s="23">
        <f>IF(AND(pr_fen_on=1,H163=pr_fen_year),pr_fen_price,0)</f>
        <v/>
      </c>
      <c r="I218" s="23">
        <f>IF(AND(pr_fen_on=1,I163=pr_fen_year),pr_fen_price,0)</f>
        <v/>
      </c>
      <c r="J218" s="23">
        <f>IF(AND(pr_fen_on=1,J163=pr_fen_year),pr_fen_price,0)</f>
        <v/>
      </c>
      <c r="K218" s="23">
        <f>IF(AND(pr_fen_on=1,K163=pr_fen_year),pr_fen_price,0)</f>
        <v/>
      </c>
      <c r="L218" s="23">
        <f>IF(AND(pr_fen_on=1,L163=pr_fen_year),pr_fen_price,0)</f>
        <v/>
      </c>
      <c r="M218" s="23">
        <f>IF(AND(pr_fen_on=1,M163=pr_fen_year),pr_fen_price,0)</f>
        <v/>
      </c>
      <c r="N218" s="23">
        <f>IF(AND(pr_fen_on=1,N163=pr_fen_year),pr_fen_price,0)</f>
        <v/>
      </c>
    </row>
    <row r="219">
      <c r="B219" s="2" t="inlineStr">
        <is>
          <t>Settlement credited against rate base</t>
        </is>
      </c>
      <c r="C219" s="5" t="inlineStr">
        <is>
          <t>$ million</t>
        </is>
      </c>
      <c r="E219" s="23">
        <f>IF(E163=pr_settle_y,pr_settle,0)</f>
        <v/>
      </c>
      <c r="F219" s="23">
        <f>IF(F163=pr_settle_y,pr_settle,0)</f>
        <v/>
      </c>
      <c r="G219" s="23">
        <f>IF(G163=pr_settle_y,pr_settle,0)</f>
        <v/>
      </c>
      <c r="H219" s="23">
        <f>IF(H163=pr_settle_y,pr_settle,0)</f>
        <v/>
      </c>
      <c r="I219" s="23">
        <f>IF(I163=pr_settle_y,pr_settle,0)</f>
        <v/>
      </c>
      <c r="J219" s="23">
        <f>IF(J163=pr_settle_y,pr_settle,0)</f>
        <v/>
      </c>
      <c r="K219" s="23">
        <f>IF(K163=pr_settle_y,pr_settle,0)</f>
        <v/>
      </c>
      <c r="L219" s="23">
        <f>IF(L163=pr_settle_y,pr_settle,0)</f>
        <v/>
      </c>
      <c r="M219" s="23">
        <f>IF(M163=pr_settle_y,pr_settle,0)</f>
        <v/>
      </c>
      <c r="N219" s="23">
        <f>IF(N163=pr_settle_y,pr_settle,0)</f>
        <v/>
      </c>
    </row>
    <row r="220">
      <c r="B220" s="3" t="inlineStr">
        <is>
          <t>Closing rate base</t>
        </is>
      </c>
      <c r="C220" s="5" t="inlineStr">
        <is>
          <t>$ million</t>
        </is>
      </c>
      <c r="D220" s="23">
        <f>pr_rb0</f>
        <v/>
      </c>
      <c r="E220" s="23">
        <f>E216+E174-E206-E217+E218-E209-E219</f>
        <v/>
      </c>
      <c r="F220" s="23">
        <f>F216+F174-F206-F217+F218-F209-F219</f>
        <v/>
      </c>
      <c r="G220" s="23">
        <f>G216+G174-G206-G217+G218-G209-G219</f>
        <v/>
      </c>
      <c r="H220" s="23">
        <f>H216+H174-H206-H217+H218-H209-H219</f>
        <v/>
      </c>
      <c r="I220" s="23">
        <f>I216+I174-I206-I217+I218-I209-I219</f>
        <v/>
      </c>
      <c r="J220" s="23">
        <f>J216+J174-J206-J217+J218-J209-J219</f>
        <v/>
      </c>
      <c r="K220" s="23">
        <f>K216+K174-K206-K217+K218-K209-K219</f>
        <v/>
      </c>
      <c r="L220" s="23">
        <f>L216+L174-L206-L217+L218-L209-L219</f>
        <v/>
      </c>
      <c r="M220" s="23">
        <f>M216+M174-M206-M217+M218-M209-M219</f>
        <v/>
      </c>
      <c r="N220" s="23">
        <f>N216+N174-N206-N217+N218-N209-N219</f>
        <v/>
      </c>
    </row>
    <row r="221">
      <c r="B221" s="2" t="inlineStr">
        <is>
          <t>Original bonds outstanding</t>
        </is>
      </c>
      <c r="C221" s="5" t="inlineStr">
        <is>
          <t>$ million</t>
        </is>
      </c>
      <c r="D221" s="23">
        <f>(1-pr_eq)*pr_rb0</f>
        <v/>
      </c>
      <c r="E221" s="23">
        <f>MAX(0,D221-pr_amort*(1-pr_eq)*pr_rb0)</f>
        <v/>
      </c>
      <c r="F221" s="23">
        <f>MAX(0,E221-pr_amort*(1-pr_eq)*pr_rb0)</f>
        <v/>
      </c>
      <c r="G221" s="23">
        <f>MAX(0,F221-pr_amort*(1-pr_eq)*pr_rb0)</f>
        <v/>
      </c>
      <c r="H221" s="23">
        <f>MAX(0,G221-pr_amort*(1-pr_eq)*pr_rb0)</f>
        <v/>
      </c>
      <c r="I221" s="23">
        <f>MAX(0,H221-pr_amort*(1-pr_eq)*pr_rb0)</f>
        <v/>
      </c>
      <c r="J221" s="23">
        <f>MAX(0,I221-pr_amort*(1-pr_eq)*pr_rb0)</f>
        <v/>
      </c>
      <c r="K221" s="23">
        <f>MAX(0,J221-pr_amort*(1-pr_eq)*pr_rb0)</f>
        <v/>
      </c>
      <c r="L221" s="23">
        <f>MAX(0,K221-pr_amort*(1-pr_eq)*pr_rb0)</f>
        <v/>
      </c>
      <c r="M221" s="23">
        <f>MAX(0,L221-pr_amort*(1-pr_eq)*pr_rb0)</f>
        <v/>
      </c>
      <c r="N221" s="23">
        <f>MAX(0,M221-pr_amort*(1-pr_eq)*pr_rb0)</f>
        <v/>
      </c>
    </row>
    <row r="222">
      <c r="B222" s="2" t="inlineStr">
        <is>
          <t>Operating company debt (debt share of rate base)</t>
        </is>
      </c>
      <c r="C222" s="5" t="inlineStr">
        <is>
          <t>$ million</t>
        </is>
      </c>
      <c r="D222" s="23">
        <f>(1-pr_eq)*D220</f>
        <v/>
      </c>
      <c r="E222" s="23">
        <f>(1-pr_eq)*E220</f>
        <v/>
      </c>
      <c r="F222" s="23">
        <f>(1-pr_eq)*F220</f>
        <v/>
      </c>
      <c r="G222" s="23">
        <f>(1-pr_eq)*G220</f>
        <v/>
      </c>
      <c r="H222" s="23">
        <f>(1-pr_eq)*H220</f>
        <v/>
      </c>
      <c r="I222" s="23">
        <f>(1-pr_eq)*I220</f>
        <v/>
      </c>
      <c r="J222" s="23">
        <f>(1-pr_eq)*J220</f>
        <v/>
      </c>
      <c r="K222" s="23">
        <f>(1-pr_eq)*K220</f>
        <v/>
      </c>
      <c r="L222" s="23">
        <f>(1-pr_eq)*L220</f>
        <v/>
      </c>
      <c r="M222" s="23">
        <f>(1-pr_eq)*M220</f>
        <v/>
      </c>
      <c r="N222" s="23">
        <f>(1-pr_eq)*N220</f>
        <v/>
      </c>
    </row>
    <row r="223">
      <c r="B223" s="2" t="inlineStr">
        <is>
          <t>New bonds outstanding</t>
        </is>
      </c>
      <c r="C223" s="5" t="inlineStr">
        <is>
          <t>$ million</t>
        </is>
      </c>
      <c r="D223" s="23">
        <f>D222-D221</f>
        <v/>
      </c>
      <c r="E223" s="23">
        <f>E222-E221</f>
        <v/>
      </c>
      <c r="F223" s="23">
        <f>F222-F221</f>
        <v/>
      </c>
      <c r="G223" s="23">
        <f>G222-G221</f>
        <v/>
      </c>
      <c r="H223" s="23">
        <f>H222-H221</f>
        <v/>
      </c>
      <c r="I223" s="23">
        <f>I222-I221</f>
        <v/>
      </c>
      <c r="J223" s="23">
        <f>J222-J221</f>
        <v/>
      </c>
      <c r="K223" s="23">
        <f>K222-K221</f>
        <v/>
      </c>
      <c r="L223" s="23">
        <f>L222-L221</f>
        <v/>
      </c>
      <c r="M223" s="23">
        <f>M222-M221</f>
        <v/>
      </c>
      <c r="N223" s="23">
        <f>N222-N221</f>
        <v/>
      </c>
    </row>
    <row r="224">
      <c r="B224" s="2" t="inlineStr">
        <is>
          <t>Embedded cost of debt at year end</t>
        </is>
      </c>
      <c r="C224" s="5" t="inlineStr">
        <is>
          <t>rate</t>
        </is>
      </c>
      <c r="D224" s="27">
        <f>pr_kd_old</f>
        <v/>
      </c>
      <c r="E224" s="27">
        <f>(E221*pr_kd_old+E223*pr_kd_new)/E222</f>
        <v/>
      </c>
      <c r="F224" s="27">
        <f>(F221*pr_kd_old+F223*pr_kd_new)/F222</f>
        <v/>
      </c>
      <c r="G224" s="27">
        <f>(G221*pr_kd_old+G223*pr_kd_new)/G222</f>
        <v/>
      </c>
      <c r="H224" s="27">
        <f>(H221*pr_kd_old+H223*pr_kd_new)/H222</f>
        <v/>
      </c>
      <c r="I224" s="27">
        <f>(I221*pr_kd_old+I223*pr_kd_new)/I222</f>
        <v/>
      </c>
      <c r="J224" s="27">
        <f>(J221*pr_kd_old+J223*pr_kd_new)/J222</f>
        <v/>
      </c>
      <c r="K224" s="27">
        <f>(K221*pr_kd_old+K223*pr_kd_new)/K222</f>
        <v/>
      </c>
      <c r="L224" s="27">
        <f>(L221*pr_kd_old+L223*pr_kd_new)/L222</f>
        <v/>
      </c>
      <c r="M224" s="27">
        <f>(M221*pr_kd_old+M223*pr_kd_new)/M222</f>
        <v/>
      </c>
      <c r="N224" s="27">
        <f>(N221*pr_kd_old+N223*pr_kd_new)/N222</f>
        <v/>
      </c>
    </row>
    <row r="226">
      <c r="B226" s="6" t="inlineStr">
        <is>
          <t>Returns and cash ($ million)</t>
        </is>
      </c>
      <c r="C226" s="7" t="n"/>
      <c r="D226" s="7" t="n"/>
      <c r="E226" s="7" t="n"/>
      <c r="F226" s="7" t="n"/>
      <c r="G226" s="7" t="n"/>
      <c r="H226" s="7" t="n"/>
      <c r="I226" s="7" t="n"/>
      <c r="J226" s="7" t="n"/>
      <c r="K226" s="7" t="n"/>
      <c r="L226" s="7" t="n"/>
      <c r="M226" s="7" t="n"/>
      <c r="N226" s="7" t="n"/>
    </row>
    <row r="227">
      <c r="B227" s="2" t="inlineStr">
        <is>
          <t>Average equity share of rate base</t>
        </is>
      </c>
      <c r="C227" s="5" t="inlineStr">
        <is>
          <t>$ million</t>
        </is>
      </c>
      <c r="E227" s="23">
        <f>pr_eq*0.5*(E216+E220)</f>
        <v/>
      </c>
      <c r="F227" s="23">
        <f>pr_eq*0.5*(F216+F220)</f>
        <v/>
      </c>
      <c r="G227" s="23">
        <f>pr_eq*0.5*(G216+G220)</f>
        <v/>
      </c>
      <c r="H227" s="23">
        <f>pr_eq*0.5*(H216+H220)</f>
        <v/>
      </c>
      <c r="I227" s="23">
        <f>pr_eq*0.5*(I216+I220)</f>
        <v/>
      </c>
      <c r="J227" s="23">
        <f>pr_eq*0.5*(J216+J220)</f>
        <v/>
      </c>
      <c r="K227" s="23">
        <f>pr_eq*0.5*(K216+K220)</f>
        <v/>
      </c>
      <c r="L227" s="23">
        <f>pr_eq*0.5*(L216+L220)</f>
        <v/>
      </c>
      <c r="M227" s="23">
        <f>pr_eq*0.5*(M216+M220)</f>
        <v/>
      </c>
      <c r="N227" s="23">
        <f>pr_eq*0.5*(N216+N220)</f>
        <v/>
      </c>
    </row>
    <row r="228">
      <c r="B228" s="2" t="inlineStr">
        <is>
          <t>Earned return on equity</t>
        </is>
      </c>
      <c r="C228" s="5" t="inlineStr">
        <is>
          <t>rate</t>
        </is>
      </c>
      <c r="E228" s="27">
        <f>E213/E227</f>
        <v/>
      </c>
      <c r="F228" s="27">
        <f>F213/F227</f>
        <v/>
      </c>
      <c r="G228" s="27">
        <f>G213/G227</f>
        <v/>
      </c>
      <c r="H228" s="27">
        <f>H213/H227</f>
        <v/>
      </c>
      <c r="I228" s="27">
        <f>I213/I227</f>
        <v/>
      </c>
      <c r="J228" s="27">
        <f>J213/J227</f>
        <v/>
      </c>
      <c r="K228" s="27">
        <f>K213/K227</f>
        <v/>
      </c>
      <c r="L228" s="27">
        <f>L213/L227</f>
        <v/>
      </c>
      <c r="M228" s="27">
        <f>M213/M227</f>
        <v/>
      </c>
      <c r="N228" s="27">
        <f>N213/N227</f>
        <v/>
      </c>
    </row>
    <row r="229">
      <c r="B229" s="2" t="inlineStr">
        <is>
          <t>Authorized return on equity</t>
        </is>
      </c>
      <c r="C229" s="5" t="inlineStr">
        <is>
          <t>rate</t>
        </is>
      </c>
      <c r="E229" s="27">
        <f>pr_roe</f>
        <v/>
      </c>
      <c r="F229" s="27">
        <f>pr_roe</f>
        <v/>
      </c>
      <c r="G229" s="27">
        <f>pr_roe</f>
        <v/>
      </c>
      <c r="H229" s="27">
        <f>pr_roe</f>
        <v/>
      </c>
      <c r="I229" s="27">
        <f>pr_roe</f>
        <v/>
      </c>
      <c r="J229" s="27">
        <f>pr_roe</f>
        <v/>
      </c>
      <c r="K229" s="27">
        <f>pr_roe</f>
        <v/>
      </c>
      <c r="L229" s="27">
        <f>pr_roe</f>
        <v/>
      </c>
      <c r="M229" s="27">
        <f>pr_roe</f>
        <v/>
      </c>
      <c r="N229" s="27">
        <f>pr_roe</f>
        <v/>
      </c>
    </row>
    <row r="230">
      <c r="B230" s="3" t="inlineStr">
        <is>
          <t>Cash to the shareholder (FCFE)</t>
        </is>
      </c>
      <c r="C230" s="5" t="inlineStr">
        <is>
          <t>$ million</t>
        </is>
      </c>
      <c r="E230" s="23">
        <f>E213+E209-E174-E218+E219+E222-D222</f>
        <v/>
      </c>
      <c r="F230" s="23">
        <f>F213+F209-F174-F218+F219+F222-E222</f>
        <v/>
      </c>
      <c r="G230" s="23">
        <f>G213+G209-G174-G218+G219+G222-F222</f>
        <v/>
      </c>
      <c r="H230" s="23">
        <f>H213+H209-H174-H218+H219+H222-G222</f>
        <v/>
      </c>
      <c r="I230" s="23">
        <f>I213+I209-I174-I218+I219+I222-H222</f>
        <v/>
      </c>
      <c r="J230" s="23">
        <f>J213+J209-J174-J218+J219+J222-I222</f>
        <v/>
      </c>
      <c r="K230" s="23">
        <f>K213+K209-K174-K218+K219+K222-J222</f>
        <v/>
      </c>
      <c r="L230" s="23">
        <f>L213+L209-L174-L218+L219+L222-K222</f>
        <v/>
      </c>
      <c r="M230" s="23">
        <f>M213+M209-M174-M218+M219+M222-L222</f>
        <v/>
      </c>
      <c r="N230" s="23">
        <f>N213+N209-N174-N218+N219+N222-M222</f>
        <v/>
      </c>
    </row>
    <row r="231">
      <c r="B231" s="2" t="inlineStr">
        <is>
          <t>Funds from operations (net income + depreciation)</t>
        </is>
      </c>
      <c r="C231" s="5" t="inlineStr">
        <is>
          <t>$ million</t>
        </is>
      </c>
      <c r="E231" s="23">
        <f>E213+E209</f>
        <v/>
      </c>
      <c r="F231" s="23">
        <f>F213+F209</f>
        <v/>
      </c>
      <c r="G231" s="23">
        <f>G213+G209</f>
        <v/>
      </c>
      <c r="H231" s="23">
        <f>H213+H209</f>
        <v/>
      </c>
      <c r="I231" s="23">
        <f>I213+I209</f>
        <v/>
      </c>
      <c r="J231" s="23">
        <f>J213+J209</f>
        <v/>
      </c>
      <c r="K231" s="23">
        <f>K213+K209</f>
        <v/>
      </c>
      <c r="L231" s="23">
        <f>L213+L209</f>
        <v/>
      </c>
      <c r="M231" s="23">
        <f>M213+M209</f>
        <v/>
      </c>
      <c r="N231" s="23">
        <f>N213+N209</f>
        <v/>
      </c>
    </row>
    <row r="232">
      <c r="B232" s="3" t="inlineStr">
        <is>
          <t>Brannock's net flows (exit at the exit multiple)</t>
        </is>
      </c>
      <c r="C232" s="5" t="inlineStr">
        <is>
          <t>$ million</t>
        </is>
      </c>
      <c r="D232" s="23">
        <f>-(pr_ev_mult*pr_rb0-(1-pr_eq)*pr_rb0+pr_costs-pr_holdco)</f>
        <v/>
      </c>
      <c r="E232" s="23">
        <f>E230-pr_holdco*pr_kd_holdco*(1-pr_tax)</f>
        <v/>
      </c>
      <c r="F232" s="23">
        <f>F230-pr_holdco*pr_kd_holdco*(1-pr_tax)</f>
        <v/>
      </c>
      <c r="G232" s="23">
        <f>G230-pr_holdco*pr_kd_holdco*(1-pr_tax)</f>
        <v/>
      </c>
      <c r="H232" s="23">
        <f>H230-pr_holdco*pr_kd_holdco*(1-pr_tax)</f>
        <v/>
      </c>
      <c r="I232" s="23">
        <f>I230-pr_holdco*pr_kd_holdco*(1-pr_tax)</f>
        <v/>
      </c>
      <c r="J232" s="23">
        <f>J230-pr_holdco*pr_kd_holdco*(1-pr_tax)</f>
        <v/>
      </c>
      <c r="K232" s="23">
        <f>K230-pr_holdco*pr_kd_holdco*(1-pr_tax)</f>
        <v/>
      </c>
      <c r="L232" s="23">
        <f>L230-pr_holdco*pr_kd_holdco*(1-pr_tax)</f>
        <v/>
      </c>
      <c r="M232" s="23">
        <f>M230-pr_holdco*pr_kd_holdco*(1-pr_tax)</f>
        <v/>
      </c>
      <c r="N232" s="23">
        <f>N230-pr_holdco*pr_kd_holdco*(1-pr_tax)+pr_exit_mult*N220-N222-pr_holdco</f>
        <v/>
      </c>
    </row>
    <row r="233">
      <c r="B233" s="2" t="inlineStr">
        <is>
          <t>Levered IRR</t>
        </is>
      </c>
      <c r="C233" s="5" t="inlineStr">
        <is>
          <t>rate</t>
        </is>
      </c>
      <c r="D233" s="27">
        <f>IRR($D$232:N$232,0.08)</f>
        <v/>
      </c>
    </row>
    <row r="234">
      <c r="B234" s="2" t="inlineStr">
        <is>
          <t>Average earned return on equity 2028 to 2037</t>
        </is>
      </c>
      <c r="C234" s="5" t="inlineStr">
        <is>
          <t>rate</t>
        </is>
      </c>
      <c r="D234" s="27">
        <f>AVERAGE($E$228:N$228)</f>
        <v/>
      </c>
    </row>
    <row r="235">
      <c r="B235" s="2" t="inlineStr">
        <is>
          <t>Price at the target return (enterprise value)</t>
        </is>
      </c>
      <c r="C235" s="5" t="inlineStr">
        <is>
          <t>$ million</t>
        </is>
      </c>
      <c r="D235" s="23">
        <f>NPV(pr_target,$E$232:N$232)+(1-pr_eq)*pr_rb0-pr_costs+pr_holdco</f>
        <v/>
      </c>
    </row>
    <row r="236">
      <c r="B236" s="2" t="inlineStr">
        <is>
          <t>Exit equity</t>
        </is>
      </c>
      <c r="C236" s="5" t="inlineStr">
        <is>
          <t>$ million</t>
        </is>
      </c>
      <c r="D236" s="23">
        <f>pr_exit_mult*N220-N222-pr_holdco</f>
        <v/>
      </c>
    </row>
    <row r="237">
      <c r="B237" s="2" t="inlineStr">
        <is>
          <t>Rate base at exit</t>
        </is>
      </c>
      <c r="C237" s="5" t="inlineStr">
        <is>
          <t>$ million</t>
        </is>
      </c>
      <c r="D237" s="23">
        <f>N220</f>
        <v/>
      </c>
    </row>
    <row r="240">
      <c r="B240" s="6" t="inlineStr">
        <is>
          <t>S4: Three-year rate cycle, test year two years old (Pell River, after tax)</t>
        </is>
      </c>
      <c r="C240" s="7" t="n"/>
      <c r="D240" s="7" t="n"/>
      <c r="E240" s="7" t="n"/>
      <c r="F240" s="7" t="n"/>
      <c r="G240" s="7" t="n"/>
      <c r="H240" s="7" t="n"/>
      <c r="I240" s="7" t="n"/>
      <c r="J240" s="7" t="n"/>
      <c r="K240" s="7" t="n"/>
      <c r="L240" s="7" t="n"/>
      <c r="M240" s="7" t="n"/>
      <c r="N240" s="7" t="n"/>
    </row>
    <row r="241">
      <c r="B241" s="2" t="inlineStr">
        <is>
          <t>Year (31 December)</t>
        </is>
      </c>
      <c r="D241" s="26">
        <f>pr_close</f>
        <v/>
      </c>
      <c r="E241" s="26">
        <f>D241+1</f>
        <v/>
      </c>
      <c r="F241" s="26">
        <f>E241+1</f>
        <v/>
      </c>
      <c r="G241" s="26">
        <f>F241+1</f>
        <v/>
      </c>
      <c r="H241" s="26">
        <f>G241+1</f>
        <v/>
      </c>
      <c r="I241" s="26">
        <f>H241+1</f>
        <v/>
      </c>
      <c r="J241" s="26">
        <f>I241+1</f>
        <v/>
      </c>
      <c r="K241" s="26">
        <f>J241+1</f>
        <v/>
      </c>
      <c r="L241" s="26">
        <f>K241+1</f>
        <v/>
      </c>
      <c r="M241" s="26">
        <f>L241+1</f>
        <v/>
      </c>
      <c r="N241" s="26">
        <f>M241+1</f>
        <v/>
      </c>
    </row>
    <row r="242">
      <c r="B242" s="2" t="inlineStr">
        <is>
          <t>Years after the first year of the hold (2028 = 0)</t>
        </is>
      </c>
      <c r="D242" s="26">
        <f>D241-(pr_close+1)</f>
        <v/>
      </c>
      <c r="E242" s="26">
        <f>E241-(pr_close+1)</f>
        <v/>
      </c>
      <c r="F242" s="26">
        <f>F241-(pr_close+1)</f>
        <v/>
      </c>
      <c r="G242" s="26">
        <f>G241-(pr_close+1)</f>
        <v/>
      </c>
      <c r="H242" s="26">
        <f>H241-(pr_close+1)</f>
        <v/>
      </c>
      <c r="I242" s="26">
        <f>I241-(pr_close+1)</f>
        <v/>
      </c>
      <c r="J242" s="26">
        <f>J241-(pr_close+1)</f>
        <v/>
      </c>
      <c r="K242" s="26">
        <f>K241-(pr_close+1)</f>
        <v/>
      </c>
      <c r="L242" s="26">
        <f>L241-(pr_close+1)</f>
        <v/>
      </c>
      <c r="M242" s="26">
        <f>M241-(pr_close+1)</f>
        <v/>
      </c>
      <c r="N242" s="26">
        <f>N241-(pr_close+1)</f>
        <v/>
      </c>
    </row>
    <row r="243">
      <c r="B243" s="2" t="inlineStr">
        <is>
          <t>Connections (water and wastewater), year end</t>
        </is>
      </c>
      <c r="C243" s="5" t="inlineStr">
        <is>
          <t>number</t>
        </is>
      </c>
      <c r="D243" s="19">
        <f>pr_water_conn+pr_ww_conn</f>
        <v/>
      </c>
      <c r="E243" s="19">
        <f>D243*(1+pr_growth)+IF(AND(pr_fen_on=1,E241=pr_fen_year+1),pr_fen_conn,0)</f>
        <v/>
      </c>
      <c r="F243" s="19">
        <f>E243*(1+pr_growth)+IF(AND(pr_fen_on=1,F241=pr_fen_year+1),pr_fen_conn,0)</f>
        <v/>
      </c>
      <c r="G243" s="19">
        <f>F243*(1+pr_growth)+IF(AND(pr_fen_on=1,G241=pr_fen_year+1),pr_fen_conn,0)</f>
        <v/>
      </c>
      <c r="H243" s="19">
        <f>G243*(1+pr_growth)+IF(AND(pr_fen_on=1,H241=pr_fen_year+1),pr_fen_conn,0)</f>
        <v/>
      </c>
      <c r="I243" s="19">
        <f>H243*(1+pr_growth)+IF(AND(pr_fen_on=1,I241=pr_fen_year+1),pr_fen_conn,0)</f>
        <v/>
      </c>
      <c r="J243" s="19">
        <f>I243*(1+pr_growth)+IF(AND(pr_fen_on=1,J241=pr_fen_year+1),pr_fen_conn,0)</f>
        <v/>
      </c>
      <c r="K243" s="19">
        <f>J243*(1+pr_growth)+IF(AND(pr_fen_on=1,K241=pr_fen_year+1),pr_fen_conn,0)</f>
        <v/>
      </c>
      <c r="L243" s="19">
        <f>K243*(1+pr_growth)+IF(AND(pr_fen_on=1,L241=pr_fen_year+1),pr_fen_conn,0)</f>
        <v/>
      </c>
      <c r="M243" s="19">
        <f>L243*(1+pr_growth)+IF(AND(pr_fen_on=1,M241=pr_fen_year+1),pr_fen_conn,0)</f>
        <v/>
      </c>
      <c r="N243" s="19">
        <f>M243*(1+pr_growth)+IF(AND(pr_fen_on=1,N241=pr_fen_year+1),pr_fen_conn,0)</f>
        <v/>
      </c>
    </row>
    <row r="245">
      <c r="B245" s="6" t="inlineStr">
        <is>
          <t>Capital spending ($ million)</t>
        </is>
      </c>
      <c r="C245" s="7" t="n"/>
      <c r="D245" s="7" t="n"/>
      <c r="E245" s="7" t="n"/>
      <c r="F245" s="7" t="n"/>
      <c r="G245" s="7" t="n"/>
      <c r="H245" s="7" t="n"/>
      <c r="I245" s="7" t="n"/>
      <c r="J245" s="7" t="n"/>
      <c r="K245" s="7" t="n"/>
      <c r="L245" s="7" t="n"/>
      <c r="M245" s="7" t="n"/>
      <c r="N245" s="7" t="n"/>
    </row>
    <row r="246">
      <c r="B246" s="2" t="inlineStr">
        <is>
          <t>Cost escalation index (2028 = 1)</t>
        </is>
      </c>
      <c r="E246" s="28">
        <f>(1+pr_capex_esc)^(E241-(pr_close+1))</f>
        <v/>
      </c>
      <c r="F246" s="28">
        <f>(1+pr_capex_esc)^(F241-(pr_close+1))</f>
        <v/>
      </c>
      <c r="G246" s="28">
        <f>(1+pr_capex_esc)^(G241-(pr_close+1))</f>
        <v/>
      </c>
      <c r="H246" s="28">
        <f>(1+pr_capex_esc)^(H241-(pr_close+1))</f>
        <v/>
      </c>
      <c r="I246" s="28">
        <f>(1+pr_capex_esc)^(I241-(pr_close+1))</f>
        <v/>
      </c>
      <c r="J246" s="28">
        <f>(1+pr_capex_esc)^(J241-(pr_close+1))</f>
        <v/>
      </c>
      <c r="K246" s="28">
        <f>(1+pr_capex_esc)^(K241-(pr_close+1))</f>
        <v/>
      </c>
      <c r="L246" s="28">
        <f>(1+pr_capex_esc)^(L241-(pr_close+1))</f>
        <v/>
      </c>
      <c r="M246" s="28">
        <f>(1+pr_capex_esc)^(M241-(pr_close+1))</f>
        <v/>
      </c>
      <c r="N246" s="28">
        <f>(1+pr_capex_esc)^(N241-(pr_close+1))</f>
        <v/>
      </c>
    </row>
    <row r="247">
      <c r="B247" s="2" t="inlineStr">
        <is>
          <t>Main renewal</t>
        </is>
      </c>
      <c r="C247" s="5" t="inlineStr">
        <is>
          <t>$ million</t>
        </is>
      </c>
      <c r="E247" s="23">
        <f>pr_renewal*pr_mains_miles*pr_cost_mile*E246*(1+pr_capex_shift)</f>
        <v/>
      </c>
      <c r="F247" s="23">
        <f>pr_renewal*pr_mains_miles*pr_cost_mile*F246*(1+pr_capex_shift)</f>
        <v/>
      </c>
      <c r="G247" s="23">
        <f>pr_renewal*pr_mains_miles*pr_cost_mile*G246*(1+pr_capex_shift)</f>
        <v/>
      </c>
      <c r="H247" s="23">
        <f>pr_renewal*pr_mains_miles*pr_cost_mile*H246*(1+pr_capex_shift)</f>
        <v/>
      </c>
      <c r="I247" s="23">
        <f>pr_renewal*pr_mains_miles*pr_cost_mile*I246*(1+pr_capex_shift)</f>
        <v/>
      </c>
      <c r="J247" s="23">
        <f>pr_renewal*pr_mains_miles*pr_cost_mile*J246*(1+pr_capex_shift)</f>
        <v/>
      </c>
      <c r="K247" s="23">
        <f>pr_renewal*pr_mains_miles*pr_cost_mile*K246*(1+pr_capex_shift)</f>
        <v/>
      </c>
      <c r="L247" s="23">
        <f>pr_renewal*pr_mains_miles*pr_cost_mile*L246*(1+pr_capex_shift)</f>
        <v/>
      </c>
      <c r="M247" s="23">
        <f>pr_renewal*pr_mains_miles*pr_cost_mile*M246*(1+pr_capex_shift)</f>
        <v/>
      </c>
      <c r="N247" s="23">
        <f>pr_renewal*pr_mains_miles*pr_cost_mile*N246*(1+pr_capex_shift)</f>
        <v/>
      </c>
    </row>
    <row r="248">
      <c r="B248" s="2" t="inlineStr">
        <is>
          <t>Treatment, storage, meters, IT and growth</t>
        </is>
      </c>
      <c r="C248" s="5" t="inlineStr">
        <is>
          <t>$ million</t>
        </is>
      </c>
      <c r="E248" s="23">
        <f>pr_other_capex*E246*(1+pr_capex_shift)</f>
        <v/>
      </c>
      <c r="F248" s="23">
        <f>pr_other_capex*F246*(1+pr_capex_shift)</f>
        <v/>
      </c>
      <c r="G248" s="23">
        <f>pr_other_capex*G246*(1+pr_capex_shift)</f>
        <v/>
      </c>
      <c r="H248" s="23">
        <f>pr_other_capex*H246*(1+pr_capex_shift)</f>
        <v/>
      </c>
      <c r="I248" s="23">
        <f>pr_other_capex*I246*(1+pr_capex_shift)</f>
        <v/>
      </c>
      <c r="J248" s="23">
        <f>pr_other_capex*J246*(1+pr_capex_shift)</f>
        <v/>
      </c>
      <c r="K248" s="23">
        <f>pr_other_capex*K246*(1+pr_capex_shift)</f>
        <v/>
      </c>
      <c r="L248" s="23">
        <f>pr_other_capex*L246*(1+pr_capex_shift)</f>
        <v/>
      </c>
      <c r="M248" s="23">
        <f>pr_other_capex*M246*(1+pr_capex_shift)</f>
        <v/>
      </c>
      <c r="N248" s="23">
        <f>pr_other_capex*N246*(1+pr_capex_shift)</f>
        <v/>
      </c>
    </row>
    <row r="249">
      <c r="B249" s="2" t="inlineStr">
        <is>
          <t>PFAS treatment</t>
        </is>
      </c>
      <c r="C249" s="5" t="inlineStr">
        <is>
          <t>$ million</t>
        </is>
      </c>
      <c r="E249" s="23">
        <f>(IF(E241-pr_pfas_delay=pr_pfas_y1,pr_pfas_1,0)+IF(E241-pr_pfas_delay=pr_pfas_y1+1,pr_pfas_2,0)+IF(E241-pr_pfas_delay=pr_pfas_y1+2,pr_pfas_3,0))*(1+pr_capex_esc)^pr_pfas_delay*(1+pr_capex_shift)</f>
        <v/>
      </c>
      <c r="F249" s="23">
        <f>(IF(F241-pr_pfas_delay=pr_pfas_y1,pr_pfas_1,0)+IF(F241-pr_pfas_delay=pr_pfas_y1+1,pr_pfas_2,0)+IF(F241-pr_pfas_delay=pr_pfas_y1+2,pr_pfas_3,0))*(1+pr_capex_esc)^pr_pfas_delay*(1+pr_capex_shift)</f>
        <v/>
      </c>
      <c r="G249" s="23">
        <f>(IF(G241-pr_pfas_delay=pr_pfas_y1,pr_pfas_1,0)+IF(G241-pr_pfas_delay=pr_pfas_y1+1,pr_pfas_2,0)+IF(G241-pr_pfas_delay=pr_pfas_y1+2,pr_pfas_3,0))*(1+pr_capex_esc)^pr_pfas_delay*(1+pr_capex_shift)</f>
        <v/>
      </c>
      <c r="H249" s="23">
        <f>(IF(H241-pr_pfas_delay=pr_pfas_y1,pr_pfas_1,0)+IF(H241-pr_pfas_delay=pr_pfas_y1+1,pr_pfas_2,0)+IF(H241-pr_pfas_delay=pr_pfas_y1+2,pr_pfas_3,0))*(1+pr_capex_esc)^pr_pfas_delay*(1+pr_capex_shift)</f>
        <v/>
      </c>
      <c r="I249" s="23">
        <f>(IF(I241-pr_pfas_delay=pr_pfas_y1,pr_pfas_1,0)+IF(I241-pr_pfas_delay=pr_pfas_y1+1,pr_pfas_2,0)+IF(I241-pr_pfas_delay=pr_pfas_y1+2,pr_pfas_3,0))*(1+pr_capex_esc)^pr_pfas_delay*(1+pr_capex_shift)</f>
        <v/>
      </c>
      <c r="J249" s="23">
        <f>(IF(J241-pr_pfas_delay=pr_pfas_y1,pr_pfas_1,0)+IF(J241-pr_pfas_delay=pr_pfas_y1+1,pr_pfas_2,0)+IF(J241-pr_pfas_delay=pr_pfas_y1+2,pr_pfas_3,0))*(1+pr_capex_esc)^pr_pfas_delay*(1+pr_capex_shift)</f>
        <v/>
      </c>
      <c r="K249" s="23">
        <f>(IF(K241-pr_pfas_delay=pr_pfas_y1,pr_pfas_1,0)+IF(K241-pr_pfas_delay=pr_pfas_y1+1,pr_pfas_2,0)+IF(K241-pr_pfas_delay=pr_pfas_y1+2,pr_pfas_3,0))*(1+pr_capex_esc)^pr_pfas_delay*(1+pr_capex_shift)</f>
        <v/>
      </c>
      <c r="L249" s="23">
        <f>(IF(L241-pr_pfas_delay=pr_pfas_y1,pr_pfas_1,0)+IF(L241-pr_pfas_delay=pr_pfas_y1+1,pr_pfas_2,0)+IF(L241-pr_pfas_delay=pr_pfas_y1+2,pr_pfas_3,0))*(1+pr_capex_esc)^pr_pfas_delay*(1+pr_capex_shift)</f>
        <v/>
      </c>
      <c r="M249" s="23">
        <f>(IF(M241-pr_pfas_delay=pr_pfas_y1,pr_pfas_1,0)+IF(M241-pr_pfas_delay=pr_pfas_y1+1,pr_pfas_2,0)+IF(M241-pr_pfas_delay=pr_pfas_y1+2,pr_pfas_3,0))*(1+pr_capex_esc)^pr_pfas_delay*(1+pr_capex_shift)</f>
        <v/>
      </c>
      <c r="N249" s="23">
        <f>(IF(N241-pr_pfas_delay=pr_pfas_y1,pr_pfas_1,0)+IF(N241-pr_pfas_delay=pr_pfas_y1+1,pr_pfas_2,0)+IF(N241-pr_pfas_delay=pr_pfas_y1+2,pr_pfas_3,0))*(1+pr_capex_esc)^pr_pfas_delay*(1+pr_capex_shift)</f>
        <v/>
      </c>
    </row>
    <row r="250">
      <c r="B250" s="2" t="inlineStr">
        <is>
          <t>Lead service lines</t>
        </is>
      </c>
      <c r="C250" s="5" t="inlineStr">
        <is>
          <t>$ million</t>
        </is>
      </c>
      <c r="E250" s="23">
        <f>IF(AND(E241&gt;=(pr_close+1),E241&lt;(pr_close+1)+pr_lead_years),pr_lead_lines/pr_lead_years*pr_lead_cost/1000000*E246,0)*(1+pr_capex_shift)</f>
        <v/>
      </c>
      <c r="F250" s="23">
        <f>IF(AND(F241&gt;=(pr_close+1),F241&lt;(pr_close+1)+pr_lead_years),pr_lead_lines/pr_lead_years*pr_lead_cost/1000000*F246,0)*(1+pr_capex_shift)</f>
        <v/>
      </c>
      <c r="G250" s="23">
        <f>IF(AND(G241&gt;=(pr_close+1),G241&lt;(pr_close+1)+pr_lead_years),pr_lead_lines/pr_lead_years*pr_lead_cost/1000000*G246,0)*(1+pr_capex_shift)</f>
        <v/>
      </c>
      <c r="H250" s="23">
        <f>IF(AND(H241&gt;=(pr_close+1),H241&lt;(pr_close+1)+pr_lead_years),pr_lead_lines/pr_lead_years*pr_lead_cost/1000000*H246,0)*(1+pr_capex_shift)</f>
        <v/>
      </c>
      <c r="I250" s="23">
        <f>IF(AND(I241&gt;=(pr_close+1),I241&lt;(pr_close+1)+pr_lead_years),pr_lead_lines/pr_lead_years*pr_lead_cost/1000000*I246,0)*(1+pr_capex_shift)</f>
        <v/>
      </c>
      <c r="J250" s="23">
        <f>IF(AND(J241&gt;=(pr_close+1),J241&lt;(pr_close+1)+pr_lead_years),pr_lead_lines/pr_lead_years*pr_lead_cost/1000000*J246,0)*(1+pr_capex_shift)</f>
        <v/>
      </c>
      <c r="K250" s="23">
        <f>IF(AND(K241&gt;=(pr_close+1),K241&lt;(pr_close+1)+pr_lead_years),pr_lead_lines/pr_lead_years*pr_lead_cost/1000000*K246,0)*(1+pr_capex_shift)</f>
        <v/>
      </c>
      <c r="L250" s="23">
        <f>IF(AND(L241&gt;=(pr_close+1),L241&lt;(pr_close+1)+pr_lead_years),pr_lead_lines/pr_lead_years*pr_lead_cost/1000000*L246,0)*(1+pr_capex_shift)</f>
        <v/>
      </c>
      <c r="M250" s="23">
        <f>IF(AND(M241&gt;=(pr_close+1),M241&lt;(pr_close+1)+pr_lead_years),pr_lead_lines/pr_lead_years*pr_lead_cost/1000000*M246,0)*(1+pr_capex_shift)</f>
        <v/>
      </c>
      <c r="N250" s="23">
        <f>IF(AND(N241&gt;=(pr_close+1),N241&lt;(pr_close+1)+pr_lead_years),pr_lead_lines/pr_lead_years*pr_lead_cost/1000000*N246,0)*(1+pr_capex_shift)</f>
        <v/>
      </c>
    </row>
    <row r="251">
      <c r="B251" s="2" t="inlineStr">
        <is>
          <t>Fennick system</t>
        </is>
      </c>
      <c r="C251" s="5" t="inlineStr">
        <is>
          <t>$ million</t>
        </is>
      </c>
      <c r="E251" s="23">
        <f>IF(AND(pr_fen_on=1,E241&gt;pr_fen_year),pr_fen_capex*(1+pr_capex_esc)^(E241-pr_fen_year-1),0)*(1+pr_capex_shift)</f>
        <v/>
      </c>
      <c r="F251" s="23">
        <f>IF(AND(pr_fen_on=1,F241&gt;pr_fen_year),pr_fen_capex*(1+pr_capex_esc)^(F241-pr_fen_year-1),0)*(1+pr_capex_shift)</f>
        <v/>
      </c>
      <c r="G251" s="23">
        <f>IF(AND(pr_fen_on=1,G241&gt;pr_fen_year),pr_fen_capex*(1+pr_capex_esc)^(G241-pr_fen_year-1),0)*(1+pr_capex_shift)</f>
        <v/>
      </c>
      <c r="H251" s="23">
        <f>IF(AND(pr_fen_on=1,H241&gt;pr_fen_year),pr_fen_capex*(1+pr_capex_esc)^(H241-pr_fen_year-1),0)*(1+pr_capex_shift)</f>
        <v/>
      </c>
      <c r="I251" s="23">
        <f>IF(AND(pr_fen_on=1,I241&gt;pr_fen_year),pr_fen_capex*(1+pr_capex_esc)^(I241-pr_fen_year-1),0)*(1+pr_capex_shift)</f>
        <v/>
      </c>
      <c r="J251" s="23">
        <f>IF(AND(pr_fen_on=1,J241&gt;pr_fen_year),pr_fen_capex*(1+pr_capex_esc)^(J241-pr_fen_year-1),0)*(1+pr_capex_shift)</f>
        <v/>
      </c>
      <c r="K251" s="23">
        <f>IF(AND(pr_fen_on=1,K241&gt;pr_fen_year),pr_fen_capex*(1+pr_capex_esc)^(K241-pr_fen_year-1),0)*(1+pr_capex_shift)</f>
        <v/>
      </c>
      <c r="L251" s="23">
        <f>IF(AND(pr_fen_on=1,L241&gt;pr_fen_year),pr_fen_capex*(1+pr_capex_esc)^(L241-pr_fen_year-1),0)*(1+pr_capex_shift)</f>
        <v/>
      </c>
      <c r="M251" s="23">
        <f>IF(AND(pr_fen_on=1,M241&gt;pr_fen_year),pr_fen_capex*(1+pr_capex_esc)^(M241-pr_fen_year-1),0)*(1+pr_capex_shift)</f>
        <v/>
      </c>
      <c r="N251" s="23">
        <f>IF(AND(pr_fen_on=1,N241&gt;pr_fen_year),pr_fen_capex*(1+pr_capex_esc)^(N241-pr_fen_year-1),0)*(1+pr_capex_shift)</f>
        <v/>
      </c>
    </row>
    <row r="252">
      <c r="B252" s="2" t="inlineStr">
        <is>
          <t>Total capital spending</t>
        </is>
      </c>
      <c r="C252" s="5" t="inlineStr">
        <is>
          <t>$ million</t>
        </is>
      </c>
      <c r="E252" s="23">
        <f>SUM(E247:E251)</f>
        <v/>
      </c>
      <c r="F252" s="23">
        <f>SUM(F247:F251)</f>
        <v/>
      </c>
      <c r="G252" s="23">
        <f>SUM(G247:G251)</f>
        <v/>
      </c>
      <c r="H252" s="23">
        <f>SUM(H247:H251)</f>
        <v/>
      </c>
      <c r="I252" s="23">
        <f>SUM(I247:I251)</f>
        <v/>
      </c>
      <c r="J252" s="23">
        <f>SUM(J247:J251)</f>
        <v/>
      </c>
      <c r="K252" s="23">
        <f>SUM(K247:K251)</f>
        <v/>
      </c>
      <c r="L252" s="23">
        <f>SUM(L247:L251)</f>
        <v/>
      </c>
      <c r="M252" s="23">
        <f>SUM(M247:M251)</f>
        <v/>
      </c>
      <c r="N252" s="23">
        <f>SUM(N247:N251)</f>
        <v/>
      </c>
    </row>
    <row r="253">
      <c r="B253" s="2" t="inlineStr">
        <is>
          <t>DSIC-eligible (mains and lead lines)</t>
        </is>
      </c>
      <c r="C253" s="5" t="inlineStr">
        <is>
          <t>$ million</t>
        </is>
      </c>
      <c r="E253" s="23">
        <f>E247+E250</f>
        <v/>
      </c>
      <c r="F253" s="23">
        <f>F247+F250</f>
        <v/>
      </c>
      <c r="G253" s="23">
        <f>G247+G250</f>
        <v/>
      </c>
      <c r="H253" s="23">
        <f>H247+H250</f>
        <v/>
      </c>
      <c r="I253" s="23">
        <f>I247+I250</f>
        <v/>
      </c>
      <c r="J253" s="23">
        <f>J247+J250</f>
        <v/>
      </c>
      <c r="K253" s="23">
        <f>K247+K250</f>
        <v/>
      </c>
      <c r="L253" s="23">
        <f>L247+L250</f>
        <v/>
      </c>
      <c r="M253" s="23">
        <f>M247+M250</f>
        <v/>
      </c>
      <c r="N253" s="23">
        <f>N247+N250</f>
        <v/>
      </c>
    </row>
    <row r="255">
      <c r="B255" s="6" t="inlineStr">
        <is>
          <t>Rate case (rates effective 1 January of the year; test-year values looked up to the left)</t>
        </is>
      </c>
      <c r="C255" s="7" t="n"/>
      <c r="D255" s="7" t="n"/>
      <c r="E255" s="7" t="n"/>
      <c r="F255" s="7" t="n"/>
      <c r="G255" s="7" t="n"/>
      <c r="H255" s="7" t="n"/>
      <c r="I255" s="7" t="n"/>
      <c r="J255" s="7" t="n"/>
      <c r="K255" s="7" t="n"/>
      <c r="L255" s="7" t="n"/>
      <c r="M255" s="7" t="n"/>
      <c r="N255" s="7" t="n"/>
    </row>
    <row r="256">
      <c r="B256" s="2" t="inlineStr">
        <is>
          <t>Rate case this year (1 = yes)</t>
        </is>
      </c>
      <c r="E256" s="26">
        <f>IF(AND(E241&gt;=pr_rc_first,MOD(E241-pr_rc_first,Inputs!$C$233)=0),1,0)</f>
        <v/>
      </c>
      <c r="F256" s="26">
        <f>IF(AND(F241&gt;=pr_rc_first,MOD(F241-pr_rc_first,Inputs!$C$233)=0),1,0)</f>
        <v/>
      </c>
      <c r="G256" s="26">
        <f>IF(AND(G241&gt;=pr_rc_first,MOD(G241-pr_rc_first,Inputs!$C$233)=0),1,0)</f>
        <v/>
      </c>
      <c r="H256" s="26">
        <f>IF(AND(H241&gt;=pr_rc_first,MOD(H241-pr_rc_first,Inputs!$C$233)=0),1,0)</f>
        <v/>
      </c>
      <c r="I256" s="26">
        <f>IF(AND(I241&gt;=pr_rc_first,MOD(I241-pr_rc_first,Inputs!$C$233)=0),1,0)</f>
        <v/>
      </c>
      <c r="J256" s="26">
        <f>IF(AND(J241&gt;=pr_rc_first,MOD(J241-pr_rc_first,Inputs!$C$233)=0),1,0)</f>
        <v/>
      </c>
      <c r="K256" s="26">
        <f>IF(AND(K241&gt;=pr_rc_first,MOD(K241-pr_rc_first,Inputs!$C$233)=0),1,0)</f>
        <v/>
      </c>
      <c r="L256" s="26">
        <f>IF(AND(L241&gt;=pr_rc_first,MOD(L241-pr_rc_first,Inputs!$C$233)=0),1,0)</f>
        <v/>
      </c>
      <c r="M256" s="26">
        <f>IF(AND(M241&gt;=pr_rc_first,MOD(M241-pr_rc_first,Inputs!$C$233)=0),1,0)</f>
        <v/>
      </c>
      <c r="N256" s="26">
        <f>IF(AND(N241&gt;=pr_rc_first,MOD(N241-pr_rc_first,Inputs!$C$233)=0),1,0)</f>
        <v/>
      </c>
    </row>
    <row r="257">
      <c r="B257" s="2" t="inlineStr">
        <is>
          <t>Test year</t>
        </is>
      </c>
      <c r="E257" s="26">
        <f>E241-Inputs!$C$234</f>
        <v/>
      </c>
      <c r="F257" s="26">
        <f>F241-Inputs!$C$234</f>
        <v/>
      </c>
      <c r="G257" s="26">
        <f>G241-Inputs!$C$234</f>
        <v/>
      </c>
      <c r="H257" s="26">
        <f>H241-Inputs!$C$234</f>
        <v/>
      </c>
      <c r="I257" s="26">
        <f>I241-Inputs!$C$234</f>
        <v/>
      </c>
      <c r="J257" s="26">
        <f>J241-Inputs!$C$234</f>
        <v/>
      </c>
      <c r="K257" s="26">
        <f>K241-Inputs!$C$234</f>
        <v/>
      </c>
      <c r="L257" s="26">
        <f>L241-Inputs!$C$234</f>
        <v/>
      </c>
      <c r="M257" s="26">
        <f>M241-Inputs!$C$234</f>
        <v/>
      </c>
      <c r="N257" s="26">
        <f>N241-Inputs!$C$234</f>
        <v/>
      </c>
    </row>
    <row r="258">
      <c r="B258" s="2" t="inlineStr">
        <is>
          <t>Test year of the latest rate case</t>
        </is>
      </c>
      <c r="D258" s="26">
        <f>pr_close</f>
        <v/>
      </c>
      <c r="E258" s="26">
        <f>IF(E256=1,E257,D258)</f>
        <v/>
      </c>
      <c r="F258" s="26">
        <f>IF(F256=1,F257,E258)</f>
        <v/>
      </c>
      <c r="G258" s="26">
        <f>IF(G256=1,G257,F258)</f>
        <v/>
      </c>
      <c r="H258" s="26">
        <f>IF(H256=1,H257,G258)</f>
        <v/>
      </c>
      <c r="I258" s="26">
        <f>IF(I256=1,I257,H258)</f>
        <v/>
      </c>
      <c r="J258" s="26">
        <f>IF(J256=1,J257,I258)</f>
        <v/>
      </c>
      <c r="K258" s="26">
        <f>IF(K256=1,K257,J258)</f>
        <v/>
      </c>
      <c r="L258" s="26">
        <f>IF(L256=1,L257,K258)</f>
        <v/>
      </c>
      <c r="M258" s="26">
        <f>IF(M256=1,M257,L258)</f>
        <v/>
      </c>
      <c r="N258" s="26">
        <f>IF(N256=1,N257,M258)</f>
        <v/>
      </c>
    </row>
    <row r="259">
      <c r="B259" s="2" t="inlineStr">
        <is>
          <t>Rate base at the end of the test year</t>
        </is>
      </c>
      <c r="C259" s="5" t="inlineStr">
        <is>
          <t>$ million</t>
        </is>
      </c>
      <c r="E259" s="23">
        <f>INDEX($D$298:D$298,MATCH(MAX(E257,pr_close),$D$241:D$241,0))</f>
        <v/>
      </c>
      <c r="F259" s="23">
        <f>INDEX($D$298:E$298,MATCH(MAX(F257,pr_close),$D$241:E$241,0))</f>
        <v/>
      </c>
      <c r="G259" s="23">
        <f>INDEX($D$298:F$298,MATCH(MAX(G257,pr_close),$D$241:F$241,0))</f>
        <v/>
      </c>
      <c r="H259" s="23">
        <f>INDEX($D$298:G$298,MATCH(MAX(H257,pr_close),$D$241:G$241,0))</f>
        <v/>
      </c>
      <c r="I259" s="23">
        <f>INDEX($D$298:H$298,MATCH(MAX(I257,pr_close),$D$241:H$241,0))</f>
        <v/>
      </c>
      <c r="J259" s="23">
        <f>INDEX($D$298:I$298,MATCH(MAX(J257,pr_close),$D$241:I$241,0))</f>
        <v/>
      </c>
      <c r="K259" s="23">
        <f>INDEX($D$298:J$298,MATCH(MAX(K257,pr_close),$D$241:J$241,0))</f>
        <v/>
      </c>
      <c r="L259" s="23">
        <f>INDEX($D$298:K$298,MATCH(MAX(L257,pr_close),$D$241:K$241,0))</f>
        <v/>
      </c>
      <c r="M259" s="23">
        <f>INDEX($D$298:L$298,MATCH(MAX(M257,pr_close),$D$241:L$241,0))</f>
        <v/>
      </c>
      <c r="N259" s="23">
        <f>INDEX($D$298:M$298,MATCH(MAX(N257,pr_close),$D$241:M$241,0))</f>
        <v/>
      </c>
    </row>
    <row r="260">
      <c r="B260" s="2" t="inlineStr">
        <is>
          <t>Embedded cost of debt in the test year</t>
        </is>
      </c>
      <c r="C260" s="5" t="inlineStr">
        <is>
          <t>rate</t>
        </is>
      </c>
      <c r="E260" s="27">
        <f>INDEX($D$302:D$302,MATCH(MAX(E257,pr_close),$D$241:D$241,0))</f>
        <v/>
      </c>
      <c r="F260" s="27">
        <f>INDEX($D$302:E$302,MATCH(MAX(F257,pr_close),$D$241:E$241,0))</f>
        <v/>
      </c>
      <c r="G260" s="27">
        <f>INDEX($D$302:F$302,MATCH(MAX(G257,pr_close),$D$241:F$241,0))</f>
        <v/>
      </c>
      <c r="H260" s="27">
        <f>INDEX($D$302:G$302,MATCH(MAX(H257,pr_close),$D$241:G$241,0))</f>
        <v/>
      </c>
      <c r="I260" s="27">
        <f>INDEX($D$302:H$302,MATCH(MAX(I257,pr_close),$D$241:H$241,0))</f>
        <v/>
      </c>
      <c r="J260" s="27">
        <f>INDEX($D$302:I$302,MATCH(MAX(J257,pr_close),$D$241:I$241,0))</f>
        <v/>
      </c>
      <c r="K260" s="27">
        <f>INDEX($D$302:J$302,MATCH(MAX(K257,pr_close),$D$241:J$241,0))</f>
        <v/>
      </c>
      <c r="L260" s="27">
        <f>INDEX($D$302:K$302,MATCH(MAX(L257,pr_close),$D$241:K$241,0))</f>
        <v/>
      </c>
      <c r="M260" s="27">
        <f>INDEX($D$302:L$302,MATCH(MAX(M257,pr_close),$D$241:L$241,0))</f>
        <v/>
      </c>
      <c r="N260" s="27">
        <f>INDEX($D$302:M$302,MATCH(MAX(N257,pr_close),$D$241:M$241,0))</f>
        <v/>
      </c>
    </row>
    <row r="261">
      <c r="B261" s="2" t="inlineStr">
        <is>
          <t>O&amp;M in the test year</t>
        </is>
      </c>
      <c r="C261" s="5" t="inlineStr">
        <is>
          <t>$ million</t>
        </is>
      </c>
      <c r="E261" s="23">
        <f>INDEX($D$283:D$283,MATCH(MAX(E257,pr_close),$D$241:D$241,0))</f>
        <v/>
      </c>
      <c r="F261" s="23">
        <f>INDEX($D$283:E$283,MATCH(MAX(F257,pr_close),$D$241:E$241,0))</f>
        <v/>
      </c>
      <c r="G261" s="23">
        <f>INDEX($D$283:F$283,MATCH(MAX(G257,pr_close),$D$241:F$241,0))</f>
        <v/>
      </c>
      <c r="H261" s="23">
        <f>INDEX($D$283:G$283,MATCH(MAX(H257,pr_close),$D$241:G$241,0))</f>
        <v/>
      </c>
      <c r="I261" s="23">
        <f>INDEX($D$283:H$283,MATCH(MAX(I257,pr_close),$D$241:H$241,0))</f>
        <v/>
      </c>
      <c r="J261" s="23">
        <f>INDEX($D$283:I$283,MATCH(MAX(J257,pr_close),$D$241:I$241,0))</f>
        <v/>
      </c>
      <c r="K261" s="23">
        <f>INDEX($D$283:J$283,MATCH(MAX(K257,pr_close),$D$241:J$241,0))</f>
        <v/>
      </c>
      <c r="L261" s="23">
        <f>INDEX($D$283:K$283,MATCH(MAX(L257,pr_close),$D$241:K$241,0))</f>
        <v/>
      </c>
      <c r="M261" s="23">
        <f>INDEX($D$283:L$283,MATCH(MAX(M257,pr_close),$D$241:L$241,0))</f>
        <v/>
      </c>
      <c r="N261" s="23">
        <f>INDEX($D$283:M$283,MATCH(MAX(N257,pr_close),$D$241:M$241,0))</f>
        <v/>
      </c>
    </row>
    <row r="262">
      <c r="B262" s="2" t="inlineStr">
        <is>
          <t>Authorized return on rate base</t>
        </is>
      </c>
      <c r="C262" s="5" t="inlineStr">
        <is>
          <t>rate</t>
        </is>
      </c>
      <c r="E262" s="27">
        <f>(pr_eq*pr_roe+(1-pr_eq)*E260)</f>
        <v/>
      </c>
      <c r="F262" s="27">
        <f>(pr_eq*pr_roe+(1-pr_eq)*F260)</f>
        <v/>
      </c>
      <c r="G262" s="27">
        <f>(pr_eq*pr_roe+(1-pr_eq)*G260)</f>
        <v/>
      </c>
      <c r="H262" s="27">
        <f>(pr_eq*pr_roe+(1-pr_eq)*H260)</f>
        <v/>
      </c>
      <c r="I262" s="27">
        <f>(pr_eq*pr_roe+(1-pr_eq)*I260)</f>
        <v/>
      </c>
      <c r="J262" s="27">
        <f>(pr_eq*pr_roe+(1-pr_eq)*J260)</f>
        <v/>
      </c>
      <c r="K262" s="27">
        <f>(pr_eq*pr_roe+(1-pr_eq)*K260)</f>
        <v/>
      </c>
      <c r="L262" s="27">
        <f>(pr_eq*pr_roe+(1-pr_eq)*L260)</f>
        <v/>
      </c>
      <c r="M262" s="27">
        <f>(pr_eq*pr_roe+(1-pr_eq)*M260)</f>
        <v/>
      </c>
      <c r="N262" s="27">
        <f>(pr_eq*pr_roe+(1-pr_eq)*N260)</f>
        <v/>
      </c>
    </row>
    <row r="263">
      <c r="B263" s="2" t="inlineStr">
        <is>
          <t>Return</t>
        </is>
      </c>
      <c r="C263" s="5" t="inlineStr">
        <is>
          <t>$ million</t>
        </is>
      </c>
      <c r="E263" s="23">
        <f>E262*E259</f>
        <v/>
      </c>
      <c r="F263" s="23">
        <f>F262*F259</f>
        <v/>
      </c>
      <c r="G263" s="23">
        <f>G262*G259</f>
        <v/>
      </c>
      <c r="H263" s="23">
        <f>H262*H259</f>
        <v/>
      </c>
      <c r="I263" s="23">
        <f>I262*I259</f>
        <v/>
      </c>
      <c r="J263" s="23">
        <f>J262*J259</f>
        <v/>
      </c>
      <c r="K263" s="23">
        <f>K262*K259</f>
        <v/>
      </c>
      <c r="L263" s="23">
        <f>L262*L259</f>
        <v/>
      </c>
      <c r="M263" s="23">
        <f>M262*M259</f>
        <v/>
      </c>
      <c r="N263" s="23">
        <f>N262*N259</f>
        <v/>
      </c>
    </row>
    <row r="264">
      <c r="B264" s="2" t="inlineStr">
        <is>
          <t>Income tax gross-up</t>
        </is>
      </c>
      <c r="C264" s="5" t="inlineStr">
        <is>
          <t>$ million</t>
        </is>
      </c>
      <c r="E264" s="23">
        <f>(pr_eq*pr_roe*pr_tax/(1-pr_tax))*E259</f>
        <v/>
      </c>
      <c r="F264" s="23">
        <f>(pr_eq*pr_roe*pr_tax/(1-pr_tax))*F259</f>
        <v/>
      </c>
      <c r="G264" s="23">
        <f>(pr_eq*pr_roe*pr_tax/(1-pr_tax))*G259</f>
        <v/>
      </c>
      <c r="H264" s="23">
        <f>(pr_eq*pr_roe*pr_tax/(1-pr_tax))*H259</f>
        <v/>
      </c>
      <c r="I264" s="23">
        <f>(pr_eq*pr_roe*pr_tax/(1-pr_tax))*I259</f>
        <v/>
      </c>
      <c r="J264" s="23">
        <f>(pr_eq*pr_roe*pr_tax/(1-pr_tax))*J259</f>
        <v/>
      </c>
      <c r="K264" s="23">
        <f>(pr_eq*pr_roe*pr_tax/(1-pr_tax))*K259</f>
        <v/>
      </c>
      <c r="L264" s="23">
        <f>(pr_eq*pr_roe*pr_tax/(1-pr_tax))*L259</f>
        <v/>
      </c>
      <c r="M264" s="23">
        <f>(pr_eq*pr_roe*pr_tax/(1-pr_tax))*M259</f>
        <v/>
      </c>
      <c r="N264" s="23">
        <f>(pr_eq*pr_roe*pr_tax/(1-pr_tax))*N259</f>
        <v/>
      </c>
    </row>
    <row r="265">
      <c r="B265" s="2" t="inlineStr">
        <is>
          <t>Depreciation</t>
        </is>
      </c>
      <c r="C265" s="5" t="inlineStr">
        <is>
          <t>$ million</t>
        </is>
      </c>
      <c r="E265" s="23">
        <f>pr_dep*E259</f>
        <v/>
      </c>
      <c r="F265" s="23">
        <f>pr_dep*F259</f>
        <v/>
      </c>
      <c r="G265" s="23">
        <f>pr_dep*G259</f>
        <v/>
      </c>
      <c r="H265" s="23">
        <f>pr_dep*H259</f>
        <v/>
      </c>
      <c r="I265" s="23">
        <f>pr_dep*I259</f>
        <v/>
      </c>
      <c r="J265" s="23">
        <f>pr_dep*J259</f>
        <v/>
      </c>
      <c r="K265" s="23">
        <f>pr_dep*K259</f>
        <v/>
      </c>
      <c r="L265" s="23">
        <f>pr_dep*L259</f>
        <v/>
      </c>
      <c r="M265" s="23">
        <f>pr_dep*M259</f>
        <v/>
      </c>
      <c r="N265" s="23">
        <f>pr_dep*N259</f>
        <v/>
      </c>
    </row>
    <row r="266">
      <c r="B266" s="2" t="inlineStr">
        <is>
          <t>Other taxes</t>
        </is>
      </c>
      <c r="C266" s="5" t="inlineStr">
        <is>
          <t>$ million</t>
        </is>
      </c>
      <c r="E266" s="23">
        <f>pr_ptax*E259</f>
        <v/>
      </c>
      <c r="F266" s="23">
        <f>pr_ptax*F259</f>
        <v/>
      </c>
      <c r="G266" s="23">
        <f>pr_ptax*G259</f>
        <v/>
      </c>
      <c r="H266" s="23">
        <f>pr_ptax*H259</f>
        <v/>
      </c>
      <c r="I266" s="23">
        <f>pr_ptax*I259</f>
        <v/>
      </c>
      <c r="J266" s="23">
        <f>pr_ptax*J259</f>
        <v/>
      </c>
      <c r="K266" s="23">
        <f>pr_ptax*K259</f>
        <v/>
      </c>
      <c r="L266" s="23">
        <f>pr_ptax*L259</f>
        <v/>
      </c>
      <c r="M266" s="23">
        <f>pr_ptax*M259</f>
        <v/>
      </c>
      <c r="N266" s="23">
        <f>pr_ptax*N259</f>
        <v/>
      </c>
    </row>
    <row r="267">
      <c r="B267" s="2" t="inlineStr">
        <is>
          <t>O&amp;M (test year, known and measurable)</t>
        </is>
      </c>
      <c r="C267" s="5" t="inlineStr">
        <is>
          <t>$ million</t>
        </is>
      </c>
      <c r="E267" s="23">
        <f>E261*(1+pr_om_infl)*(1+pr_growth)</f>
        <v/>
      </c>
      <c r="F267" s="23">
        <f>F261*(1+pr_om_infl)*(1+pr_growth)</f>
        <v/>
      </c>
      <c r="G267" s="23">
        <f>G261*(1+pr_om_infl)*(1+pr_growth)</f>
        <v/>
      </c>
      <c r="H267" s="23">
        <f>H261*(1+pr_om_infl)*(1+pr_growth)</f>
        <v/>
      </c>
      <c r="I267" s="23">
        <f>I261*(1+pr_om_infl)*(1+pr_growth)</f>
        <v/>
      </c>
      <c r="J267" s="23">
        <f>J261*(1+pr_om_infl)*(1+pr_growth)</f>
        <v/>
      </c>
      <c r="K267" s="23">
        <f>K261*(1+pr_om_infl)*(1+pr_growth)</f>
        <v/>
      </c>
      <c r="L267" s="23">
        <f>L261*(1+pr_om_infl)*(1+pr_growth)</f>
        <v/>
      </c>
      <c r="M267" s="23">
        <f>M261*(1+pr_om_infl)*(1+pr_growth)</f>
        <v/>
      </c>
      <c r="N267" s="23">
        <f>N261*(1+pr_om_infl)*(1+pr_growth)</f>
        <v/>
      </c>
    </row>
    <row r="268">
      <c r="B268" s="2" t="inlineStr">
        <is>
          <t>Revenue requirement (test-year connections)</t>
        </is>
      </c>
      <c r="C268" s="5" t="inlineStr">
        <is>
          <t>$ million</t>
        </is>
      </c>
      <c r="E268" s="23">
        <f>SUM(E263:E267)</f>
        <v/>
      </c>
      <c r="F268" s="23">
        <f>SUM(F263:F267)</f>
        <v/>
      </c>
      <c r="G268" s="23">
        <f>SUM(G263:G267)</f>
        <v/>
      </c>
      <c r="H268" s="23">
        <f>SUM(H263:H267)</f>
        <v/>
      </c>
      <c r="I268" s="23">
        <f>SUM(I263:I267)</f>
        <v/>
      </c>
      <c r="J268" s="23">
        <f>SUM(J263:J267)</f>
        <v/>
      </c>
      <c r="K268" s="23">
        <f>SUM(K263:K267)</f>
        <v/>
      </c>
      <c r="L268" s="23">
        <f>SUM(L263:L267)</f>
        <v/>
      </c>
      <c r="M268" s="23">
        <f>SUM(M263:M267)</f>
        <v/>
      </c>
      <c r="N268" s="23">
        <f>SUM(N263:N267)</f>
        <v/>
      </c>
    </row>
    <row r="269">
      <c r="B269" s="2" t="inlineStr">
        <is>
          <t>Revenue requirement on effective-year connections</t>
        </is>
      </c>
      <c r="C269" s="5" t="inlineStr">
        <is>
          <t>$ million</t>
        </is>
      </c>
      <c r="E269" s="23">
        <f>E268*(1+pr_growth)</f>
        <v/>
      </c>
      <c r="F269" s="23">
        <f>F268*(1+pr_growth)</f>
        <v/>
      </c>
      <c r="G269" s="23">
        <f>G268*(1+pr_growth)</f>
        <v/>
      </c>
      <c r="H269" s="23">
        <f>H268*(1+pr_growth)</f>
        <v/>
      </c>
      <c r="I269" s="23">
        <f>I268*(1+pr_growth)</f>
        <v/>
      </c>
      <c r="J269" s="23">
        <f>J268*(1+pr_growth)</f>
        <v/>
      </c>
      <c r="K269" s="23">
        <f>K268*(1+pr_growth)</f>
        <v/>
      </c>
      <c r="L269" s="23">
        <f>L268*(1+pr_growth)</f>
        <v/>
      </c>
      <c r="M269" s="23">
        <f>M268*(1+pr_growth)</f>
        <v/>
      </c>
      <c r="N269" s="23">
        <f>N268*(1+pr_growth)</f>
        <v/>
      </c>
    </row>
    <row r="270">
      <c r="B270" s="2" t="inlineStr">
        <is>
          <t>Revenue at existing rates</t>
        </is>
      </c>
      <c r="C270" s="5" t="inlineStr">
        <is>
          <t>$ million</t>
        </is>
      </c>
      <c r="E270" s="23">
        <f>IF(E241=(pr_close+1),D276,D276*(1+pr_growth)*(1-pr_vol_share*IF(pr_decoupling=1,0,pr_usage))+D277+D279)</f>
        <v/>
      </c>
      <c r="F270" s="23">
        <f>IF(F241=(pr_close+1),E276,E276*(1+pr_growth)*(1-pr_vol_share*IF(pr_decoupling=1,0,pr_usage))+E277+E279)</f>
        <v/>
      </c>
      <c r="G270" s="23">
        <f>IF(G241=(pr_close+1),F276,F276*(1+pr_growth)*(1-pr_vol_share*IF(pr_decoupling=1,0,pr_usage))+F277+F279)</f>
        <v/>
      </c>
      <c r="H270" s="23">
        <f>IF(H241=(pr_close+1),G276,G276*(1+pr_growth)*(1-pr_vol_share*IF(pr_decoupling=1,0,pr_usage))+G277+G279)</f>
        <v/>
      </c>
      <c r="I270" s="23">
        <f>IF(I241=(pr_close+1),H276,H276*(1+pr_growth)*(1-pr_vol_share*IF(pr_decoupling=1,0,pr_usage))+H277+H279)</f>
        <v/>
      </c>
      <c r="J270" s="23">
        <f>IF(J241=(pr_close+1),I276,I276*(1+pr_growth)*(1-pr_vol_share*IF(pr_decoupling=1,0,pr_usage))+I277+I279)</f>
        <v/>
      </c>
      <c r="K270" s="23">
        <f>IF(K241=(pr_close+1),J276,J276*(1+pr_growth)*(1-pr_vol_share*IF(pr_decoupling=1,0,pr_usage))+J277+J279)</f>
        <v/>
      </c>
      <c r="L270" s="23">
        <f>IF(L241=(pr_close+1),K276,K276*(1+pr_growth)*(1-pr_vol_share*IF(pr_decoupling=1,0,pr_usage))+K277+K279)</f>
        <v/>
      </c>
      <c r="M270" s="23">
        <f>IF(M241=(pr_close+1),L276,L276*(1+pr_growth)*(1-pr_vol_share*IF(pr_decoupling=1,0,pr_usage))+L277+L279)</f>
        <v/>
      </c>
      <c r="N270" s="23">
        <f>IF(N241=(pr_close+1),M276,M276*(1+pr_growth)*(1-pr_vol_share*IF(pr_decoupling=1,0,pr_usage))+M277+M279)</f>
        <v/>
      </c>
    </row>
    <row r="271">
      <c r="B271" s="2" t="inlineStr">
        <is>
          <t>Increase granted</t>
        </is>
      </c>
      <c r="C271" s="5" t="inlineStr">
        <is>
          <t>share</t>
        </is>
      </c>
      <c r="E271" s="20">
        <f>E269/E270-1</f>
        <v/>
      </c>
      <c r="F271" s="20">
        <f>F269/F270-1</f>
        <v/>
      </c>
      <c r="G271" s="20">
        <f>G269/G270-1</f>
        <v/>
      </c>
      <c r="H271" s="20">
        <f>H269/H270-1</f>
        <v/>
      </c>
      <c r="I271" s="20">
        <f>I269/I270-1</f>
        <v/>
      </c>
      <c r="J271" s="20">
        <f>J269/J270-1</f>
        <v/>
      </c>
      <c r="K271" s="20">
        <f>K269/K270-1</f>
        <v/>
      </c>
      <c r="L271" s="20">
        <f>L269/L270-1</f>
        <v/>
      </c>
      <c r="M271" s="20">
        <f>M269/M270-1</f>
        <v/>
      </c>
      <c r="N271" s="20">
        <f>N269/N270-1</f>
        <v/>
      </c>
    </row>
    <row r="272">
      <c r="B272" s="2" t="inlineStr">
        <is>
          <t>Revenue requirement requested (at the requested ROE)</t>
        </is>
      </c>
      <c r="C272" s="5" t="inlineStr">
        <is>
          <t>$ million</t>
        </is>
      </c>
      <c r="E272" s="23">
        <f>(pr_eq*pr_roe_ask+(1-pr_eq)*E260)*E259+pr_eq*pr_roe_ask*E259*pr_tax/(1-pr_tax)+E265+E266+E267</f>
        <v/>
      </c>
      <c r="F272" s="23">
        <f>(pr_eq*pr_roe_ask+(1-pr_eq)*F260)*F259+pr_eq*pr_roe_ask*F259*pr_tax/(1-pr_tax)+F265+F266+F267</f>
        <v/>
      </c>
      <c r="G272" s="23">
        <f>(pr_eq*pr_roe_ask+(1-pr_eq)*G260)*G259+pr_eq*pr_roe_ask*G259*pr_tax/(1-pr_tax)+G265+G266+G267</f>
        <v/>
      </c>
      <c r="H272" s="23">
        <f>(pr_eq*pr_roe_ask+(1-pr_eq)*H260)*H259+pr_eq*pr_roe_ask*H259*pr_tax/(1-pr_tax)+H265+H266+H267</f>
        <v/>
      </c>
      <c r="I272" s="23">
        <f>(pr_eq*pr_roe_ask+(1-pr_eq)*I260)*I259+pr_eq*pr_roe_ask*I259*pr_tax/(1-pr_tax)+I265+I266+I267</f>
        <v/>
      </c>
      <c r="J272" s="23">
        <f>(pr_eq*pr_roe_ask+(1-pr_eq)*J260)*J259+pr_eq*pr_roe_ask*J259*pr_tax/(1-pr_tax)+J265+J266+J267</f>
        <v/>
      </c>
      <c r="K272" s="23">
        <f>(pr_eq*pr_roe_ask+(1-pr_eq)*K260)*K259+pr_eq*pr_roe_ask*K259*pr_tax/(1-pr_tax)+K265+K266+K267</f>
        <v/>
      </c>
      <c r="L272" s="23">
        <f>(pr_eq*pr_roe_ask+(1-pr_eq)*L260)*L259+pr_eq*pr_roe_ask*L259*pr_tax/(1-pr_tax)+L265+L266+L267</f>
        <v/>
      </c>
      <c r="M272" s="23">
        <f>(pr_eq*pr_roe_ask+(1-pr_eq)*M260)*M259+pr_eq*pr_roe_ask*M259*pr_tax/(1-pr_tax)+M265+M266+M267</f>
        <v/>
      </c>
      <c r="N272" s="23">
        <f>(pr_eq*pr_roe_ask+(1-pr_eq)*N260)*N259+pr_eq*pr_roe_ask*N259*pr_tax/(1-pr_tax)+N265+N266+N267</f>
        <v/>
      </c>
    </row>
    <row r="273">
      <c r="B273" s="2" t="inlineStr">
        <is>
          <t>Increase requested</t>
        </is>
      </c>
      <c r="C273" s="5" t="inlineStr">
        <is>
          <t>share</t>
        </is>
      </c>
      <c r="E273" s="20">
        <f>E272*(1+pr_growth)/E270-1</f>
        <v/>
      </c>
      <c r="F273" s="20">
        <f>F272*(1+pr_growth)/F270-1</f>
        <v/>
      </c>
      <c r="G273" s="20">
        <f>G272*(1+pr_growth)/G270-1</f>
        <v/>
      </c>
      <c r="H273" s="20">
        <f>H272*(1+pr_growth)/H270-1</f>
        <v/>
      </c>
      <c r="I273" s="20">
        <f>I272*(1+pr_growth)/I270-1</f>
        <v/>
      </c>
      <c r="J273" s="20">
        <f>J272*(1+pr_growth)/J270-1</f>
        <v/>
      </c>
      <c r="K273" s="20">
        <f>K272*(1+pr_growth)/K270-1</f>
        <v/>
      </c>
      <c r="L273" s="20">
        <f>L272*(1+pr_growth)/L270-1</f>
        <v/>
      </c>
      <c r="M273" s="20">
        <f>M272*(1+pr_growth)/M270-1</f>
        <v/>
      </c>
      <c r="N273" s="20">
        <f>N272*(1+pr_growth)/N270-1</f>
        <v/>
      </c>
    </row>
    <row r="275">
      <c r="B275" s="6" t="inlineStr">
        <is>
          <t>Revenue ($ million)</t>
        </is>
      </c>
      <c r="C275" s="7" t="n"/>
      <c r="D275" s="7" t="n"/>
      <c r="E275" s="7" t="n"/>
      <c r="F275" s="7" t="n"/>
      <c r="G275" s="7" t="n"/>
      <c r="H275" s="7" t="n"/>
      <c r="I275" s="7" t="n"/>
      <c r="J275" s="7" t="n"/>
      <c r="K275" s="7" t="n"/>
      <c r="L275" s="7" t="n"/>
      <c r="M275" s="7" t="n"/>
      <c r="N275" s="7" t="n"/>
    </row>
    <row r="276">
      <c r="B276" s="2" t="inlineStr">
        <is>
          <t>Base revenue (rate case, or prior year x growth x volume erosion)</t>
        </is>
      </c>
      <c r="C276" s="5" t="inlineStr">
        <is>
          <t>$ million</t>
        </is>
      </c>
      <c r="D276" s="23">
        <f>pr_rev_2028/((1+pr_growth)*(1-pr_vol_share*IF(pr_decoupling=1,0,pr_usage)))</f>
        <v/>
      </c>
      <c r="E276" s="23">
        <f>IF(E256=1,E269,D276*(1+pr_growth)*(1-pr_vol_share*IF(pr_decoupling=1,0,pr_usage)))</f>
        <v/>
      </c>
      <c r="F276" s="23">
        <f>IF(F256=1,F269,E276*(1+pr_growth)*(1-pr_vol_share*IF(pr_decoupling=1,0,pr_usage)))</f>
        <v/>
      </c>
      <c r="G276" s="23">
        <f>IF(G256=1,G269,F276*(1+pr_growth)*(1-pr_vol_share*IF(pr_decoupling=1,0,pr_usage)))</f>
        <v/>
      </c>
      <c r="H276" s="23">
        <f>IF(H256=1,H269,G276*(1+pr_growth)*(1-pr_vol_share*IF(pr_decoupling=1,0,pr_usage)))</f>
        <v/>
      </c>
      <c r="I276" s="23">
        <f>IF(I256=1,I269,H276*(1+pr_growth)*(1-pr_vol_share*IF(pr_decoupling=1,0,pr_usage)))</f>
        <v/>
      </c>
      <c r="J276" s="23">
        <f>IF(J256=1,J269,I276*(1+pr_growth)*(1-pr_vol_share*IF(pr_decoupling=1,0,pr_usage)))</f>
        <v/>
      </c>
      <c r="K276" s="23">
        <f>IF(K256=1,K269,J276*(1+pr_growth)*(1-pr_vol_share*IF(pr_decoupling=1,0,pr_usage)))</f>
        <v/>
      </c>
      <c r="L276" s="23">
        <f>IF(L256=1,L269,K276*(1+pr_growth)*(1-pr_vol_share*IF(pr_decoupling=1,0,pr_usage)))</f>
        <v/>
      </c>
      <c r="M276" s="23">
        <f>IF(M256=1,M269,L276*(1+pr_growth)*(1-pr_vol_share*IF(pr_decoupling=1,0,pr_usage)))</f>
        <v/>
      </c>
      <c r="N276" s="23">
        <f>IF(N256=1,N269,M276*(1+pr_growth)*(1-pr_vol_share*IF(pr_decoupling=1,0,pr_usage)))</f>
        <v/>
      </c>
    </row>
    <row r="277">
      <c r="B277" s="2" t="inlineStr">
        <is>
          <t>Fennick revenue at its old rates (until the next rate case)</t>
        </is>
      </c>
      <c r="C277" s="5" t="inlineStr">
        <is>
          <t>$ million</t>
        </is>
      </c>
      <c r="E277" s="23">
        <f>IF(AND(pr_fen_on=1,E241&gt;pr_fen_year,SUMIFS($D$256:E$256,$D$241:E$241,"&gt;"&amp;pr_fen_year)=0),pr_fen_rev,0)</f>
        <v/>
      </c>
      <c r="F277" s="23">
        <f>IF(AND(pr_fen_on=1,F241&gt;pr_fen_year,SUMIFS($D$256:F$256,$D$241:F$241,"&gt;"&amp;pr_fen_year)=0),pr_fen_rev,0)</f>
        <v/>
      </c>
      <c r="G277" s="23">
        <f>IF(AND(pr_fen_on=1,G241&gt;pr_fen_year,SUMIFS($D$256:G$256,$D$241:G$241,"&gt;"&amp;pr_fen_year)=0),pr_fen_rev,0)</f>
        <v/>
      </c>
      <c r="H277" s="23">
        <f>IF(AND(pr_fen_on=1,H241&gt;pr_fen_year,SUMIFS($D$256:H$256,$D$241:H$241,"&gt;"&amp;pr_fen_year)=0),pr_fen_rev,0)</f>
        <v/>
      </c>
      <c r="I277" s="23">
        <f>IF(AND(pr_fen_on=1,I241&gt;pr_fen_year,SUMIFS($D$256:I$256,$D$241:I$241,"&gt;"&amp;pr_fen_year)=0),pr_fen_rev,0)</f>
        <v/>
      </c>
      <c r="J277" s="23">
        <f>IF(AND(pr_fen_on=1,J241&gt;pr_fen_year,SUMIFS($D$256:J$256,$D$241:J$241,"&gt;"&amp;pr_fen_year)=0),pr_fen_rev,0)</f>
        <v/>
      </c>
      <c r="K277" s="23">
        <f>IF(AND(pr_fen_on=1,K241&gt;pr_fen_year,SUMIFS($D$256:K$256,$D$241:K$241,"&gt;"&amp;pr_fen_year)=0),pr_fen_rev,0)</f>
        <v/>
      </c>
      <c r="L277" s="23">
        <f>IF(AND(pr_fen_on=1,L241&gt;pr_fen_year,SUMIFS($D$256:L$256,$D$241:L$241,"&gt;"&amp;pr_fen_year)=0),pr_fen_rev,0)</f>
        <v/>
      </c>
      <c r="M277" s="23">
        <f>IF(AND(pr_fen_on=1,M241&gt;pr_fen_year,SUMIFS($D$256:M$256,$D$241:M$241,"&gt;"&amp;pr_fen_year)=0),pr_fen_rev,0)</f>
        <v/>
      </c>
      <c r="N277" s="23">
        <f>IF(AND(pr_fen_on=1,N241&gt;pr_fen_year,SUMIFS($D$256:N$256,$D$241:N$241,"&gt;"&amp;pr_fen_year)=0),pr_fen_rev,0)</f>
        <v/>
      </c>
    </row>
    <row r="278">
      <c r="B278" s="2" t="inlineStr">
        <is>
          <t>DSIC pool: eligible plant since the latest test year</t>
        </is>
      </c>
      <c r="C278" s="5" t="inlineStr">
        <is>
          <t>$ million</t>
        </is>
      </c>
      <c r="E278" s="23">
        <f>IF(E241=(pr_close+1),0,SUMIFS($D$253:D$253,$D$241:D$241,"&gt;"&amp;E258))</f>
        <v/>
      </c>
      <c r="F278" s="23">
        <f>IF(F241=(pr_close+1),0,SUMIFS($D$253:E$253,$D$241:E$241,"&gt;"&amp;F258))</f>
        <v/>
      </c>
      <c r="G278" s="23">
        <f>IF(G241=(pr_close+1),0,SUMIFS($D$253:F$253,$D$241:F$241,"&gt;"&amp;G258))</f>
        <v/>
      </c>
      <c r="H278" s="23">
        <f>IF(H241=(pr_close+1),0,SUMIFS($D$253:G$253,$D$241:G$241,"&gt;"&amp;H258))</f>
        <v/>
      </c>
      <c r="I278" s="23">
        <f>IF(I241=(pr_close+1),0,SUMIFS($D$253:H$253,$D$241:H$241,"&gt;"&amp;I258))</f>
        <v/>
      </c>
      <c r="J278" s="23">
        <f>IF(J241=(pr_close+1),0,SUMIFS($D$253:I$253,$D$241:I$241,"&gt;"&amp;J258))</f>
        <v/>
      </c>
      <c r="K278" s="23">
        <f>IF(K241=(pr_close+1),0,SUMIFS($D$253:J$253,$D$241:J$241,"&gt;"&amp;K258))</f>
        <v/>
      </c>
      <c r="L278" s="23">
        <f>IF(L241=(pr_close+1),0,SUMIFS($D$253:K$253,$D$241:K$241,"&gt;"&amp;L258))</f>
        <v/>
      </c>
      <c r="M278" s="23">
        <f>IF(M241=(pr_close+1),0,SUMIFS($D$253:L$253,$D$241:L$241,"&gt;"&amp;M258))</f>
        <v/>
      </c>
      <c r="N278" s="23">
        <f>IF(N241=(pr_close+1),0,SUMIFS($D$253:M$253,$D$241:M$241,"&gt;"&amp;N258))</f>
        <v/>
      </c>
    </row>
    <row r="279">
      <c r="B279" s="2" t="inlineStr">
        <is>
          <t>DSIC surcharge (capped)</t>
        </is>
      </c>
      <c r="C279" s="5" t="inlineStr">
        <is>
          <t>$ million</t>
        </is>
      </c>
      <c r="E279" s="23">
        <f>IF(AND(pr_dsic=1,E241&gt;(pr_close+1)),MIN(pr_dsic_cap*E276,E278*((pr_eq*pr_roe+(1-pr_eq)*D302)+(pr_eq*pr_roe*pr_tax/(1-pr_tax))+pr_dep)),0)</f>
        <v/>
      </c>
      <c r="F279" s="23">
        <f>IF(AND(pr_dsic=1,F241&gt;(pr_close+1)),MIN(pr_dsic_cap*F276,F278*((pr_eq*pr_roe+(1-pr_eq)*E302)+(pr_eq*pr_roe*pr_tax/(1-pr_tax))+pr_dep)),0)</f>
        <v/>
      </c>
      <c r="G279" s="23">
        <f>IF(AND(pr_dsic=1,G241&gt;(pr_close+1)),MIN(pr_dsic_cap*G276,G278*((pr_eq*pr_roe+(1-pr_eq)*F302)+(pr_eq*pr_roe*pr_tax/(1-pr_tax))+pr_dep)),0)</f>
        <v/>
      </c>
      <c r="H279" s="23">
        <f>IF(AND(pr_dsic=1,H241&gt;(pr_close+1)),MIN(pr_dsic_cap*H276,H278*((pr_eq*pr_roe+(1-pr_eq)*G302)+(pr_eq*pr_roe*pr_tax/(1-pr_tax))+pr_dep)),0)</f>
        <v/>
      </c>
      <c r="I279" s="23">
        <f>IF(AND(pr_dsic=1,I241&gt;(pr_close+1)),MIN(pr_dsic_cap*I276,I278*((pr_eq*pr_roe+(1-pr_eq)*H302)+(pr_eq*pr_roe*pr_tax/(1-pr_tax))+pr_dep)),0)</f>
        <v/>
      </c>
      <c r="J279" s="23">
        <f>IF(AND(pr_dsic=1,J241&gt;(pr_close+1)),MIN(pr_dsic_cap*J276,J278*((pr_eq*pr_roe+(1-pr_eq)*I302)+(pr_eq*pr_roe*pr_tax/(1-pr_tax))+pr_dep)),0)</f>
        <v/>
      </c>
      <c r="K279" s="23">
        <f>IF(AND(pr_dsic=1,K241&gt;(pr_close+1)),MIN(pr_dsic_cap*K276,K278*((pr_eq*pr_roe+(1-pr_eq)*J302)+(pr_eq*pr_roe*pr_tax/(1-pr_tax))+pr_dep)),0)</f>
        <v/>
      </c>
      <c r="L279" s="23">
        <f>IF(AND(pr_dsic=1,L241&gt;(pr_close+1)),MIN(pr_dsic_cap*L276,L278*((pr_eq*pr_roe+(1-pr_eq)*K302)+(pr_eq*pr_roe*pr_tax/(1-pr_tax))+pr_dep)),0)</f>
        <v/>
      </c>
      <c r="M279" s="23">
        <f>IF(AND(pr_dsic=1,M241&gt;(pr_close+1)),MIN(pr_dsic_cap*M276,M278*((pr_eq*pr_roe+(1-pr_eq)*L302)+(pr_eq*pr_roe*pr_tax/(1-pr_tax))+pr_dep)),0)</f>
        <v/>
      </c>
      <c r="N279" s="23">
        <f>IF(AND(pr_dsic=1,N241&gt;(pr_close+1)),MIN(pr_dsic_cap*N276,N278*((pr_eq*pr_roe+(1-pr_eq)*M302)+(pr_eq*pr_roe*pr_tax/(1-pr_tax))+pr_dep)),0)</f>
        <v/>
      </c>
    </row>
    <row r="280">
      <c r="B280" s="3" t="inlineStr">
        <is>
          <t>Revenue</t>
        </is>
      </c>
      <c r="C280" s="5" t="inlineStr">
        <is>
          <t>$ million</t>
        </is>
      </c>
      <c r="E280" s="23">
        <f>E276+E277+E279</f>
        <v/>
      </c>
      <c r="F280" s="23">
        <f>F276+F277+F279</f>
        <v/>
      </c>
      <c r="G280" s="23">
        <f>G276+G277+G279</f>
        <v/>
      </c>
      <c r="H280" s="23">
        <f>H276+H277+H279</f>
        <v/>
      </c>
      <c r="I280" s="23">
        <f>I276+I277+I279</f>
        <v/>
      </c>
      <c r="J280" s="23">
        <f>J276+J277+J279</f>
        <v/>
      </c>
      <c r="K280" s="23">
        <f>K276+K277+K279</f>
        <v/>
      </c>
      <c r="L280" s="23">
        <f>L276+L277+L279</f>
        <v/>
      </c>
      <c r="M280" s="23">
        <f>M276+M277+M279</f>
        <v/>
      </c>
      <c r="N280" s="23">
        <f>N276+N277+N279</f>
        <v/>
      </c>
    </row>
    <row r="282">
      <c r="B282" s="6" t="inlineStr">
        <is>
          <t>Costs and income ($ million)</t>
        </is>
      </c>
      <c r="C282" s="7" t="n"/>
      <c r="D282" s="7" t="n"/>
      <c r="E282" s="7" t="n"/>
      <c r="F282" s="7" t="n"/>
      <c r="G282" s="7" t="n"/>
      <c r="H282" s="7" t="n"/>
      <c r="I282" s="7" t="n"/>
      <c r="J282" s="7" t="n"/>
      <c r="K282" s="7" t="n"/>
      <c r="L282" s="7" t="n"/>
      <c r="M282" s="7" t="n"/>
      <c r="N282" s="7" t="n"/>
    </row>
    <row r="283">
      <c r="B283" s="2" t="inlineStr">
        <is>
          <t>Operation and maintenance (with PFAS and Fennick)</t>
        </is>
      </c>
      <c r="C283" s="5" t="inlineStr">
        <is>
          <t>$ million</t>
        </is>
      </c>
      <c r="D283" s="23">
        <f>pr_om_2028/((1+pr_om_infl)*(1+pr_growth))</f>
        <v/>
      </c>
      <c r="E283" s="23">
        <f>pr_om_2028*((1+pr_om_infl)*(1+pr_growth))^E242+IF(E241&gt;=pr_pfas_om_y+pr_pfas_delay,pr_pfas_om*(1+pr_pfas_om_esc)^(E241-pr_pfas_om_y),0)+IF(AND(pr_fen_on=1,E241&gt;pr_fen_year),pr_fen_om*(1+pr_fen_esc)^(E241-pr_fen_year-1),0)</f>
        <v/>
      </c>
      <c r="F283" s="23">
        <f>pr_om_2028*((1+pr_om_infl)*(1+pr_growth))^F242+IF(F241&gt;=pr_pfas_om_y+pr_pfas_delay,pr_pfas_om*(1+pr_pfas_om_esc)^(F241-pr_pfas_om_y),0)+IF(AND(pr_fen_on=1,F241&gt;pr_fen_year),pr_fen_om*(1+pr_fen_esc)^(F241-pr_fen_year-1),0)</f>
        <v/>
      </c>
      <c r="G283" s="23">
        <f>pr_om_2028*((1+pr_om_infl)*(1+pr_growth))^G242+IF(G241&gt;=pr_pfas_om_y+pr_pfas_delay,pr_pfas_om*(1+pr_pfas_om_esc)^(G241-pr_pfas_om_y),0)+IF(AND(pr_fen_on=1,G241&gt;pr_fen_year),pr_fen_om*(1+pr_fen_esc)^(G241-pr_fen_year-1),0)</f>
        <v/>
      </c>
      <c r="H283" s="23">
        <f>pr_om_2028*((1+pr_om_infl)*(1+pr_growth))^H242+IF(H241&gt;=pr_pfas_om_y+pr_pfas_delay,pr_pfas_om*(1+pr_pfas_om_esc)^(H241-pr_pfas_om_y),0)+IF(AND(pr_fen_on=1,H241&gt;pr_fen_year),pr_fen_om*(1+pr_fen_esc)^(H241-pr_fen_year-1),0)</f>
        <v/>
      </c>
      <c r="I283" s="23">
        <f>pr_om_2028*((1+pr_om_infl)*(1+pr_growth))^I242+IF(I241&gt;=pr_pfas_om_y+pr_pfas_delay,pr_pfas_om*(1+pr_pfas_om_esc)^(I241-pr_pfas_om_y),0)+IF(AND(pr_fen_on=1,I241&gt;pr_fen_year),pr_fen_om*(1+pr_fen_esc)^(I241-pr_fen_year-1),0)</f>
        <v/>
      </c>
      <c r="J283" s="23">
        <f>pr_om_2028*((1+pr_om_infl)*(1+pr_growth))^J242+IF(J241&gt;=pr_pfas_om_y+pr_pfas_delay,pr_pfas_om*(1+pr_pfas_om_esc)^(J241-pr_pfas_om_y),0)+IF(AND(pr_fen_on=1,J241&gt;pr_fen_year),pr_fen_om*(1+pr_fen_esc)^(J241-pr_fen_year-1),0)</f>
        <v/>
      </c>
      <c r="K283" s="23">
        <f>pr_om_2028*((1+pr_om_infl)*(1+pr_growth))^K242+IF(K241&gt;=pr_pfas_om_y+pr_pfas_delay,pr_pfas_om*(1+pr_pfas_om_esc)^(K241-pr_pfas_om_y),0)+IF(AND(pr_fen_on=1,K241&gt;pr_fen_year),pr_fen_om*(1+pr_fen_esc)^(K241-pr_fen_year-1),0)</f>
        <v/>
      </c>
      <c r="L283" s="23">
        <f>pr_om_2028*((1+pr_om_infl)*(1+pr_growth))^L242+IF(L241&gt;=pr_pfas_om_y+pr_pfas_delay,pr_pfas_om*(1+pr_pfas_om_esc)^(L241-pr_pfas_om_y),0)+IF(AND(pr_fen_on=1,L241&gt;pr_fen_year),pr_fen_om*(1+pr_fen_esc)^(L241-pr_fen_year-1),0)</f>
        <v/>
      </c>
      <c r="M283" s="23">
        <f>pr_om_2028*((1+pr_om_infl)*(1+pr_growth))^M242+IF(M241&gt;=pr_pfas_om_y+pr_pfas_delay,pr_pfas_om*(1+pr_pfas_om_esc)^(M241-pr_pfas_om_y),0)+IF(AND(pr_fen_on=1,M241&gt;pr_fen_year),pr_fen_om*(1+pr_fen_esc)^(M241-pr_fen_year-1),0)</f>
        <v/>
      </c>
      <c r="N283" s="23">
        <f>pr_om_2028*((1+pr_om_infl)*(1+pr_growth))^N242+IF(N241&gt;=pr_pfas_om_y+pr_pfas_delay,pr_pfas_om*(1+pr_pfas_om_esc)^(N241-pr_pfas_om_y),0)+IF(AND(pr_fen_on=1,N241&gt;pr_fen_year),pr_fen_om*(1+pr_fen_esc)^(N241-pr_fen_year-1),0)</f>
        <v/>
      </c>
    </row>
    <row r="284">
      <c r="B284" s="2" t="inlineStr">
        <is>
          <t>Customer-side lead cost expensed</t>
        </is>
      </c>
      <c r="C284" s="5" t="inlineStr">
        <is>
          <t>$ million</t>
        </is>
      </c>
      <c r="E284" s="23">
        <f>pr_lead_exp*E250*pr_lead_cust</f>
        <v/>
      </c>
      <c r="F284" s="23">
        <f>pr_lead_exp*F250*pr_lead_cust</f>
        <v/>
      </c>
      <c r="G284" s="23">
        <f>pr_lead_exp*G250*pr_lead_cust</f>
        <v/>
      </c>
      <c r="H284" s="23">
        <f>pr_lead_exp*H250*pr_lead_cust</f>
        <v/>
      </c>
      <c r="I284" s="23">
        <f>pr_lead_exp*I250*pr_lead_cust</f>
        <v/>
      </c>
      <c r="J284" s="23">
        <f>pr_lead_exp*J250*pr_lead_cust</f>
        <v/>
      </c>
      <c r="K284" s="23">
        <f>pr_lead_exp*K250*pr_lead_cust</f>
        <v/>
      </c>
      <c r="L284" s="23">
        <f>pr_lead_exp*L250*pr_lead_cust</f>
        <v/>
      </c>
      <c r="M284" s="23">
        <f>pr_lead_exp*M250*pr_lead_cust</f>
        <v/>
      </c>
      <c r="N284" s="23">
        <f>pr_lead_exp*N250*pr_lead_cust</f>
        <v/>
      </c>
    </row>
    <row r="285">
      <c r="B285" s="2" t="inlineStr">
        <is>
          <t>Other taxes</t>
        </is>
      </c>
      <c r="C285" s="5" t="inlineStr">
        <is>
          <t>$ million</t>
        </is>
      </c>
      <c r="E285" s="23">
        <f>pr_ptax*E294</f>
        <v/>
      </c>
      <c r="F285" s="23">
        <f>pr_ptax*F294</f>
        <v/>
      </c>
      <c r="G285" s="23">
        <f>pr_ptax*G294</f>
        <v/>
      </c>
      <c r="H285" s="23">
        <f>pr_ptax*H294</f>
        <v/>
      </c>
      <c r="I285" s="23">
        <f>pr_ptax*I294</f>
        <v/>
      </c>
      <c r="J285" s="23">
        <f>pr_ptax*J294</f>
        <v/>
      </c>
      <c r="K285" s="23">
        <f>pr_ptax*K294</f>
        <v/>
      </c>
      <c r="L285" s="23">
        <f>pr_ptax*L294</f>
        <v/>
      </c>
      <c r="M285" s="23">
        <f>pr_ptax*M294</f>
        <v/>
      </c>
      <c r="N285" s="23">
        <f>pr_ptax*N294</f>
        <v/>
      </c>
    </row>
    <row r="286">
      <c r="B286" s="2" t="inlineStr">
        <is>
          <t>EBITDA</t>
        </is>
      </c>
      <c r="C286" s="5" t="inlineStr">
        <is>
          <t>$ million</t>
        </is>
      </c>
      <c r="E286" s="23">
        <f>E280-E283-E285-E284</f>
        <v/>
      </c>
      <c r="F286" s="23">
        <f>F280-F283-F285-F284</f>
        <v/>
      </c>
      <c r="G286" s="23">
        <f>G280-G283-G285-G284</f>
        <v/>
      </c>
      <c r="H286" s="23">
        <f>H280-H283-H285-H284</f>
        <v/>
      </c>
      <c r="I286" s="23">
        <f>I280-I283-I285-I284</f>
        <v/>
      </c>
      <c r="J286" s="23">
        <f>J280-J283-J285-J284</f>
        <v/>
      </c>
      <c r="K286" s="23">
        <f>K280-K283-K285-K284</f>
        <v/>
      </c>
      <c r="L286" s="23">
        <f>L280-L283-L285-L284</f>
        <v/>
      </c>
      <c r="M286" s="23">
        <f>M280-M283-M285-M284</f>
        <v/>
      </c>
      <c r="N286" s="23">
        <f>N280-N283-N285-N284</f>
        <v/>
      </c>
    </row>
    <row r="287">
      <c r="B287" s="2" t="inlineStr">
        <is>
          <t>Depreciation</t>
        </is>
      </c>
      <c r="C287" s="5" t="inlineStr">
        <is>
          <t>$ million</t>
        </is>
      </c>
      <c r="E287" s="23">
        <f>pr_dep*E294</f>
        <v/>
      </c>
      <c r="F287" s="23">
        <f>pr_dep*F294</f>
        <v/>
      </c>
      <c r="G287" s="23">
        <f>pr_dep*G294</f>
        <v/>
      </c>
      <c r="H287" s="23">
        <f>pr_dep*H294</f>
        <v/>
      </c>
      <c r="I287" s="23">
        <f>pr_dep*I294</f>
        <v/>
      </c>
      <c r="J287" s="23">
        <f>pr_dep*J294</f>
        <v/>
      </c>
      <c r="K287" s="23">
        <f>pr_dep*K294</f>
        <v/>
      </c>
      <c r="L287" s="23">
        <f>pr_dep*L294</f>
        <v/>
      </c>
      <c r="M287" s="23">
        <f>pr_dep*M294</f>
        <v/>
      </c>
      <c r="N287" s="23">
        <f>pr_dep*N294</f>
        <v/>
      </c>
    </row>
    <row r="288">
      <c r="B288" s="2" t="inlineStr">
        <is>
          <t>Interest (average of opening and closing debt)</t>
        </is>
      </c>
      <c r="C288" s="5" t="inlineStr">
        <is>
          <t>$ million</t>
        </is>
      </c>
      <c r="E288" s="23">
        <f>0.5*(D300*D302+E300*E302)</f>
        <v/>
      </c>
      <c r="F288" s="23">
        <f>0.5*(E300*E302+F300*F302)</f>
        <v/>
      </c>
      <c r="G288" s="23">
        <f>0.5*(F300*F302+G300*G302)</f>
        <v/>
      </c>
      <c r="H288" s="23">
        <f>0.5*(G300*G302+H300*H302)</f>
        <v/>
      </c>
      <c r="I288" s="23">
        <f>0.5*(H300*H302+I300*I302)</f>
        <v/>
      </c>
      <c r="J288" s="23">
        <f>0.5*(I300*I302+J300*J302)</f>
        <v/>
      </c>
      <c r="K288" s="23">
        <f>0.5*(J300*J302+K300*K302)</f>
        <v/>
      </c>
      <c r="L288" s="23">
        <f>0.5*(K300*K302+L300*L302)</f>
        <v/>
      </c>
      <c r="M288" s="23">
        <f>0.5*(L300*L302+M300*M302)</f>
        <v/>
      </c>
      <c r="N288" s="23">
        <f>0.5*(M300*M302+N300*N302)</f>
        <v/>
      </c>
    </row>
    <row r="289">
      <c r="B289" s="2" t="inlineStr">
        <is>
          <t>Income before tax</t>
        </is>
      </c>
      <c r="C289" s="5" t="inlineStr">
        <is>
          <t>$ million</t>
        </is>
      </c>
      <c r="E289" s="23">
        <f>E286-E287-E288</f>
        <v/>
      </c>
      <c r="F289" s="23">
        <f>F286-F287-F288</f>
        <v/>
      </c>
      <c r="G289" s="23">
        <f>G286-G287-G288</f>
        <v/>
      </c>
      <c r="H289" s="23">
        <f>H286-H287-H288</f>
        <v/>
      </c>
      <c r="I289" s="23">
        <f>I286-I287-I288</f>
        <v/>
      </c>
      <c r="J289" s="23">
        <f>J286-J287-J288</f>
        <v/>
      </c>
      <c r="K289" s="23">
        <f>K286-K287-K288</f>
        <v/>
      </c>
      <c r="L289" s="23">
        <f>L286-L287-L288</f>
        <v/>
      </c>
      <c r="M289" s="23">
        <f>M286-M287-M288</f>
        <v/>
      </c>
      <c r="N289" s="23">
        <f>N286-N287-N288</f>
        <v/>
      </c>
    </row>
    <row r="290">
      <c r="B290" s="2" t="inlineStr">
        <is>
          <t>Income tax</t>
        </is>
      </c>
      <c r="C290" s="5" t="inlineStr">
        <is>
          <t>$ million</t>
        </is>
      </c>
      <c r="E290" s="23">
        <f>pr_tax*E289</f>
        <v/>
      </c>
      <c r="F290" s="23">
        <f>pr_tax*F289</f>
        <v/>
      </c>
      <c r="G290" s="23">
        <f>pr_tax*G289</f>
        <v/>
      </c>
      <c r="H290" s="23">
        <f>pr_tax*H289</f>
        <v/>
      </c>
      <c r="I290" s="23">
        <f>pr_tax*I289</f>
        <v/>
      </c>
      <c r="J290" s="23">
        <f>pr_tax*J289</f>
        <v/>
      </c>
      <c r="K290" s="23">
        <f>pr_tax*K289</f>
        <v/>
      </c>
      <c r="L290" s="23">
        <f>pr_tax*L289</f>
        <v/>
      </c>
      <c r="M290" s="23">
        <f>pr_tax*M289</f>
        <v/>
      </c>
      <c r="N290" s="23">
        <f>pr_tax*N289</f>
        <v/>
      </c>
    </row>
    <row r="291">
      <c r="B291" s="3" t="inlineStr">
        <is>
          <t>Net income</t>
        </is>
      </c>
      <c r="C291" s="5" t="inlineStr">
        <is>
          <t>$ million</t>
        </is>
      </c>
      <c r="E291" s="23">
        <f>E289-E290</f>
        <v/>
      </c>
      <c r="F291" s="23">
        <f>F289-F290</f>
        <v/>
      </c>
      <c r="G291" s="23">
        <f>G289-G290</f>
        <v/>
      </c>
      <c r="H291" s="23">
        <f>H289-H290</f>
        <v/>
      </c>
      <c r="I291" s="23">
        <f>I289-I290</f>
        <v/>
      </c>
      <c r="J291" s="23">
        <f>J289-J290</f>
        <v/>
      </c>
      <c r="K291" s="23">
        <f>K289-K290</f>
        <v/>
      </c>
      <c r="L291" s="23">
        <f>L289-L290</f>
        <v/>
      </c>
      <c r="M291" s="23">
        <f>M289-M290</f>
        <v/>
      </c>
      <c r="N291" s="23">
        <f>N289-N290</f>
        <v/>
      </c>
    </row>
    <row r="293">
      <c r="B293" s="6" t="inlineStr">
        <is>
          <t>Rate base and debt ($ million)</t>
        </is>
      </c>
      <c r="C293" s="7" t="n"/>
      <c r="D293" s="7" t="n"/>
      <c r="E293" s="7" t="n"/>
      <c r="F293" s="7" t="n"/>
      <c r="G293" s="7" t="n"/>
      <c r="H293" s="7" t="n"/>
      <c r="I293" s="7" t="n"/>
      <c r="J293" s="7" t="n"/>
      <c r="K293" s="7" t="n"/>
      <c r="L293" s="7" t="n"/>
      <c r="M293" s="7" t="n"/>
      <c r="N293" s="7" t="n"/>
    </row>
    <row r="294">
      <c r="B294" s="2" t="inlineStr">
        <is>
          <t>Opening rate base</t>
        </is>
      </c>
      <c r="C294" s="5" t="inlineStr">
        <is>
          <t>$ million</t>
        </is>
      </c>
      <c r="E294" s="23">
        <f>D298</f>
        <v/>
      </c>
      <c r="F294" s="23">
        <f>E298</f>
        <v/>
      </c>
      <c r="G294" s="23">
        <f>F298</f>
        <v/>
      </c>
      <c r="H294" s="23">
        <f>G298</f>
        <v/>
      </c>
      <c r="I294" s="23">
        <f>H298</f>
        <v/>
      </c>
      <c r="J294" s="23">
        <f>I298</f>
        <v/>
      </c>
      <c r="K294" s="23">
        <f>J298</f>
        <v/>
      </c>
      <c r="L294" s="23">
        <f>K298</f>
        <v/>
      </c>
      <c r="M294" s="23">
        <f>L298</f>
        <v/>
      </c>
      <c r="N294" s="23">
        <f>M298</f>
        <v/>
      </c>
    </row>
    <row r="295">
      <c r="B295" s="2" t="inlineStr">
        <is>
          <t>Spending disallowed (never in rate base)</t>
        </is>
      </c>
      <c r="C295" s="5" t="inlineStr">
        <is>
          <t>$ million</t>
        </is>
      </c>
      <c r="E295" s="23">
        <f>pr_disallow*(E249+E250-E284)</f>
        <v/>
      </c>
      <c r="F295" s="23">
        <f>pr_disallow*(F249+F250-F284)</f>
        <v/>
      </c>
      <c r="G295" s="23">
        <f>pr_disallow*(G249+G250-G284)</f>
        <v/>
      </c>
      <c r="H295" s="23">
        <f>pr_disallow*(H249+H250-H284)</f>
        <v/>
      </c>
      <c r="I295" s="23">
        <f>pr_disallow*(I249+I250-I284)</f>
        <v/>
      </c>
      <c r="J295" s="23">
        <f>pr_disallow*(J249+J250-J284)</f>
        <v/>
      </c>
      <c r="K295" s="23">
        <f>pr_disallow*(K249+K250-K284)</f>
        <v/>
      </c>
      <c r="L295" s="23">
        <f>pr_disallow*(L249+L250-L284)</f>
        <v/>
      </c>
      <c r="M295" s="23">
        <f>pr_disallow*(M249+M250-M284)</f>
        <v/>
      </c>
      <c r="N295" s="23">
        <f>pr_disallow*(N249+N250-N284)</f>
        <v/>
      </c>
    </row>
    <row r="296">
      <c r="B296" s="2" t="inlineStr">
        <is>
          <t>Acquisitions (Fennick at its price)</t>
        </is>
      </c>
      <c r="C296" s="5" t="inlineStr">
        <is>
          <t>$ million</t>
        </is>
      </c>
      <c r="E296" s="23">
        <f>IF(AND(pr_fen_on=1,E241=pr_fen_year),pr_fen_price,0)</f>
        <v/>
      </c>
      <c r="F296" s="23">
        <f>IF(AND(pr_fen_on=1,F241=pr_fen_year),pr_fen_price,0)</f>
        <v/>
      </c>
      <c r="G296" s="23">
        <f>IF(AND(pr_fen_on=1,G241=pr_fen_year),pr_fen_price,0)</f>
        <v/>
      </c>
      <c r="H296" s="23">
        <f>IF(AND(pr_fen_on=1,H241=pr_fen_year),pr_fen_price,0)</f>
        <v/>
      </c>
      <c r="I296" s="23">
        <f>IF(AND(pr_fen_on=1,I241=pr_fen_year),pr_fen_price,0)</f>
        <v/>
      </c>
      <c r="J296" s="23">
        <f>IF(AND(pr_fen_on=1,J241=pr_fen_year),pr_fen_price,0)</f>
        <v/>
      </c>
      <c r="K296" s="23">
        <f>IF(AND(pr_fen_on=1,K241=pr_fen_year),pr_fen_price,0)</f>
        <v/>
      </c>
      <c r="L296" s="23">
        <f>IF(AND(pr_fen_on=1,L241=pr_fen_year),pr_fen_price,0)</f>
        <v/>
      </c>
      <c r="M296" s="23">
        <f>IF(AND(pr_fen_on=1,M241=pr_fen_year),pr_fen_price,0)</f>
        <v/>
      </c>
      <c r="N296" s="23">
        <f>IF(AND(pr_fen_on=1,N241=pr_fen_year),pr_fen_price,0)</f>
        <v/>
      </c>
    </row>
    <row r="297">
      <c r="B297" s="2" t="inlineStr">
        <is>
          <t>Settlement credited against rate base</t>
        </is>
      </c>
      <c r="C297" s="5" t="inlineStr">
        <is>
          <t>$ million</t>
        </is>
      </c>
      <c r="E297" s="23">
        <f>IF(E241=pr_settle_y,pr_settle,0)</f>
        <v/>
      </c>
      <c r="F297" s="23">
        <f>IF(F241=pr_settle_y,pr_settle,0)</f>
        <v/>
      </c>
      <c r="G297" s="23">
        <f>IF(G241=pr_settle_y,pr_settle,0)</f>
        <v/>
      </c>
      <c r="H297" s="23">
        <f>IF(H241=pr_settle_y,pr_settle,0)</f>
        <v/>
      </c>
      <c r="I297" s="23">
        <f>IF(I241=pr_settle_y,pr_settle,0)</f>
        <v/>
      </c>
      <c r="J297" s="23">
        <f>IF(J241=pr_settle_y,pr_settle,0)</f>
        <v/>
      </c>
      <c r="K297" s="23">
        <f>IF(K241=pr_settle_y,pr_settle,0)</f>
        <v/>
      </c>
      <c r="L297" s="23">
        <f>IF(L241=pr_settle_y,pr_settle,0)</f>
        <v/>
      </c>
      <c r="M297" s="23">
        <f>IF(M241=pr_settle_y,pr_settle,0)</f>
        <v/>
      </c>
      <c r="N297" s="23">
        <f>IF(N241=pr_settle_y,pr_settle,0)</f>
        <v/>
      </c>
    </row>
    <row r="298">
      <c r="B298" s="3" t="inlineStr">
        <is>
          <t>Closing rate base</t>
        </is>
      </c>
      <c r="C298" s="5" t="inlineStr">
        <is>
          <t>$ million</t>
        </is>
      </c>
      <c r="D298" s="23">
        <f>pr_rb0</f>
        <v/>
      </c>
      <c r="E298" s="23">
        <f>E294+E252-E284-E295+E296-E287-E297</f>
        <v/>
      </c>
      <c r="F298" s="23">
        <f>F294+F252-F284-F295+F296-F287-F297</f>
        <v/>
      </c>
      <c r="G298" s="23">
        <f>G294+G252-G284-G295+G296-G287-G297</f>
        <v/>
      </c>
      <c r="H298" s="23">
        <f>H294+H252-H284-H295+H296-H287-H297</f>
        <v/>
      </c>
      <c r="I298" s="23">
        <f>I294+I252-I284-I295+I296-I287-I297</f>
        <v/>
      </c>
      <c r="J298" s="23">
        <f>J294+J252-J284-J295+J296-J287-J297</f>
        <v/>
      </c>
      <c r="K298" s="23">
        <f>K294+K252-K284-K295+K296-K287-K297</f>
        <v/>
      </c>
      <c r="L298" s="23">
        <f>L294+L252-L284-L295+L296-L287-L297</f>
        <v/>
      </c>
      <c r="M298" s="23">
        <f>M294+M252-M284-M295+M296-M287-M297</f>
        <v/>
      </c>
      <c r="N298" s="23">
        <f>N294+N252-N284-N295+N296-N287-N297</f>
        <v/>
      </c>
    </row>
    <row r="299">
      <c r="B299" s="2" t="inlineStr">
        <is>
          <t>Original bonds outstanding</t>
        </is>
      </c>
      <c r="C299" s="5" t="inlineStr">
        <is>
          <t>$ million</t>
        </is>
      </c>
      <c r="D299" s="23">
        <f>(1-pr_eq)*pr_rb0</f>
        <v/>
      </c>
      <c r="E299" s="23">
        <f>MAX(0,D299-pr_amort*(1-pr_eq)*pr_rb0)</f>
        <v/>
      </c>
      <c r="F299" s="23">
        <f>MAX(0,E299-pr_amort*(1-pr_eq)*pr_rb0)</f>
        <v/>
      </c>
      <c r="G299" s="23">
        <f>MAX(0,F299-pr_amort*(1-pr_eq)*pr_rb0)</f>
        <v/>
      </c>
      <c r="H299" s="23">
        <f>MAX(0,G299-pr_amort*(1-pr_eq)*pr_rb0)</f>
        <v/>
      </c>
      <c r="I299" s="23">
        <f>MAX(0,H299-pr_amort*(1-pr_eq)*pr_rb0)</f>
        <v/>
      </c>
      <c r="J299" s="23">
        <f>MAX(0,I299-pr_amort*(1-pr_eq)*pr_rb0)</f>
        <v/>
      </c>
      <c r="K299" s="23">
        <f>MAX(0,J299-pr_amort*(1-pr_eq)*pr_rb0)</f>
        <v/>
      </c>
      <c r="L299" s="23">
        <f>MAX(0,K299-pr_amort*(1-pr_eq)*pr_rb0)</f>
        <v/>
      </c>
      <c r="M299" s="23">
        <f>MAX(0,L299-pr_amort*(1-pr_eq)*pr_rb0)</f>
        <v/>
      </c>
      <c r="N299" s="23">
        <f>MAX(0,M299-pr_amort*(1-pr_eq)*pr_rb0)</f>
        <v/>
      </c>
    </row>
    <row r="300">
      <c r="B300" s="2" t="inlineStr">
        <is>
          <t>Operating company debt (debt share of rate base)</t>
        </is>
      </c>
      <c r="C300" s="5" t="inlineStr">
        <is>
          <t>$ million</t>
        </is>
      </c>
      <c r="D300" s="23">
        <f>(1-pr_eq)*D298</f>
        <v/>
      </c>
      <c r="E300" s="23">
        <f>(1-pr_eq)*E298</f>
        <v/>
      </c>
      <c r="F300" s="23">
        <f>(1-pr_eq)*F298</f>
        <v/>
      </c>
      <c r="G300" s="23">
        <f>(1-pr_eq)*G298</f>
        <v/>
      </c>
      <c r="H300" s="23">
        <f>(1-pr_eq)*H298</f>
        <v/>
      </c>
      <c r="I300" s="23">
        <f>(1-pr_eq)*I298</f>
        <v/>
      </c>
      <c r="J300" s="23">
        <f>(1-pr_eq)*J298</f>
        <v/>
      </c>
      <c r="K300" s="23">
        <f>(1-pr_eq)*K298</f>
        <v/>
      </c>
      <c r="L300" s="23">
        <f>(1-pr_eq)*L298</f>
        <v/>
      </c>
      <c r="M300" s="23">
        <f>(1-pr_eq)*M298</f>
        <v/>
      </c>
      <c r="N300" s="23">
        <f>(1-pr_eq)*N298</f>
        <v/>
      </c>
    </row>
    <row r="301">
      <c r="B301" s="2" t="inlineStr">
        <is>
          <t>New bonds outstanding</t>
        </is>
      </c>
      <c r="C301" s="5" t="inlineStr">
        <is>
          <t>$ million</t>
        </is>
      </c>
      <c r="D301" s="23">
        <f>D300-D299</f>
        <v/>
      </c>
      <c r="E301" s="23">
        <f>E300-E299</f>
        <v/>
      </c>
      <c r="F301" s="23">
        <f>F300-F299</f>
        <v/>
      </c>
      <c r="G301" s="23">
        <f>G300-G299</f>
        <v/>
      </c>
      <c r="H301" s="23">
        <f>H300-H299</f>
        <v/>
      </c>
      <c r="I301" s="23">
        <f>I300-I299</f>
        <v/>
      </c>
      <c r="J301" s="23">
        <f>J300-J299</f>
        <v/>
      </c>
      <c r="K301" s="23">
        <f>K300-K299</f>
        <v/>
      </c>
      <c r="L301" s="23">
        <f>L300-L299</f>
        <v/>
      </c>
      <c r="M301" s="23">
        <f>M300-M299</f>
        <v/>
      </c>
      <c r="N301" s="23">
        <f>N300-N299</f>
        <v/>
      </c>
    </row>
    <row r="302">
      <c r="B302" s="2" t="inlineStr">
        <is>
          <t>Embedded cost of debt at year end</t>
        </is>
      </c>
      <c r="C302" s="5" t="inlineStr">
        <is>
          <t>rate</t>
        </is>
      </c>
      <c r="D302" s="27">
        <f>pr_kd_old</f>
        <v/>
      </c>
      <c r="E302" s="27">
        <f>(E299*pr_kd_old+E301*pr_kd_new)/E300</f>
        <v/>
      </c>
      <c r="F302" s="27">
        <f>(F299*pr_kd_old+F301*pr_kd_new)/F300</f>
        <v/>
      </c>
      <c r="G302" s="27">
        <f>(G299*pr_kd_old+G301*pr_kd_new)/G300</f>
        <v/>
      </c>
      <c r="H302" s="27">
        <f>(H299*pr_kd_old+H301*pr_kd_new)/H300</f>
        <v/>
      </c>
      <c r="I302" s="27">
        <f>(I299*pr_kd_old+I301*pr_kd_new)/I300</f>
        <v/>
      </c>
      <c r="J302" s="27">
        <f>(J299*pr_kd_old+J301*pr_kd_new)/J300</f>
        <v/>
      </c>
      <c r="K302" s="27">
        <f>(K299*pr_kd_old+K301*pr_kd_new)/K300</f>
        <v/>
      </c>
      <c r="L302" s="27">
        <f>(L299*pr_kd_old+L301*pr_kd_new)/L300</f>
        <v/>
      </c>
      <c r="M302" s="27">
        <f>(M299*pr_kd_old+M301*pr_kd_new)/M300</f>
        <v/>
      </c>
      <c r="N302" s="27">
        <f>(N299*pr_kd_old+N301*pr_kd_new)/N300</f>
        <v/>
      </c>
    </row>
    <row r="304">
      <c r="B304" s="6" t="inlineStr">
        <is>
          <t>Returns and cash ($ million)</t>
        </is>
      </c>
      <c r="C304" s="7" t="n"/>
      <c r="D304" s="7" t="n"/>
      <c r="E304" s="7" t="n"/>
      <c r="F304" s="7" t="n"/>
      <c r="G304" s="7" t="n"/>
      <c r="H304" s="7" t="n"/>
      <c r="I304" s="7" t="n"/>
      <c r="J304" s="7" t="n"/>
      <c r="K304" s="7" t="n"/>
      <c r="L304" s="7" t="n"/>
      <c r="M304" s="7" t="n"/>
      <c r="N304" s="7" t="n"/>
    </row>
    <row r="305">
      <c r="B305" s="2" t="inlineStr">
        <is>
          <t>Average equity share of rate base</t>
        </is>
      </c>
      <c r="C305" s="5" t="inlineStr">
        <is>
          <t>$ million</t>
        </is>
      </c>
      <c r="E305" s="23">
        <f>pr_eq*0.5*(E294+E298)</f>
        <v/>
      </c>
      <c r="F305" s="23">
        <f>pr_eq*0.5*(F294+F298)</f>
        <v/>
      </c>
      <c r="G305" s="23">
        <f>pr_eq*0.5*(G294+G298)</f>
        <v/>
      </c>
      <c r="H305" s="23">
        <f>pr_eq*0.5*(H294+H298)</f>
        <v/>
      </c>
      <c r="I305" s="23">
        <f>pr_eq*0.5*(I294+I298)</f>
        <v/>
      </c>
      <c r="J305" s="23">
        <f>pr_eq*0.5*(J294+J298)</f>
        <v/>
      </c>
      <c r="K305" s="23">
        <f>pr_eq*0.5*(K294+K298)</f>
        <v/>
      </c>
      <c r="L305" s="23">
        <f>pr_eq*0.5*(L294+L298)</f>
        <v/>
      </c>
      <c r="M305" s="23">
        <f>pr_eq*0.5*(M294+M298)</f>
        <v/>
      </c>
      <c r="N305" s="23">
        <f>pr_eq*0.5*(N294+N298)</f>
        <v/>
      </c>
    </row>
    <row r="306">
      <c r="B306" s="2" t="inlineStr">
        <is>
          <t>Earned return on equity</t>
        </is>
      </c>
      <c r="C306" s="5" t="inlineStr">
        <is>
          <t>rate</t>
        </is>
      </c>
      <c r="E306" s="27">
        <f>E291/E305</f>
        <v/>
      </c>
      <c r="F306" s="27">
        <f>F291/F305</f>
        <v/>
      </c>
      <c r="G306" s="27">
        <f>G291/G305</f>
        <v/>
      </c>
      <c r="H306" s="27">
        <f>H291/H305</f>
        <v/>
      </c>
      <c r="I306" s="27">
        <f>I291/I305</f>
        <v/>
      </c>
      <c r="J306" s="27">
        <f>J291/J305</f>
        <v/>
      </c>
      <c r="K306" s="27">
        <f>K291/K305</f>
        <v/>
      </c>
      <c r="L306" s="27">
        <f>L291/L305</f>
        <v/>
      </c>
      <c r="M306" s="27">
        <f>M291/M305</f>
        <v/>
      </c>
      <c r="N306" s="27">
        <f>N291/N305</f>
        <v/>
      </c>
    </row>
    <row r="307">
      <c r="B307" s="2" t="inlineStr">
        <is>
          <t>Authorized return on equity</t>
        </is>
      </c>
      <c r="C307" s="5" t="inlineStr">
        <is>
          <t>rate</t>
        </is>
      </c>
      <c r="E307" s="27">
        <f>pr_roe</f>
        <v/>
      </c>
      <c r="F307" s="27">
        <f>pr_roe</f>
        <v/>
      </c>
      <c r="G307" s="27">
        <f>pr_roe</f>
        <v/>
      </c>
      <c r="H307" s="27">
        <f>pr_roe</f>
        <v/>
      </c>
      <c r="I307" s="27">
        <f>pr_roe</f>
        <v/>
      </c>
      <c r="J307" s="27">
        <f>pr_roe</f>
        <v/>
      </c>
      <c r="K307" s="27">
        <f>pr_roe</f>
        <v/>
      </c>
      <c r="L307" s="27">
        <f>pr_roe</f>
        <v/>
      </c>
      <c r="M307" s="27">
        <f>pr_roe</f>
        <v/>
      </c>
      <c r="N307" s="27">
        <f>pr_roe</f>
        <v/>
      </c>
    </row>
    <row r="308">
      <c r="B308" s="3" t="inlineStr">
        <is>
          <t>Cash to the shareholder (FCFE)</t>
        </is>
      </c>
      <c r="C308" s="5" t="inlineStr">
        <is>
          <t>$ million</t>
        </is>
      </c>
      <c r="E308" s="23">
        <f>E291+E287-E252-E296+E297+E300-D300</f>
        <v/>
      </c>
      <c r="F308" s="23">
        <f>F291+F287-F252-F296+F297+F300-E300</f>
        <v/>
      </c>
      <c r="G308" s="23">
        <f>G291+G287-G252-G296+G297+G300-F300</f>
        <v/>
      </c>
      <c r="H308" s="23">
        <f>H291+H287-H252-H296+H297+H300-G300</f>
        <v/>
      </c>
      <c r="I308" s="23">
        <f>I291+I287-I252-I296+I297+I300-H300</f>
        <v/>
      </c>
      <c r="J308" s="23">
        <f>J291+J287-J252-J296+J297+J300-I300</f>
        <v/>
      </c>
      <c r="K308" s="23">
        <f>K291+K287-K252-K296+K297+K300-J300</f>
        <v/>
      </c>
      <c r="L308" s="23">
        <f>L291+L287-L252-L296+L297+L300-K300</f>
        <v/>
      </c>
      <c r="M308" s="23">
        <f>M291+M287-M252-M296+M297+M300-L300</f>
        <v/>
      </c>
      <c r="N308" s="23">
        <f>N291+N287-N252-N296+N297+N300-M300</f>
        <v/>
      </c>
    </row>
    <row r="309">
      <c r="B309" s="2" t="inlineStr">
        <is>
          <t>Funds from operations (net income + depreciation)</t>
        </is>
      </c>
      <c r="C309" s="5" t="inlineStr">
        <is>
          <t>$ million</t>
        </is>
      </c>
      <c r="E309" s="23">
        <f>E291+E287</f>
        <v/>
      </c>
      <c r="F309" s="23">
        <f>F291+F287</f>
        <v/>
      </c>
      <c r="G309" s="23">
        <f>G291+G287</f>
        <v/>
      </c>
      <c r="H309" s="23">
        <f>H291+H287</f>
        <v/>
      </c>
      <c r="I309" s="23">
        <f>I291+I287</f>
        <v/>
      </c>
      <c r="J309" s="23">
        <f>J291+J287</f>
        <v/>
      </c>
      <c r="K309" s="23">
        <f>K291+K287</f>
        <v/>
      </c>
      <c r="L309" s="23">
        <f>L291+L287</f>
        <v/>
      </c>
      <c r="M309" s="23">
        <f>M291+M287</f>
        <v/>
      </c>
      <c r="N309" s="23">
        <f>N291+N287</f>
        <v/>
      </c>
    </row>
    <row r="310">
      <c r="B310" s="3" t="inlineStr">
        <is>
          <t>Brannock's net flows (exit at the exit multiple)</t>
        </is>
      </c>
      <c r="C310" s="5" t="inlineStr">
        <is>
          <t>$ million</t>
        </is>
      </c>
      <c r="D310" s="23">
        <f>-(pr_ev_mult*pr_rb0-(1-pr_eq)*pr_rb0+pr_costs-pr_holdco)</f>
        <v/>
      </c>
      <c r="E310" s="23">
        <f>E308-pr_holdco*pr_kd_holdco*(1-pr_tax)</f>
        <v/>
      </c>
      <c r="F310" s="23">
        <f>F308-pr_holdco*pr_kd_holdco*(1-pr_tax)</f>
        <v/>
      </c>
      <c r="G310" s="23">
        <f>G308-pr_holdco*pr_kd_holdco*(1-pr_tax)</f>
        <v/>
      </c>
      <c r="H310" s="23">
        <f>H308-pr_holdco*pr_kd_holdco*(1-pr_tax)</f>
        <v/>
      </c>
      <c r="I310" s="23">
        <f>I308-pr_holdco*pr_kd_holdco*(1-pr_tax)</f>
        <v/>
      </c>
      <c r="J310" s="23">
        <f>J308-pr_holdco*pr_kd_holdco*(1-pr_tax)</f>
        <v/>
      </c>
      <c r="K310" s="23">
        <f>K308-pr_holdco*pr_kd_holdco*(1-pr_tax)</f>
        <v/>
      </c>
      <c r="L310" s="23">
        <f>L308-pr_holdco*pr_kd_holdco*(1-pr_tax)</f>
        <v/>
      </c>
      <c r="M310" s="23">
        <f>M308-pr_holdco*pr_kd_holdco*(1-pr_tax)</f>
        <v/>
      </c>
      <c r="N310" s="23">
        <f>N308-pr_holdco*pr_kd_holdco*(1-pr_tax)+pr_exit_mult*N298-N300-pr_holdco</f>
        <v/>
      </c>
    </row>
    <row r="311">
      <c r="B311" s="2" t="inlineStr">
        <is>
          <t>Levered IRR</t>
        </is>
      </c>
      <c r="C311" s="5" t="inlineStr">
        <is>
          <t>rate</t>
        </is>
      </c>
      <c r="D311" s="27">
        <f>IRR($D$310:N$310,0.08)</f>
        <v/>
      </c>
    </row>
    <row r="312">
      <c r="B312" s="2" t="inlineStr">
        <is>
          <t>Average earned return on equity 2028 to 2037</t>
        </is>
      </c>
      <c r="C312" s="5" t="inlineStr">
        <is>
          <t>rate</t>
        </is>
      </c>
      <c r="D312" s="27">
        <f>AVERAGE($E$306:N$306)</f>
        <v/>
      </c>
    </row>
    <row r="313">
      <c r="B313" s="2" t="inlineStr">
        <is>
          <t>Price at the target return (enterprise value)</t>
        </is>
      </c>
      <c r="C313" s="5" t="inlineStr">
        <is>
          <t>$ million</t>
        </is>
      </c>
      <c r="D313" s="23">
        <f>NPV(pr_target,$E$310:N$310)+(1-pr_eq)*pr_rb0-pr_costs+pr_holdco</f>
        <v/>
      </c>
    </row>
    <row r="314">
      <c r="B314" s="2" t="inlineStr">
        <is>
          <t>Exit equity</t>
        </is>
      </c>
      <c r="C314" s="5" t="inlineStr">
        <is>
          <t>$ million</t>
        </is>
      </c>
      <c r="D314" s="23">
        <f>pr_exit_mult*N298-N300-pr_holdco</f>
        <v/>
      </c>
    </row>
    <row r="315">
      <c r="B315" s="2" t="inlineStr">
        <is>
          <t>Rate base at exit</t>
        </is>
      </c>
      <c r="C315" s="5" t="inlineStr">
        <is>
          <t>$ million</t>
        </is>
      </c>
      <c r="D315" s="23">
        <f>N298</f>
        <v/>
      </c>
    </row>
    <row r="318">
      <c r="B318" s="6" t="inlineStr">
        <is>
          <t>S5: O&amp;M inflation 4.0 percent (Pell River, after tax)</t>
        </is>
      </c>
      <c r="C318" s="7" t="n"/>
      <c r="D318" s="7" t="n"/>
      <c r="E318" s="7" t="n"/>
      <c r="F318" s="7" t="n"/>
      <c r="G318" s="7" t="n"/>
      <c r="H318" s="7" t="n"/>
      <c r="I318" s="7" t="n"/>
      <c r="J318" s="7" t="n"/>
      <c r="K318" s="7" t="n"/>
      <c r="L318" s="7" t="n"/>
      <c r="M318" s="7" t="n"/>
      <c r="N318" s="7" t="n"/>
    </row>
    <row r="319">
      <c r="B319" s="2" t="inlineStr">
        <is>
          <t>Year (31 December)</t>
        </is>
      </c>
      <c r="D319" s="26">
        <f>pr_close</f>
        <v/>
      </c>
      <c r="E319" s="26">
        <f>D319+1</f>
        <v/>
      </c>
      <c r="F319" s="26">
        <f>E319+1</f>
        <v/>
      </c>
      <c r="G319" s="26">
        <f>F319+1</f>
        <v/>
      </c>
      <c r="H319" s="26">
        <f>G319+1</f>
        <v/>
      </c>
      <c r="I319" s="26">
        <f>H319+1</f>
        <v/>
      </c>
      <c r="J319" s="26">
        <f>I319+1</f>
        <v/>
      </c>
      <c r="K319" s="26">
        <f>J319+1</f>
        <v/>
      </c>
      <c r="L319" s="26">
        <f>K319+1</f>
        <v/>
      </c>
      <c r="M319" s="26">
        <f>L319+1</f>
        <v/>
      </c>
      <c r="N319" s="26">
        <f>M319+1</f>
        <v/>
      </c>
    </row>
    <row r="320">
      <c r="B320" s="2" t="inlineStr">
        <is>
          <t>Years after the first year of the hold (2028 = 0)</t>
        </is>
      </c>
      <c r="D320" s="26">
        <f>D319-(pr_close+1)</f>
        <v/>
      </c>
      <c r="E320" s="26">
        <f>E319-(pr_close+1)</f>
        <v/>
      </c>
      <c r="F320" s="26">
        <f>F319-(pr_close+1)</f>
        <v/>
      </c>
      <c r="G320" s="26">
        <f>G319-(pr_close+1)</f>
        <v/>
      </c>
      <c r="H320" s="26">
        <f>H319-(pr_close+1)</f>
        <v/>
      </c>
      <c r="I320" s="26">
        <f>I319-(pr_close+1)</f>
        <v/>
      </c>
      <c r="J320" s="26">
        <f>J319-(pr_close+1)</f>
        <v/>
      </c>
      <c r="K320" s="26">
        <f>K319-(pr_close+1)</f>
        <v/>
      </c>
      <c r="L320" s="26">
        <f>L319-(pr_close+1)</f>
        <v/>
      </c>
      <c r="M320" s="26">
        <f>M319-(pr_close+1)</f>
        <v/>
      </c>
      <c r="N320" s="26">
        <f>N319-(pr_close+1)</f>
        <v/>
      </c>
    </row>
    <row r="321">
      <c r="B321" s="2" t="inlineStr">
        <is>
          <t>Connections (water and wastewater), year end</t>
        </is>
      </c>
      <c r="C321" s="5" t="inlineStr">
        <is>
          <t>number</t>
        </is>
      </c>
      <c r="D321" s="19">
        <f>pr_water_conn+pr_ww_conn</f>
        <v/>
      </c>
      <c r="E321" s="19">
        <f>D321*(1+pr_growth)+IF(AND(pr_fen_on=1,E319=pr_fen_year+1),pr_fen_conn,0)</f>
        <v/>
      </c>
      <c r="F321" s="19">
        <f>E321*(1+pr_growth)+IF(AND(pr_fen_on=1,F319=pr_fen_year+1),pr_fen_conn,0)</f>
        <v/>
      </c>
      <c r="G321" s="19">
        <f>F321*(1+pr_growth)+IF(AND(pr_fen_on=1,G319=pr_fen_year+1),pr_fen_conn,0)</f>
        <v/>
      </c>
      <c r="H321" s="19">
        <f>G321*(1+pr_growth)+IF(AND(pr_fen_on=1,H319=pr_fen_year+1),pr_fen_conn,0)</f>
        <v/>
      </c>
      <c r="I321" s="19">
        <f>H321*(1+pr_growth)+IF(AND(pr_fen_on=1,I319=pr_fen_year+1),pr_fen_conn,0)</f>
        <v/>
      </c>
      <c r="J321" s="19">
        <f>I321*(1+pr_growth)+IF(AND(pr_fen_on=1,J319=pr_fen_year+1),pr_fen_conn,0)</f>
        <v/>
      </c>
      <c r="K321" s="19">
        <f>J321*(1+pr_growth)+IF(AND(pr_fen_on=1,K319=pr_fen_year+1),pr_fen_conn,0)</f>
        <v/>
      </c>
      <c r="L321" s="19">
        <f>K321*(1+pr_growth)+IF(AND(pr_fen_on=1,L319=pr_fen_year+1),pr_fen_conn,0)</f>
        <v/>
      </c>
      <c r="M321" s="19">
        <f>L321*(1+pr_growth)+IF(AND(pr_fen_on=1,M319=pr_fen_year+1),pr_fen_conn,0)</f>
        <v/>
      </c>
      <c r="N321" s="19">
        <f>M321*(1+pr_growth)+IF(AND(pr_fen_on=1,N319=pr_fen_year+1),pr_fen_conn,0)</f>
        <v/>
      </c>
    </row>
    <row r="323">
      <c r="B323" s="6" t="inlineStr">
        <is>
          <t>Capital spending ($ million)</t>
        </is>
      </c>
      <c r="C323" s="7" t="n"/>
      <c r="D323" s="7" t="n"/>
      <c r="E323" s="7" t="n"/>
      <c r="F323" s="7" t="n"/>
      <c r="G323" s="7" t="n"/>
      <c r="H323" s="7" t="n"/>
      <c r="I323" s="7" t="n"/>
      <c r="J323" s="7" t="n"/>
      <c r="K323" s="7" t="n"/>
      <c r="L323" s="7" t="n"/>
      <c r="M323" s="7" t="n"/>
      <c r="N323" s="7" t="n"/>
    </row>
    <row r="324">
      <c r="B324" s="2" t="inlineStr">
        <is>
          <t>Cost escalation index (2028 = 1)</t>
        </is>
      </c>
      <c r="E324" s="28">
        <f>(1+pr_capex_esc)^(E319-(pr_close+1))</f>
        <v/>
      </c>
      <c r="F324" s="28">
        <f>(1+pr_capex_esc)^(F319-(pr_close+1))</f>
        <v/>
      </c>
      <c r="G324" s="28">
        <f>(1+pr_capex_esc)^(G319-(pr_close+1))</f>
        <v/>
      </c>
      <c r="H324" s="28">
        <f>(1+pr_capex_esc)^(H319-(pr_close+1))</f>
        <v/>
      </c>
      <c r="I324" s="28">
        <f>(1+pr_capex_esc)^(I319-(pr_close+1))</f>
        <v/>
      </c>
      <c r="J324" s="28">
        <f>(1+pr_capex_esc)^(J319-(pr_close+1))</f>
        <v/>
      </c>
      <c r="K324" s="28">
        <f>(1+pr_capex_esc)^(K319-(pr_close+1))</f>
        <v/>
      </c>
      <c r="L324" s="28">
        <f>(1+pr_capex_esc)^(L319-(pr_close+1))</f>
        <v/>
      </c>
      <c r="M324" s="28">
        <f>(1+pr_capex_esc)^(M319-(pr_close+1))</f>
        <v/>
      </c>
      <c r="N324" s="28">
        <f>(1+pr_capex_esc)^(N319-(pr_close+1))</f>
        <v/>
      </c>
    </row>
    <row r="325">
      <c r="B325" s="2" t="inlineStr">
        <is>
          <t>Main renewal</t>
        </is>
      </c>
      <c r="C325" s="5" t="inlineStr">
        <is>
          <t>$ million</t>
        </is>
      </c>
      <c r="E325" s="23">
        <f>pr_renewal*pr_mains_miles*pr_cost_mile*E324*(1+pr_capex_shift)</f>
        <v/>
      </c>
      <c r="F325" s="23">
        <f>pr_renewal*pr_mains_miles*pr_cost_mile*F324*(1+pr_capex_shift)</f>
        <v/>
      </c>
      <c r="G325" s="23">
        <f>pr_renewal*pr_mains_miles*pr_cost_mile*G324*(1+pr_capex_shift)</f>
        <v/>
      </c>
      <c r="H325" s="23">
        <f>pr_renewal*pr_mains_miles*pr_cost_mile*H324*(1+pr_capex_shift)</f>
        <v/>
      </c>
      <c r="I325" s="23">
        <f>pr_renewal*pr_mains_miles*pr_cost_mile*I324*(1+pr_capex_shift)</f>
        <v/>
      </c>
      <c r="J325" s="23">
        <f>pr_renewal*pr_mains_miles*pr_cost_mile*J324*(1+pr_capex_shift)</f>
        <v/>
      </c>
      <c r="K325" s="23">
        <f>pr_renewal*pr_mains_miles*pr_cost_mile*K324*(1+pr_capex_shift)</f>
        <v/>
      </c>
      <c r="L325" s="23">
        <f>pr_renewal*pr_mains_miles*pr_cost_mile*L324*(1+pr_capex_shift)</f>
        <v/>
      </c>
      <c r="M325" s="23">
        <f>pr_renewal*pr_mains_miles*pr_cost_mile*M324*(1+pr_capex_shift)</f>
        <v/>
      </c>
      <c r="N325" s="23">
        <f>pr_renewal*pr_mains_miles*pr_cost_mile*N324*(1+pr_capex_shift)</f>
        <v/>
      </c>
    </row>
    <row r="326">
      <c r="B326" s="2" t="inlineStr">
        <is>
          <t>Treatment, storage, meters, IT and growth</t>
        </is>
      </c>
      <c r="C326" s="5" t="inlineStr">
        <is>
          <t>$ million</t>
        </is>
      </c>
      <c r="E326" s="23">
        <f>pr_other_capex*E324*(1+pr_capex_shift)</f>
        <v/>
      </c>
      <c r="F326" s="23">
        <f>pr_other_capex*F324*(1+pr_capex_shift)</f>
        <v/>
      </c>
      <c r="G326" s="23">
        <f>pr_other_capex*G324*(1+pr_capex_shift)</f>
        <v/>
      </c>
      <c r="H326" s="23">
        <f>pr_other_capex*H324*(1+pr_capex_shift)</f>
        <v/>
      </c>
      <c r="I326" s="23">
        <f>pr_other_capex*I324*(1+pr_capex_shift)</f>
        <v/>
      </c>
      <c r="J326" s="23">
        <f>pr_other_capex*J324*(1+pr_capex_shift)</f>
        <v/>
      </c>
      <c r="K326" s="23">
        <f>pr_other_capex*K324*(1+pr_capex_shift)</f>
        <v/>
      </c>
      <c r="L326" s="23">
        <f>pr_other_capex*L324*(1+pr_capex_shift)</f>
        <v/>
      </c>
      <c r="M326" s="23">
        <f>pr_other_capex*M324*(1+pr_capex_shift)</f>
        <v/>
      </c>
      <c r="N326" s="23">
        <f>pr_other_capex*N324*(1+pr_capex_shift)</f>
        <v/>
      </c>
    </row>
    <row r="327">
      <c r="B327" s="2" t="inlineStr">
        <is>
          <t>PFAS treatment</t>
        </is>
      </c>
      <c r="C327" s="5" t="inlineStr">
        <is>
          <t>$ million</t>
        </is>
      </c>
      <c r="E327" s="23">
        <f>(IF(E319-pr_pfas_delay=pr_pfas_y1,pr_pfas_1,0)+IF(E319-pr_pfas_delay=pr_pfas_y1+1,pr_pfas_2,0)+IF(E319-pr_pfas_delay=pr_pfas_y1+2,pr_pfas_3,0))*(1+pr_capex_esc)^pr_pfas_delay*(1+pr_capex_shift)</f>
        <v/>
      </c>
      <c r="F327" s="23">
        <f>(IF(F319-pr_pfas_delay=pr_pfas_y1,pr_pfas_1,0)+IF(F319-pr_pfas_delay=pr_pfas_y1+1,pr_pfas_2,0)+IF(F319-pr_pfas_delay=pr_pfas_y1+2,pr_pfas_3,0))*(1+pr_capex_esc)^pr_pfas_delay*(1+pr_capex_shift)</f>
        <v/>
      </c>
      <c r="G327" s="23">
        <f>(IF(G319-pr_pfas_delay=pr_pfas_y1,pr_pfas_1,0)+IF(G319-pr_pfas_delay=pr_pfas_y1+1,pr_pfas_2,0)+IF(G319-pr_pfas_delay=pr_pfas_y1+2,pr_pfas_3,0))*(1+pr_capex_esc)^pr_pfas_delay*(1+pr_capex_shift)</f>
        <v/>
      </c>
      <c r="H327" s="23">
        <f>(IF(H319-pr_pfas_delay=pr_pfas_y1,pr_pfas_1,0)+IF(H319-pr_pfas_delay=pr_pfas_y1+1,pr_pfas_2,0)+IF(H319-pr_pfas_delay=pr_pfas_y1+2,pr_pfas_3,0))*(1+pr_capex_esc)^pr_pfas_delay*(1+pr_capex_shift)</f>
        <v/>
      </c>
      <c r="I327" s="23">
        <f>(IF(I319-pr_pfas_delay=pr_pfas_y1,pr_pfas_1,0)+IF(I319-pr_pfas_delay=pr_pfas_y1+1,pr_pfas_2,0)+IF(I319-pr_pfas_delay=pr_pfas_y1+2,pr_pfas_3,0))*(1+pr_capex_esc)^pr_pfas_delay*(1+pr_capex_shift)</f>
        <v/>
      </c>
      <c r="J327" s="23">
        <f>(IF(J319-pr_pfas_delay=pr_pfas_y1,pr_pfas_1,0)+IF(J319-pr_pfas_delay=pr_pfas_y1+1,pr_pfas_2,0)+IF(J319-pr_pfas_delay=pr_pfas_y1+2,pr_pfas_3,0))*(1+pr_capex_esc)^pr_pfas_delay*(1+pr_capex_shift)</f>
        <v/>
      </c>
      <c r="K327" s="23">
        <f>(IF(K319-pr_pfas_delay=pr_pfas_y1,pr_pfas_1,0)+IF(K319-pr_pfas_delay=pr_pfas_y1+1,pr_pfas_2,0)+IF(K319-pr_pfas_delay=pr_pfas_y1+2,pr_pfas_3,0))*(1+pr_capex_esc)^pr_pfas_delay*(1+pr_capex_shift)</f>
        <v/>
      </c>
      <c r="L327" s="23">
        <f>(IF(L319-pr_pfas_delay=pr_pfas_y1,pr_pfas_1,0)+IF(L319-pr_pfas_delay=pr_pfas_y1+1,pr_pfas_2,0)+IF(L319-pr_pfas_delay=pr_pfas_y1+2,pr_pfas_3,0))*(1+pr_capex_esc)^pr_pfas_delay*(1+pr_capex_shift)</f>
        <v/>
      </c>
      <c r="M327" s="23">
        <f>(IF(M319-pr_pfas_delay=pr_pfas_y1,pr_pfas_1,0)+IF(M319-pr_pfas_delay=pr_pfas_y1+1,pr_pfas_2,0)+IF(M319-pr_pfas_delay=pr_pfas_y1+2,pr_pfas_3,0))*(1+pr_capex_esc)^pr_pfas_delay*(1+pr_capex_shift)</f>
        <v/>
      </c>
      <c r="N327" s="23">
        <f>(IF(N319-pr_pfas_delay=pr_pfas_y1,pr_pfas_1,0)+IF(N319-pr_pfas_delay=pr_pfas_y1+1,pr_pfas_2,0)+IF(N319-pr_pfas_delay=pr_pfas_y1+2,pr_pfas_3,0))*(1+pr_capex_esc)^pr_pfas_delay*(1+pr_capex_shift)</f>
        <v/>
      </c>
    </row>
    <row r="328">
      <c r="B328" s="2" t="inlineStr">
        <is>
          <t>Lead service lines</t>
        </is>
      </c>
      <c r="C328" s="5" t="inlineStr">
        <is>
          <t>$ million</t>
        </is>
      </c>
      <c r="E328" s="23">
        <f>IF(AND(E319&gt;=(pr_close+1),E319&lt;(pr_close+1)+pr_lead_years),pr_lead_lines/pr_lead_years*pr_lead_cost/1000000*E324,0)*(1+pr_capex_shift)</f>
        <v/>
      </c>
      <c r="F328" s="23">
        <f>IF(AND(F319&gt;=(pr_close+1),F319&lt;(pr_close+1)+pr_lead_years),pr_lead_lines/pr_lead_years*pr_lead_cost/1000000*F324,0)*(1+pr_capex_shift)</f>
        <v/>
      </c>
      <c r="G328" s="23">
        <f>IF(AND(G319&gt;=(pr_close+1),G319&lt;(pr_close+1)+pr_lead_years),pr_lead_lines/pr_lead_years*pr_lead_cost/1000000*G324,0)*(1+pr_capex_shift)</f>
        <v/>
      </c>
      <c r="H328" s="23">
        <f>IF(AND(H319&gt;=(pr_close+1),H319&lt;(pr_close+1)+pr_lead_years),pr_lead_lines/pr_lead_years*pr_lead_cost/1000000*H324,0)*(1+pr_capex_shift)</f>
        <v/>
      </c>
      <c r="I328" s="23">
        <f>IF(AND(I319&gt;=(pr_close+1),I319&lt;(pr_close+1)+pr_lead_years),pr_lead_lines/pr_lead_years*pr_lead_cost/1000000*I324,0)*(1+pr_capex_shift)</f>
        <v/>
      </c>
      <c r="J328" s="23">
        <f>IF(AND(J319&gt;=(pr_close+1),J319&lt;(pr_close+1)+pr_lead_years),pr_lead_lines/pr_lead_years*pr_lead_cost/1000000*J324,0)*(1+pr_capex_shift)</f>
        <v/>
      </c>
      <c r="K328" s="23">
        <f>IF(AND(K319&gt;=(pr_close+1),K319&lt;(pr_close+1)+pr_lead_years),pr_lead_lines/pr_lead_years*pr_lead_cost/1000000*K324,0)*(1+pr_capex_shift)</f>
        <v/>
      </c>
      <c r="L328" s="23">
        <f>IF(AND(L319&gt;=(pr_close+1),L319&lt;(pr_close+1)+pr_lead_years),pr_lead_lines/pr_lead_years*pr_lead_cost/1000000*L324,0)*(1+pr_capex_shift)</f>
        <v/>
      </c>
      <c r="M328" s="23">
        <f>IF(AND(M319&gt;=(pr_close+1),M319&lt;(pr_close+1)+pr_lead_years),pr_lead_lines/pr_lead_years*pr_lead_cost/1000000*M324,0)*(1+pr_capex_shift)</f>
        <v/>
      </c>
      <c r="N328" s="23">
        <f>IF(AND(N319&gt;=(pr_close+1),N319&lt;(pr_close+1)+pr_lead_years),pr_lead_lines/pr_lead_years*pr_lead_cost/1000000*N324,0)*(1+pr_capex_shift)</f>
        <v/>
      </c>
    </row>
    <row r="329">
      <c r="B329" s="2" t="inlineStr">
        <is>
          <t>Fennick system</t>
        </is>
      </c>
      <c r="C329" s="5" t="inlineStr">
        <is>
          <t>$ million</t>
        </is>
      </c>
      <c r="E329" s="23">
        <f>IF(AND(pr_fen_on=1,E319&gt;pr_fen_year),pr_fen_capex*(1+pr_capex_esc)^(E319-pr_fen_year-1),0)*(1+pr_capex_shift)</f>
        <v/>
      </c>
      <c r="F329" s="23">
        <f>IF(AND(pr_fen_on=1,F319&gt;pr_fen_year),pr_fen_capex*(1+pr_capex_esc)^(F319-pr_fen_year-1),0)*(1+pr_capex_shift)</f>
        <v/>
      </c>
      <c r="G329" s="23">
        <f>IF(AND(pr_fen_on=1,G319&gt;pr_fen_year),pr_fen_capex*(1+pr_capex_esc)^(G319-pr_fen_year-1),0)*(1+pr_capex_shift)</f>
        <v/>
      </c>
      <c r="H329" s="23">
        <f>IF(AND(pr_fen_on=1,H319&gt;pr_fen_year),pr_fen_capex*(1+pr_capex_esc)^(H319-pr_fen_year-1),0)*(1+pr_capex_shift)</f>
        <v/>
      </c>
      <c r="I329" s="23">
        <f>IF(AND(pr_fen_on=1,I319&gt;pr_fen_year),pr_fen_capex*(1+pr_capex_esc)^(I319-pr_fen_year-1),0)*(1+pr_capex_shift)</f>
        <v/>
      </c>
      <c r="J329" s="23">
        <f>IF(AND(pr_fen_on=1,J319&gt;pr_fen_year),pr_fen_capex*(1+pr_capex_esc)^(J319-pr_fen_year-1),0)*(1+pr_capex_shift)</f>
        <v/>
      </c>
      <c r="K329" s="23">
        <f>IF(AND(pr_fen_on=1,K319&gt;pr_fen_year),pr_fen_capex*(1+pr_capex_esc)^(K319-pr_fen_year-1),0)*(1+pr_capex_shift)</f>
        <v/>
      </c>
      <c r="L329" s="23">
        <f>IF(AND(pr_fen_on=1,L319&gt;pr_fen_year),pr_fen_capex*(1+pr_capex_esc)^(L319-pr_fen_year-1),0)*(1+pr_capex_shift)</f>
        <v/>
      </c>
      <c r="M329" s="23">
        <f>IF(AND(pr_fen_on=1,M319&gt;pr_fen_year),pr_fen_capex*(1+pr_capex_esc)^(M319-pr_fen_year-1),0)*(1+pr_capex_shift)</f>
        <v/>
      </c>
      <c r="N329" s="23">
        <f>IF(AND(pr_fen_on=1,N319&gt;pr_fen_year),pr_fen_capex*(1+pr_capex_esc)^(N319-pr_fen_year-1),0)*(1+pr_capex_shift)</f>
        <v/>
      </c>
    </row>
    <row r="330">
      <c r="B330" s="2" t="inlineStr">
        <is>
          <t>Total capital spending</t>
        </is>
      </c>
      <c r="C330" s="5" t="inlineStr">
        <is>
          <t>$ million</t>
        </is>
      </c>
      <c r="E330" s="23">
        <f>SUM(E325:E329)</f>
        <v/>
      </c>
      <c r="F330" s="23">
        <f>SUM(F325:F329)</f>
        <v/>
      </c>
      <c r="G330" s="23">
        <f>SUM(G325:G329)</f>
        <v/>
      </c>
      <c r="H330" s="23">
        <f>SUM(H325:H329)</f>
        <v/>
      </c>
      <c r="I330" s="23">
        <f>SUM(I325:I329)</f>
        <v/>
      </c>
      <c r="J330" s="23">
        <f>SUM(J325:J329)</f>
        <v/>
      </c>
      <c r="K330" s="23">
        <f>SUM(K325:K329)</f>
        <v/>
      </c>
      <c r="L330" s="23">
        <f>SUM(L325:L329)</f>
        <v/>
      </c>
      <c r="M330" s="23">
        <f>SUM(M325:M329)</f>
        <v/>
      </c>
      <c r="N330" s="23">
        <f>SUM(N325:N329)</f>
        <v/>
      </c>
    </row>
    <row r="331">
      <c r="B331" s="2" t="inlineStr">
        <is>
          <t>DSIC-eligible (mains and lead lines)</t>
        </is>
      </c>
      <c r="C331" s="5" t="inlineStr">
        <is>
          <t>$ million</t>
        </is>
      </c>
      <c r="E331" s="23">
        <f>E325+E328</f>
        <v/>
      </c>
      <c r="F331" s="23">
        <f>F325+F328</f>
        <v/>
      </c>
      <c r="G331" s="23">
        <f>G325+G328</f>
        <v/>
      </c>
      <c r="H331" s="23">
        <f>H325+H328</f>
        <v/>
      </c>
      <c r="I331" s="23">
        <f>I325+I328</f>
        <v/>
      </c>
      <c r="J331" s="23">
        <f>J325+J328</f>
        <v/>
      </c>
      <c r="K331" s="23">
        <f>K325+K328</f>
        <v/>
      </c>
      <c r="L331" s="23">
        <f>L325+L328</f>
        <v/>
      </c>
      <c r="M331" s="23">
        <f>M325+M328</f>
        <v/>
      </c>
      <c r="N331" s="23">
        <f>N325+N328</f>
        <v/>
      </c>
    </row>
    <row r="333">
      <c r="B333" s="6" t="inlineStr">
        <is>
          <t>Rate case (rates effective 1 January of the year; test-year values looked up to the left)</t>
        </is>
      </c>
      <c r="C333" s="7" t="n"/>
      <c r="D333" s="7" t="n"/>
      <c r="E333" s="7" t="n"/>
      <c r="F333" s="7" t="n"/>
      <c r="G333" s="7" t="n"/>
      <c r="H333" s="7" t="n"/>
      <c r="I333" s="7" t="n"/>
      <c r="J333" s="7" t="n"/>
      <c r="K333" s="7" t="n"/>
      <c r="L333" s="7" t="n"/>
      <c r="M333" s="7" t="n"/>
      <c r="N333" s="7" t="n"/>
    </row>
    <row r="334">
      <c r="B334" s="2" t="inlineStr">
        <is>
          <t>Rate case this year (1 = yes)</t>
        </is>
      </c>
      <c r="E334" s="26">
        <f>IF(AND(E319&gt;=pr_rc_first,MOD(E319-pr_rc_first,pr_rc_cycle)=0),1,0)</f>
        <v/>
      </c>
      <c r="F334" s="26">
        <f>IF(AND(F319&gt;=pr_rc_first,MOD(F319-pr_rc_first,pr_rc_cycle)=0),1,0)</f>
        <v/>
      </c>
      <c r="G334" s="26">
        <f>IF(AND(G319&gt;=pr_rc_first,MOD(G319-pr_rc_first,pr_rc_cycle)=0),1,0)</f>
        <v/>
      </c>
      <c r="H334" s="26">
        <f>IF(AND(H319&gt;=pr_rc_first,MOD(H319-pr_rc_first,pr_rc_cycle)=0),1,0)</f>
        <v/>
      </c>
      <c r="I334" s="26">
        <f>IF(AND(I319&gt;=pr_rc_first,MOD(I319-pr_rc_first,pr_rc_cycle)=0),1,0)</f>
        <v/>
      </c>
      <c r="J334" s="26">
        <f>IF(AND(J319&gt;=pr_rc_first,MOD(J319-pr_rc_first,pr_rc_cycle)=0),1,0)</f>
        <v/>
      </c>
      <c r="K334" s="26">
        <f>IF(AND(K319&gt;=pr_rc_first,MOD(K319-pr_rc_first,pr_rc_cycle)=0),1,0)</f>
        <v/>
      </c>
      <c r="L334" s="26">
        <f>IF(AND(L319&gt;=pr_rc_first,MOD(L319-pr_rc_first,pr_rc_cycle)=0),1,0)</f>
        <v/>
      </c>
      <c r="M334" s="26">
        <f>IF(AND(M319&gt;=pr_rc_first,MOD(M319-pr_rc_first,pr_rc_cycle)=0),1,0)</f>
        <v/>
      </c>
      <c r="N334" s="26">
        <f>IF(AND(N319&gt;=pr_rc_first,MOD(N319-pr_rc_first,pr_rc_cycle)=0),1,0)</f>
        <v/>
      </c>
    </row>
    <row r="335">
      <c r="B335" s="2" t="inlineStr">
        <is>
          <t>Test year</t>
        </is>
      </c>
      <c r="E335" s="26">
        <f>E319-pr_test_lag</f>
        <v/>
      </c>
      <c r="F335" s="26">
        <f>F319-pr_test_lag</f>
        <v/>
      </c>
      <c r="G335" s="26">
        <f>G319-pr_test_lag</f>
        <v/>
      </c>
      <c r="H335" s="26">
        <f>H319-pr_test_lag</f>
        <v/>
      </c>
      <c r="I335" s="26">
        <f>I319-pr_test_lag</f>
        <v/>
      </c>
      <c r="J335" s="26">
        <f>J319-pr_test_lag</f>
        <v/>
      </c>
      <c r="K335" s="26">
        <f>K319-pr_test_lag</f>
        <v/>
      </c>
      <c r="L335" s="26">
        <f>L319-pr_test_lag</f>
        <v/>
      </c>
      <c r="M335" s="26">
        <f>M319-pr_test_lag</f>
        <v/>
      </c>
      <c r="N335" s="26">
        <f>N319-pr_test_lag</f>
        <v/>
      </c>
    </row>
    <row r="336">
      <c r="B336" s="2" t="inlineStr">
        <is>
          <t>Test year of the latest rate case</t>
        </is>
      </c>
      <c r="D336" s="26">
        <f>pr_close</f>
        <v/>
      </c>
      <c r="E336" s="26">
        <f>IF(E334=1,E335,D336)</f>
        <v/>
      </c>
      <c r="F336" s="26">
        <f>IF(F334=1,F335,E336)</f>
        <v/>
      </c>
      <c r="G336" s="26">
        <f>IF(G334=1,G335,F336)</f>
        <v/>
      </c>
      <c r="H336" s="26">
        <f>IF(H334=1,H335,G336)</f>
        <v/>
      </c>
      <c r="I336" s="26">
        <f>IF(I334=1,I335,H336)</f>
        <v/>
      </c>
      <c r="J336" s="26">
        <f>IF(J334=1,J335,I336)</f>
        <v/>
      </c>
      <c r="K336" s="26">
        <f>IF(K334=1,K335,J336)</f>
        <v/>
      </c>
      <c r="L336" s="26">
        <f>IF(L334=1,L335,K336)</f>
        <v/>
      </c>
      <c r="M336" s="26">
        <f>IF(M334=1,M335,L336)</f>
        <v/>
      </c>
      <c r="N336" s="26">
        <f>IF(N334=1,N335,M336)</f>
        <v/>
      </c>
    </row>
    <row r="337">
      <c r="B337" s="2" t="inlineStr">
        <is>
          <t>Rate base at the end of the test year</t>
        </is>
      </c>
      <c r="C337" s="5" t="inlineStr">
        <is>
          <t>$ million</t>
        </is>
      </c>
      <c r="E337" s="23">
        <f>INDEX($D$376:D$376,MATCH(MAX(E335,pr_close),$D$319:D$319,0))</f>
        <v/>
      </c>
      <c r="F337" s="23">
        <f>INDEX($D$376:E$376,MATCH(MAX(F335,pr_close),$D$319:E$319,0))</f>
        <v/>
      </c>
      <c r="G337" s="23">
        <f>INDEX($D$376:F$376,MATCH(MAX(G335,pr_close),$D$319:F$319,0))</f>
        <v/>
      </c>
      <c r="H337" s="23">
        <f>INDEX($D$376:G$376,MATCH(MAX(H335,pr_close),$D$319:G$319,0))</f>
        <v/>
      </c>
      <c r="I337" s="23">
        <f>INDEX($D$376:H$376,MATCH(MAX(I335,pr_close),$D$319:H$319,0))</f>
        <v/>
      </c>
      <c r="J337" s="23">
        <f>INDEX($D$376:I$376,MATCH(MAX(J335,pr_close),$D$319:I$319,0))</f>
        <v/>
      </c>
      <c r="K337" s="23">
        <f>INDEX($D$376:J$376,MATCH(MAX(K335,pr_close),$D$319:J$319,0))</f>
        <v/>
      </c>
      <c r="L337" s="23">
        <f>INDEX($D$376:K$376,MATCH(MAX(L335,pr_close),$D$319:K$319,0))</f>
        <v/>
      </c>
      <c r="M337" s="23">
        <f>INDEX($D$376:L$376,MATCH(MAX(M335,pr_close),$D$319:L$319,0))</f>
        <v/>
      </c>
      <c r="N337" s="23">
        <f>INDEX($D$376:M$376,MATCH(MAX(N335,pr_close),$D$319:M$319,0))</f>
        <v/>
      </c>
    </row>
    <row r="338">
      <c r="B338" s="2" t="inlineStr">
        <is>
          <t>Embedded cost of debt in the test year</t>
        </is>
      </c>
      <c r="C338" s="5" t="inlineStr">
        <is>
          <t>rate</t>
        </is>
      </c>
      <c r="E338" s="27">
        <f>INDEX($D$380:D$380,MATCH(MAX(E335,pr_close),$D$319:D$319,0))</f>
        <v/>
      </c>
      <c r="F338" s="27">
        <f>INDEX($D$380:E$380,MATCH(MAX(F335,pr_close),$D$319:E$319,0))</f>
        <v/>
      </c>
      <c r="G338" s="27">
        <f>INDEX($D$380:F$380,MATCH(MAX(G335,pr_close),$D$319:F$319,0))</f>
        <v/>
      </c>
      <c r="H338" s="27">
        <f>INDEX($D$380:G$380,MATCH(MAX(H335,pr_close),$D$319:G$319,0))</f>
        <v/>
      </c>
      <c r="I338" s="27">
        <f>INDEX($D$380:H$380,MATCH(MAX(I335,pr_close),$D$319:H$319,0))</f>
        <v/>
      </c>
      <c r="J338" s="27">
        <f>INDEX($D$380:I$380,MATCH(MAX(J335,pr_close),$D$319:I$319,0))</f>
        <v/>
      </c>
      <c r="K338" s="27">
        <f>INDEX($D$380:J$380,MATCH(MAX(K335,pr_close),$D$319:J$319,0))</f>
        <v/>
      </c>
      <c r="L338" s="27">
        <f>INDEX($D$380:K$380,MATCH(MAX(L335,pr_close),$D$319:K$319,0))</f>
        <v/>
      </c>
      <c r="M338" s="27">
        <f>INDEX($D$380:L$380,MATCH(MAX(M335,pr_close),$D$319:L$319,0))</f>
        <v/>
      </c>
      <c r="N338" s="27">
        <f>INDEX($D$380:M$380,MATCH(MAX(N335,pr_close),$D$319:M$319,0))</f>
        <v/>
      </c>
    </row>
    <row r="339">
      <c r="B339" s="2" t="inlineStr">
        <is>
          <t>O&amp;M in the test year</t>
        </is>
      </c>
      <c r="C339" s="5" t="inlineStr">
        <is>
          <t>$ million</t>
        </is>
      </c>
      <c r="E339" s="23">
        <f>INDEX($D$361:D$361,MATCH(MAX(E335,pr_close),$D$319:D$319,0))</f>
        <v/>
      </c>
      <c r="F339" s="23">
        <f>INDEX($D$361:E$361,MATCH(MAX(F335,pr_close),$D$319:E$319,0))</f>
        <v/>
      </c>
      <c r="G339" s="23">
        <f>INDEX($D$361:F$361,MATCH(MAX(G335,pr_close),$D$319:F$319,0))</f>
        <v/>
      </c>
      <c r="H339" s="23">
        <f>INDEX($D$361:G$361,MATCH(MAX(H335,pr_close),$D$319:G$319,0))</f>
        <v/>
      </c>
      <c r="I339" s="23">
        <f>INDEX($D$361:H$361,MATCH(MAX(I335,pr_close),$D$319:H$319,0))</f>
        <v/>
      </c>
      <c r="J339" s="23">
        <f>INDEX($D$361:I$361,MATCH(MAX(J335,pr_close),$D$319:I$319,0))</f>
        <v/>
      </c>
      <c r="K339" s="23">
        <f>INDEX($D$361:J$361,MATCH(MAX(K335,pr_close),$D$319:J$319,0))</f>
        <v/>
      </c>
      <c r="L339" s="23">
        <f>INDEX($D$361:K$361,MATCH(MAX(L335,pr_close),$D$319:K$319,0))</f>
        <v/>
      </c>
      <c r="M339" s="23">
        <f>INDEX($D$361:L$361,MATCH(MAX(M335,pr_close),$D$319:L$319,0))</f>
        <v/>
      </c>
      <c r="N339" s="23">
        <f>INDEX($D$361:M$361,MATCH(MAX(N335,pr_close),$D$319:M$319,0))</f>
        <v/>
      </c>
    </row>
    <row r="340">
      <c r="B340" s="2" t="inlineStr">
        <is>
          <t>Authorized return on rate base</t>
        </is>
      </c>
      <c r="C340" s="5" t="inlineStr">
        <is>
          <t>rate</t>
        </is>
      </c>
      <c r="E340" s="27">
        <f>(pr_eq*pr_roe+(1-pr_eq)*E338)</f>
        <v/>
      </c>
      <c r="F340" s="27">
        <f>(pr_eq*pr_roe+(1-pr_eq)*F338)</f>
        <v/>
      </c>
      <c r="G340" s="27">
        <f>(pr_eq*pr_roe+(1-pr_eq)*G338)</f>
        <v/>
      </c>
      <c r="H340" s="27">
        <f>(pr_eq*pr_roe+(1-pr_eq)*H338)</f>
        <v/>
      </c>
      <c r="I340" s="27">
        <f>(pr_eq*pr_roe+(1-pr_eq)*I338)</f>
        <v/>
      </c>
      <c r="J340" s="27">
        <f>(pr_eq*pr_roe+(1-pr_eq)*J338)</f>
        <v/>
      </c>
      <c r="K340" s="27">
        <f>(pr_eq*pr_roe+(1-pr_eq)*K338)</f>
        <v/>
      </c>
      <c r="L340" s="27">
        <f>(pr_eq*pr_roe+(1-pr_eq)*L338)</f>
        <v/>
      </c>
      <c r="M340" s="27">
        <f>(pr_eq*pr_roe+(1-pr_eq)*M338)</f>
        <v/>
      </c>
      <c r="N340" s="27">
        <f>(pr_eq*pr_roe+(1-pr_eq)*N338)</f>
        <v/>
      </c>
    </row>
    <row r="341">
      <c r="B341" s="2" t="inlineStr">
        <is>
          <t>Return</t>
        </is>
      </c>
      <c r="C341" s="5" t="inlineStr">
        <is>
          <t>$ million</t>
        </is>
      </c>
      <c r="E341" s="23">
        <f>E340*E337</f>
        <v/>
      </c>
      <c r="F341" s="23">
        <f>F340*F337</f>
        <v/>
      </c>
      <c r="G341" s="23">
        <f>G340*G337</f>
        <v/>
      </c>
      <c r="H341" s="23">
        <f>H340*H337</f>
        <v/>
      </c>
      <c r="I341" s="23">
        <f>I340*I337</f>
        <v/>
      </c>
      <c r="J341" s="23">
        <f>J340*J337</f>
        <v/>
      </c>
      <c r="K341" s="23">
        <f>K340*K337</f>
        <v/>
      </c>
      <c r="L341" s="23">
        <f>L340*L337</f>
        <v/>
      </c>
      <c r="M341" s="23">
        <f>M340*M337</f>
        <v/>
      </c>
      <c r="N341" s="23">
        <f>N340*N337</f>
        <v/>
      </c>
    </row>
    <row r="342">
      <c r="B342" s="2" t="inlineStr">
        <is>
          <t>Income tax gross-up</t>
        </is>
      </c>
      <c r="C342" s="5" t="inlineStr">
        <is>
          <t>$ million</t>
        </is>
      </c>
      <c r="E342" s="23">
        <f>(pr_eq*pr_roe*pr_tax/(1-pr_tax))*E337</f>
        <v/>
      </c>
      <c r="F342" s="23">
        <f>(pr_eq*pr_roe*pr_tax/(1-pr_tax))*F337</f>
        <v/>
      </c>
      <c r="G342" s="23">
        <f>(pr_eq*pr_roe*pr_tax/(1-pr_tax))*G337</f>
        <v/>
      </c>
      <c r="H342" s="23">
        <f>(pr_eq*pr_roe*pr_tax/(1-pr_tax))*H337</f>
        <v/>
      </c>
      <c r="I342" s="23">
        <f>(pr_eq*pr_roe*pr_tax/(1-pr_tax))*I337</f>
        <v/>
      </c>
      <c r="J342" s="23">
        <f>(pr_eq*pr_roe*pr_tax/(1-pr_tax))*J337</f>
        <v/>
      </c>
      <c r="K342" s="23">
        <f>(pr_eq*pr_roe*pr_tax/(1-pr_tax))*K337</f>
        <v/>
      </c>
      <c r="L342" s="23">
        <f>(pr_eq*pr_roe*pr_tax/(1-pr_tax))*L337</f>
        <v/>
      </c>
      <c r="M342" s="23">
        <f>(pr_eq*pr_roe*pr_tax/(1-pr_tax))*M337</f>
        <v/>
      </c>
      <c r="N342" s="23">
        <f>(pr_eq*pr_roe*pr_tax/(1-pr_tax))*N337</f>
        <v/>
      </c>
    </row>
    <row r="343">
      <c r="B343" s="2" t="inlineStr">
        <is>
          <t>Depreciation</t>
        </is>
      </c>
      <c r="C343" s="5" t="inlineStr">
        <is>
          <t>$ million</t>
        </is>
      </c>
      <c r="E343" s="23">
        <f>pr_dep*E337</f>
        <v/>
      </c>
      <c r="F343" s="23">
        <f>pr_dep*F337</f>
        <v/>
      </c>
      <c r="G343" s="23">
        <f>pr_dep*G337</f>
        <v/>
      </c>
      <c r="H343" s="23">
        <f>pr_dep*H337</f>
        <v/>
      </c>
      <c r="I343" s="23">
        <f>pr_dep*I337</f>
        <v/>
      </c>
      <c r="J343" s="23">
        <f>pr_dep*J337</f>
        <v/>
      </c>
      <c r="K343" s="23">
        <f>pr_dep*K337</f>
        <v/>
      </c>
      <c r="L343" s="23">
        <f>pr_dep*L337</f>
        <v/>
      </c>
      <c r="M343" s="23">
        <f>pr_dep*M337</f>
        <v/>
      </c>
      <c r="N343" s="23">
        <f>pr_dep*N337</f>
        <v/>
      </c>
    </row>
    <row r="344">
      <c r="B344" s="2" t="inlineStr">
        <is>
          <t>Other taxes</t>
        </is>
      </c>
      <c r="C344" s="5" t="inlineStr">
        <is>
          <t>$ million</t>
        </is>
      </c>
      <c r="E344" s="23">
        <f>pr_ptax*E337</f>
        <v/>
      </c>
      <c r="F344" s="23">
        <f>pr_ptax*F337</f>
        <v/>
      </c>
      <c r="G344" s="23">
        <f>pr_ptax*G337</f>
        <v/>
      </c>
      <c r="H344" s="23">
        <f>pr_ptax*H337</f>
        <v/>
      </c>
      <c r="I344" s="23">
        <f>pr_ptax*I337</f>
        <v/>
      </c>
      <c r="J344" s="23">
        <f>pr_ptax*J337</f>
        <v/>
      </c>
      <c r="K344" s="23">
        <f>pr_ptax*K337</f>
        <v/>
      </c>
      <c r="L344" s="23">
        <f>pr_ptax*L337</f>
        <v/>
      </c>
      <c r="M344" s="23">
        <f>pr_ptax*M337</f>
        <v/>
      </c>
      <c r="N344" s="23">
        <f>pr_ptax*N337</f>
        <v/>
      </c>
    </row>
    <row r="345">
      <c r="B345" s="2" t="inlineStr">
        <is>
          <t>O&amp;M (test year, known and measurable)</t>
        </is>
      </c>
      <c r="C345" s="5" t="inlineStr">
        <is>
          <t>$ million</t>
        </is>
      </c>
      <c r="E345" s="23">
        <f>E339*(1+Inputs!$C$235)*(1+pr_growth)</f>
        <v/>
      </c>
      <c r="F345" s="23">
        <f>F339*(1+Inputs!$C$235)*(1+pr_growth)</f>
        <v/>
      </c>
      <c r="G345" s="23">
        <f>G339*(1+Inputs!$C$235)*(1+pr_growth)</f>
        <v/>
      </c>
      <c r="H345" s="23">
        <f>H339*(1+Inputs!$C$235)*(1+pr_growth)</f>
        <v/>
      </c>
      <c r="I345" s="23">
        <f>I339*(1+Inputs!$C$235)*(1+pr_growth)</f>
        <v/>
      </c>
      <c r="J345" s="23">
        <f>J339*(1+Inputs!$C$235)*(1+pr_growth)</f>
        <v/>
      </c>
      <c r="K345" s="23">
        <f>K339*(1+Inputs!$C$235)*(1+pr_growth)</f>
        <v/>
      </c>
      <c r="L345" s="23">
        <f>L339*(1+Inputs!$C$235)*(1+pr_growth)</f>
        <v/>
      </c>
      <c r="M345" s="23">
        <f>M339*(1+Inputs!$C$235)*(1+pr_growth)</f>
        <v/>
      </c>
      <c r="N345" s="23">
        <f>N339*(1+Inputs!$C$235)*(1+pr_growth)</f>
        <v/>
      </c>
    </row>
    <row r="346">
      <c r="B346" s="2" t="inlineStr">
        <is>
          <t>Revenue requirement (test-year connections)</t>
        </is>
      </c>
      <c r="C346" s="5" t="inlineStr">
        <is>
          <t>$ million</t>
        </is>
      </c>
      <c r="E346" s="23">
        <f>SUM(E341:E345)</f>
        <v/>
      </c>
      <c r="F346" s="23">
        <f>SUM(F341:F345)</f>
        <v/>
      </c>
      <c r="G346" s="23">
        <f>SUM(G341:G345)</f>
        <v/>
      </c>
      <c r="H346" s="23">
        <f>SUM(H341:H345)</f>
        <v/>
      </c>
      <c r="I346" s="23">
        <f>SUM(I341:I345)</f>
        <v/>
      </c>
      <c r="J346" s="23">
        <f>SUM(J341:J345)</f>
        <v/>
      </c>
      <c r="K346" s="23">
        <f>SUM(K341:K345)</f>
        <v/>
      </c>
      <c r="L346" s="23">
        <f>SUM(L341:L345)</f>
        <v/>
      </c>
      <c r="M346" s="23">
        <f>SUM(M341:M345)</f>
        <v/>
      </c>
      <c r="N346" s="23">
        <f>SUM(N341:N345)</f>
        <v/>
      </c>
    </row>
    <row r="347">
      <c r="B347" s="2" t="inlineStr">
        <is>
          <t>Revenue requirement on effective-year connections</t>
        </is>
      </c>
      <c r="C347" s="5" t="inlineStr">
        <is>
          <t>$ million</t>
        </is>
      </c>
      <c r="E347" s="23">
        <f>E346*(1+pr_growth)</f>
        <v/>
      </c>
      <c r="F347" s="23">
        <f>F346*(1+pr_growth)</f>
        <v/>
      </c>
      <c r="G347" s="23">
        <f>G346*(1+pr_growth)</f>
        <v/>
      </c>
      <c r="H347" s="23">
        <f>H346*(1+pr_growth)</f>
        <v/>
      </c>
      <c r="I347" s="23">
        <f>I346*(1+pr_growth)</f>
        <v/>
      </c>
      <c r="J347" s="23">
        <f>J346*(1+pr_growth)</f>
        <v/>
      </c>
      <c r="K347" s="23">
        <f>K346*(1+pr_growth)</f>
        <v/>
      </c>
      <c r="L347" s="23">
        <f>L346*(1+pr_growth)</f>
        <v/>
      </c>
      <c r="M347" s="23">
        <f>M346*(1+pr_growth)</f>
        <v/>
      </c>
      <c r="N347" s="23">
        <f>N346*(1+pr_growth)</f>
        <v/>
      </c>
    </row>
    <row r="348">
      <c r="B348" s="2" t="inlineStr">
        <is>
          <t>Revenue at existing rates</t>
        </is>
      </c>
      <c r="C348" s="5" t="inlineStr">
        <is>
          <t>$ million</t>
        </is>
      </c>
      <c r="E348" s="23">
        <f>IF(E319=(pr_close+1),D354,D354*(1+pr_growth)*(1-pr_vol_share*IF(pr_decoupling=1,0,pr_usage))+D355+D357)</f>
        <v/>
      </c>
      <c r="F348" s="23">
        <f>IF(F319=(pr_close+1),E354,E354*(1+pr_growth)*(1-pr_vol_share*IF(pr_decoupling=1,0,pr_usage))+E355+E357)</f>
        <v/>
      </c>
      <c r="G348" s="23">
        <f>IF(G319=(pr_close+1),F354,F354*(1+pr_growth)*(1-pr_vol_share*IF(pr_decoupling=1,0,pr_usage))+F355+F357)</f>
        <v/>
      </c>
      <c r="H348" s="23">
        <f>IF(H319=(pr_close+1),G354,G354*(1+pr_growth)*(1-pr_vol_share*IF(pr_decoupling=1,0,pr_usage))+G355+G357)</f>
        <v/>
      </c>
      <c r="I348" s="23">
        <f>IF(I319=(pr_close+1),H354,H354*(1+pr_growth)*(1-pr_vol_share*IF(pr_decoupling=1,0,pr_usage))+H355+H357)</f>
        <v/>
      </c>
      <c r="J348" s="23">
        <f>IF(J319=(pr_close+1),I354,I354*(1+pr_growth)*(1-pr_vol_share*IF(pr_decoupling=1,0,pr_usage))+I355+I357)</f>
        <v/>
      </c>
      <c r="K348" s="23">
        <f>IF(K319=(pr_close+1),J354,J354*(1+pr_growth)*(1-pr_vol_share*IF(pr_decoupling=1,0,pr_usage))+J355+J357)</f>
        <v/>
      </c>
      <c r="L348" s="23">
        <f>IF(L319=(pr_close+1),K354,K354*(1+pr_growth)*(1-pr_vol_share*IF(pr_decoupling=1,0,pr_usage))+K355+K357)</f>
        <v/>
      </c>
      <c r="M348" s="23">
        <f>IF(M319=(pr_close+1),L354,L354*(1+pr_growth)*(1-pr_vol_share*IF(pr_decoupling=1,0,pr_usage))+L355+L357)</f>
        <v/>
      </c>
      <c r="N348" s="23">
        <f>IF(N319=(pr_close+1),M354,M354*(1+pr_growth)*(1-pr_vol_share*IF(pr_decoupling=1,0,pr_usage))+M355+M357)</f>
        <v/>
      </c>
    </row>
    <row r="349">
      <c r="B349" s="2" t="inlineStr">
        <is>
          <t>Increase granted</t>
        </is>
      </c>
      <c r="C349" s="5" t="inlineStr">
        <is>
          <t>share</t>
        </is>
      </c>
      <c r="E349" s="20">
        <f>E347/E348-1</f>
        <v/>
      </c>
      <c r="F349" s="20">
        <f>F347/F348-1</f>
        <v/>
      </c>
      <c r="G349" s="20">
        <f>G347/G348-1</f>
        <v/>
      </c>
      <c r="H349" s="20">
        <f>H347/H348-1</f>
        <v/>
      </c>
      <c r="I349" s="20">
        <f>I347/I348-1</f>
        <v/>
      </c>
      <c r="J349" s="20">
        <f>J347/J348-1</f>
        <v/>
      </c>
      <c r="K349" s="20">
        <f>K347/K348-1</f>
        <v/>
      </c>
      <c r="L349" s="20">
        <f>L347/L348-1</f>
        <v/>
      </c>
      <c r="M349" s="20">
        <f>M347/M348-1</f>
        <v/>
      </c>
      <c r="N349" s="20">
        <f>N347/N348-1</f>
        <v/>
      </c>
    </row>
    <row r="350">
      <c r="B350" s="2" t="inlineStr">
        <is>
          <t>Revenue requirement requested (at the requested ROE)</t>
        </is>
      </c>
      <c r="C350" s="5" t="inlineStr">
        <is>
          <t>$ million</t>
        </is>
      </c>
      <c r="E350" s="23">
        <f>(pr_eq*pr_roe_ask+(1-pr_eq)*E338)*E337+pr_eq*pr_roe_ask*E337*pr_tax/(1-pr_tax)+E343+E344+E345</f>
        <v/>
      </c>
      <c r="F350" s="23">
        <f>(pr_eq*pr_roe_ask+(1-pr_eq)*F338)*F337+pr_eq*pr_roe_ask*F337*pr_tax/(1-pr_tax)+F343+F344+F345</f>
        <v/>
      </c>
      <c r="G350" s="23">
        <f>(pr_eq*pr_roe_ask+(1-pr_eq)*G338)*G337+pr_eq*pr_roe_ask*G337*pr_tax/(1-pr_tax)+G343+G344+G345</f>
        <v/>
      </c>
      <c r="H350" s="23">
        <f>(pr_eq*pr_roe_ask+(1-pr_eq)*H338)*H337+pr_eq*pr_roe_ask*H337*pr_tax/(1-pr_tax)+H343+H344+H345</f>
        <v/>
      </c>
      <c r="I350" s="23">
        <f>(pr_eq*pr_roe_ask+(1-pr_eq)*I338)*I337+pr_eq*pr_roe_ask*I337*pr_tax/(1-pr_tax)+I343+I344+I345</f>
        <v/>
      </c>
      <c r="J350" s="23">
        <f>(pr_eq*pr_roe_ask+(1-pr_eq)*J338)*J337+pr_eq*pr_roe_ask*J337*pr_tax/(1-pr_tax)+J343+J344+J345</f>
        <v/>
      </c>
      <c r="K350" s="23">
        <f>(pr_eq*pr_roe_ask+(1-pr_eq)*K338)*K337+pr_eq*pr_roe_ask*K337*pr_tax/(1-pr_tax)+K343+K344+K345</f>
        <v/>
      </c>
      <c r="L350" s="23">
        <f>(pr_eq*pr_roe_ask+(1-pr_eq)*L338)*L337+pr_eq*pr_roe_ask*L337*pr_tax/(1-pr_tax)+L343+L344+L345</f>
        <v/>
      </c>
      <c r="M350" s="23">
        <f>(pr_eq*pr_roe_ask+(1-pr_eq)*M338)*M337+pr_eq*pr_roe_ask*M337*pr_tax/(1-pr_tax)+M343+M344+M345</f>
        <v/>
      </c>
      <c r="N350" s="23">
        <f>(pr_eq*pr_roe_ask+(1-pr_eq)*N338)*N337+pr_eq*pr_roe_ask*N337*pr_tax/(1-pr_tax)+N343+N344+N345</f>
        <v/>
      </c>
    </row>
    <row r="351">
      <c r="B351" s="2" t="inlineStr">
        <is>
          <t>Increase requested</t>
        </is>
      </c>
      <c r="C351" s="5" t="inlineStr">
        <is>
          <t>share</t>
        </is>
      </c>
      <c r="E351" s="20">
        <f>E350*(1+pr_growth)/E348-1</f>
        <v/>
      </c>
      <c r="F351" s="20">
        <f>F350*(1+pr_growth)/F348-1</f>
        <v/>
      </c>
      <c r="G351" s="20">
        <f>G350*(1+pr_growth)/G348-1</f>
        <v/>
      </c>
      <c r="H351" s="20">
        <f>H350*(1+pr_growth)/H348-1</f>
        <v/>
      </c>
      <c r="I351" s="20">
        <f>I350*(1+pr_growth)/I348-1</f>
        <v/>
      </c>
      <c r="J351" s="20">
        <f>J350*(1+pr_growth)/J348-1</f>
        <v/>
      </c>
      <c r="K351" s="20">
        <f>K350*(1+pr_growth)/K348-1</f>
        <v/>
      </c>
      <c r="L351" s="20">
        <f>L350*(1+pr_growth)/L348-1</f>
        <v/>
      </c>
      <c r="M351" s="20">
        <f>M350*(1+pr_growth)/M348-1</f>
        <v/>
      </c>
      <c r="N351" s="20">
        <f>N350*(1+pr_growth)/N348-1</f>
        <v/>
      </c>
    </row>
    <row r="353">
      <c r="B353" s="6" t="inlineStr">
        <is>
          <t>Revenue ($ million)</t>
        </is>
      </c>
      <c r="C353" s="7" t="n"/>
      <c r="D353" s="7" t="n"/>
      <c r="E353" s="7" t="n"/>
      <c r="F353" s="7" t="n"/>
      <c r="G353" s="7" t="n"/>
      <c r="H353" s="7" t="n"/>
      <c r="I353" s="7" t="n"/>
      <c r="J353" s="7" t="n"/>
      <c r="K353" s="7" t="n"/>
      <c r="L353" s="7" t="n"/>
      <c r="M353" s="7" t="n"/>
      <c r="N353" s="7" t="n"/>
    </row>
    <row r="354">
      <c r="B354" s="2" t="inlineStr">
        <is>
          <t>Base revenue (rate case, or prior year x growth x volume erosion)</t>
        </is>
      </c>
      <c r="C354" s="5" t="inlineStr">
        <is>
          <t>$ million</t>
        </is>
      </c>
      <c r="D354" s="23">
        <f>pr_rev_2028/((1+pr_growth)*(1-pr_vol_share*IF(pr_decoupling=1,0,pr_usage)))</f>
        <v/>
      </c>
      <c r="E354" s="23">
        <f>IF(E334=1,E347,D354*(1+pr_growth)*(1-pr_vol_share*IF(pr_decoupling=1,0,pr_usage)))</f>
        <v/>
      </c>
      <c r="F354" s="23">
        <f>IF(F334=1,F347,E354*(1+pr_growth)*(1-pr_vol_share*IF(pr_decoupling=1,0,pr_usage)))</f>
        <v/>
      </c>
      <c r="G354" s="23">
        <f>IF(G334=1,G347,F354*(1+pr_growth)*(1-pr_vol_share*IF(pr_decoupling=1,0,pr_usage)))</f>
        <v/>
      </c>
      <c r="H354" s="23">
        <f>IF(H334=1,H347,G354*(1+pr_growth)*(1-pr_vol_share*IF(pr_decoupling=1,0,pr_usage)))</f>
        <v/>
      </c>
      <c r="I354" s="23">
        <f>IF(I334=1,I347,H354*(1+pr_growth)*(1-pr_vol_share*IF(pr_decoupling=1,0,pr_usage)))</f>
        <v/>
      </c>
      <c r="J354" s="23">
        <f>IF(J334=1,J347,I354*(1+pr_growth)*(1-pr_vol_share*IF(pr_decoupling=1,0,pr_usage)))</f>
        <v/>
      </c>
      <c r="K354" s="23">
        <f>IF(K334=1,K347,J354*(1+pr_growth)*(1-pr_vol_share*IF(pr_decoupling=1,0,pr_usage)))</f>
        <v/>
      </c>
      <c r="L354" s="23">
        <f>IF(L334=1,L347,K354*(1+pr_growth)*(1-pr_vol_share*IF(pr_decoupling=1,0,pr_usage)))</f>
        <v/>
      </c>
      <c r="M354" s="23">
        <f>IF(M334=1,M347,L354*(1+pr_growth)*(1-pr_vol_share*IF(pr_decoupling=1,0,pr_usage)))</f>
        <v/>
      </c>
      <c r="N354" s="23">
        <f>IF(N334=1,N347,M354*(1+pr_growth)*(1-pr_vol_share*IF(pr_decoupling=1,0,pr_usage)))</f>
        <v/>
      </c>
    </row>
    <row r="355">
      <c r="B355" s="2" t="inlineStr">
        <is>
          <t>Fennick revenue at its old rates (until the next rate case)</t>
        </is>
      </c>
      <c r="C355" s="5" t="inlineStr">
        <is>
          <t>$ million</t>
        </is>
      </c>
      <c r="E355" s="23">
        <f>IF(AND(pr_fen_on=1,E319&gt;pr_fen_year,SUMIFS($D$334:E$334,$D$319:E$319,"&gt;"&amp;pr_fen_year)=0),pr_fen_rev,0)</f>
        <v/>
      </c>
      <c r="F355" s="23">
        <f>IF(AND(pr_fen_on=1,F319&gt;pr_fen_year,SUMIFS($D$334:F$334,$D$319:F$319,"&gt;"&amp;pr_fen_year)=0),pr_fen_rev,0)</f>
        <v/>
      </c>
      <c r="G355" s="23">
        <f>IF(AND(pr_fen_on=1,G319&gt;pr_fen_year,SUMIFS($D$334:G$334,$D$319:G$319,"&gt;"&amp;pr_fen_year)=0),pr_fen_rev,0)</f>
        <v/>
      </c>
      <c r="H355" s="23">
        <f>IF(AND(pr_fen_on=1,H319&gt;pr_fen_year,SUMIFS($D$334:H$334,$D$319:H$319,"&gt;"&amp;pr_fen_year)=0),pr_fen_rev,0)</f>
        <v/>
      </c>
      <c r="I355" s="23">
        <f>IF(AND(pr_fen_on=1,I319&gt;pr_fen_year,SUMIFS($D$334:I$334,$D$319:I$319,"&gt;"&amp;pr_fen_year)=0),pr_fen_rev,0)</f>
        <v/>
      </c>
      <c r="J355" s="23">
        <f>IF(AND(pr_fen_on=1,J319&gt;pr_fen_year,SUMIFS($D$334:J$334,$D$319:J$319,"&gt;"&amp;pr_fen_year)=0),pr_fen_rev,0)</f>
        <v/>
      </c>
      <c r="K355" s="23">
        <f>IF(AND(pr_fen_on=1,K319&gt;pr_fen_year,SUMIFS($D$334:K$334,$D$319:K$319,"&gt;"&amp;pr_fen_year)=0),pr_fen_rev,0)</f>
        <v/>
      </c>
      <c r="L355" s="23">
        <f>IF(AND(pr_fen_on=1,L319&gt;pr_fen_year,SUMIFS($D$334:L$334,$D$319:L$319,"&gt;"&amp;pr_fen_year)=0),pr_fen_rev,0)</f>
        <v/>
      </c>
      <c r="M355" s="23">
        <f>IF(AND(pr_fen_on=1,M319&gt;pr_fen_year,SUMIFS($D$334:M$334,$D$319:M$319,"&gt;"&amp;pr_fen_year)=0),pr_fen_rev,0)</f>
        <v/>
      </c>
      <c r="N355" s="23">
        <f>IF(AND(pr_fen_on=1,N319&gt;pr_fen_year,SUMIFS($D$334:N$334,$D$319:N$319,"&gt;"&amp;pr_fen_year)=0),pr_fen_rev,0)</f>
        <v/>
      </c>
    </row>
    <row r="356">
      <c r="B356" s="2" t="inlineStr">
        <is>
          <t>DSIC pool: eligible plant since the latest test year</t>
        </is>
      </c>
      <c r="C356" s="5" t="inlineStr">
        <is>
          <t>$ million</t>
        </is>
      </c>
      <c r="E356" s="23">
        <f>IF(E319=(pr_close+1),0,SUMIFS($D$331:D$331,$D$319:D$319,"&gt;"&amp;E336))</f>
        <v/>
      </c>
      <c r="F356" s="23">
        <f>IF(F319=(pr_close+1),0,SUMIFS($D$331:E$331,$D$319:E$319,"&gt;"&amp;F336))</f>
        <v/>
      </c>
      <c r="G356" s="23">
        <f>IF(G319=(pr_close+1),0,SUMIFS($D$331:F$331,$D$319:F$319,"&gt;"&amp;G336))</f>
        <v/>
      </c>
      <c r="H356" s="23">
        <f>IF(H319=(pr_close+1),0,SUMIFS($D$331:G$331,$D$319:G$319,"&gt;"&amp;H336))</f>
        <v/>
      </c>
      <c r="I356" s="23">
        <f>IF(I319=(pr_close+1),0,SUMIFS($D$331:H$331,$D$319:H$319,"&gt;"&amp;I336))</f>
        <v/>
      </c>
      <c r="J356" s="23">
        <f>IF(J319=(pr_close+1),0,SUMIFS($D$331:I$331,$D$319:I$319,"&gt;"&amp;J336))</f>
        <v/>
      </c>
      <c r="K356" s="23">
        <f>IF(K319=(pr_close+1),0,SUMIFS($D$331:J$331,$D$319:J$319,"&gt;"&amp;K336))</f>
        <v/>
      </c>
      <c r="L356" s="23">
        <f>IF(L319=(pr_close+1),0,SUMIFS($D$331:K$331,$D$319:K$319,"&gt;"&amp;L336))</f>
        <v/>
      </c>
      <c r="M356" s="23">
        <f>IF(M319=(pr_close+1),0,SUMIFS($D$331:L$331,$D$319:L$319,"&gt;"&amp;M336))</f>
        <v/>
      </c>
      <c r="N356" s="23">
        <f>IF(N319=(pr_close+1),0,SUMIFS($D$331:M$331,$D$319:M$319,"&gt;"&amp;N336))</f>
        <v/>
      </c>
    </row>
    <row r="357">
      <c r="B357" s="2" t="inlineStr">
        <is>
          <t>DSIC surcharge (capped)</t>
        </is>
      </c>
      <c r="C357" s="5" t="inlineStr">
        <is>
          <t>$ million</t>
        </is>
      </c>
      <c r="E357" s="23">
        <f>IF(AND(pr_dsic=1,E319&gt;(pr_close+1)),MIN(pr_dsic_cap*E354,E356*((pr_eq*pr_roe+(1-pr_eq)*D380)+(pr_eq*pr_roe*pr_tax/(1-pr_tax))+pr_dep)),0)</f>
        <v/>
      </c>
      <c r="F357" s="23">
        <f>IF(AND(pr_dsic=1,F319&gt;(pr_close+1)),MIN(pr_dsic_cap*F354,F356*((pr_eq*pr_roe+(1-pr_eq)*E380)+(pr_eq*pr_roe*pr_tax/(1-pr_tax))+pr_dep)),0)</f>
        <v/>
      </c>
      <c r="G357" s="23">
        <f>IF(AND(pr_dsic=1,G319&gt;(pr_close+1)),MIN(pr_dsic_cap*G354,G356*((pr_eq*pr_roe+(1-pr_eq)*F380)+(pr_eq*pr_roe*pr_tax/(1-pr_tax))+pr_dep)),0)</f>
        <v/>
      </c>
      <c r="H357" s="23">
        <f>IF(AND(pr_dsic=1,H319&gt;(pr_close+1)),MIN(pr_dsic_cap*H354,H356*((pr_eq*pr_roe+(1-pr_eq)*G380)+(pr_eq*pr_roe*pr_tax/(1-pr_tax))+pr_dep)),0)</f>
        <v/>
      </c>
      <c r="I357" s="23">
        <f>IF(AND(pr_dsic=1,I319&gt;(pr_close+1)),MIN(pr_dsic_cap*I354,I356*((pr_eq*pr_roe+(1-pr_eq)*H380)+(pr_eq*pr_roe*pr_tax/(1-pr_tax))+pr_dep)),0)</f>
        <v/>
      </c>
      <c r="J357" s="23">
        <f>IF(AND(pr_dsic=1,J319&gt;(pr_close+1)),MIN(pr_dsic_cap*J354,J356*((pr_eq*pr_roe+(1-pr_eq)*I380)+(pr_eq*pr_roe*pr_tax/(1-pr_tax))+pr_dep)),0)</f>
        <v/>
      </c>
      <c r="K357" s="23">
        <f>IF(AND(pr_dsic=1,K319&gt;(pr_close+1)),MIN(pr_dsic_cap*K354,K356*((pr_eq*pr_roe+(1-pr_eq)*J380)+(pr_eq*pr_roe*pr_tax/(1-pr_tax))+pr_dep)),0)</f>
        <v/>
      </c>
      <c r="L357" s="23">
        <f>IF(AND(pr_dsic=1,L319&gt;(pr_close+1)),MIN(pr_dsic_cap*L354,L356*((pr_eq*pr_roe+(1-pr_eq)*K380)+(pr_eq*pr_roe*pr_tax/(1-pr_tax))+pr_dep)),0)</f>
        <v/>
      </c>
      <c r="M357" s="23">
        <f>IF(AND(pr_dsic=1,M319&gt;(pr_close+1)),MIN(pr_dsic_cap*M354,M356*((pr_eq*pr_roe+(1-pr_eq)*L380)+(pr_eq*pr_roe*pr_tax/(1-pr_tax))+pr_dep)),0)</f>
        <v/>
      </c>
      <c r="N357" s="23">
        <f>IF(AND(pr_dsic=1,N319&gt;(pr_close+1)),MIN(pr_dsic_cap*N354,N356*((pr_eq*pr_roe+(1-pr_eq)*M380)+(pr_eq*pr_roe*pr_tax/(1-pr_tax))+pr_dep)),0)</f>
        <v/>
      </c>
    </row>
    <row r="358">
      <c r="B358" s="3" t="inlineStr">
        <is>
          <t>Revenue</t>
        </is>
      </c>
      <c r="C358" s="5" t="inlineStr">
        <is>
          <t>$ million</t>
        </is>
      </c>
      <c r="E358" s="23">
        <f>E354+E355+E357</f>
        <v/>
      </c>
      <c r="F358" s="23">
        <f>F354+F355+F357</f>
        <v/>
      </c>
      <c r="G358" s="23">
        <f>G354+G355+G357</f>
        <v/>
      </c>
      <c r="H358" s="23">
        <f>H354+H355+H357</f>
        <v/>
      </c>
      <c r="I358" s="23">
        <f>I354+I355+I357</f>
        <v/>
      </c>
      <c r="J358" s="23">
        <f>J354+J355+J357</f>
        <v/>
      </c>
      <c r="K358" s="23">
        <f>K354+K355+K357</f>
        <v/>
      </c>
      <c r="L358" s="23">
        <f>L354+L355+L357</f>
        <v/>
      </c>
      <c r="M358" s="23">
        <f>M354+M355+M357</f>
        <v/>
      </c>
      <c r="N358" s="23">
        <f>N354+N355+N357</f>
        <v/>
      </c>
    </row>
    <row r="360">
      <c r="B360" s="6" t="inlineStr">
        <is>
          <t>Costs and income ($ million)</t>
        </is>
      </c>
      <c r="C360" s="7" t="n"/>
      <c r="D360" s="7" t="n"/>
      <c r="E360" s="7" t="n"/>
      <c r="F360" s="7" t="n"/>
      <c r="G360" s="7" t="n"/>
      <c r="H360" s="7" t="n"/>
      <c r="I360" s="7" t="n"/>
      <c r="J360" s="7" t="n"/>
      <c r="K360" s="7" t="n"/>
      <c r="L360" s="7" t="n"/>
      <c r="M360" s="7" t="n"/>
      <c r="N360" s="7" t="n"/>
    </row>
    <row r="361">
      <c r="B361" s="2" t="inlineStr">
        <is>
          <t>Operation and maintenance (with PFAS and Fennick)</t>
        </is>
      </c>
      <c r="C361" s="5" t="inlineStr">
        <is>
          <t>$ million</t>
        </is>
      </c>
      <c r="D361" s="23">
        <f>pr_om_2028/((1+Inputs!$C$235)*(1+pr_growth))</f>
        <v/>
      </c>
      <c r="E361" s="23">
        <f>pr_om_2028*((1+Inputs!$C$235)*(1+pr_growth))^E320+IF(E319&gt;=pr_pfas_om_y+pr_pfas_delay,pr_pfas_om*(1+pr_pfas_om_esc)^(E319-pr_pfas_om_y),0)+IF(AND(pr_fen_on=1,E319&gt;pr_fen_year),pr_fen_om*(1+pr_fen_esc)^(E319-pr_fen_year-1),0)</f>
        <v/>
      </c>
      <c r="F361" s="23">
        <f>pr_om_2028*((1+Inputs!$C$235)*(1+pr_growth))^F320+IF(F319&gt;=pr_pfas_om_y+pr_pfas_delay,pr_pfas_om*(1+pr_pfas_om_esc)^(F319-pr_pfas_om_y),0)+IF(AND(pr_fen_on=1,F319&gt;pr_fen_year),pr_fen_om*(1+pr_fen_esc)^(F319-pr_fen_year-1),0)</f>
        <v/>
      </c>
      <c r="G361" s="23">
        <f>pr_om_2028*((1+Inputs!$C$235)*(1+pr_growth))^G320+IF(G319&gt;=pr_pfas_om_y+pr_pfas_delay,pr_pfas_om*(1+pr_pfas_om_esc)^(G319-pr_pfas_om_y),0)+IF(AND(pr_fen_on=1,G319&gt;pr_fen_year),pr_fen_om*(1+pr_fen_esc)^(G319-pr_fen_year-1),0)</f>
        <v/>
      </c>
      <c r="H361" s="23">
        <f>pr_om_2028*((1+Inputs!$C$235)*(1+pr_growth))^H320+IF(H319&gt;=pr_pfas_om_y+pr_pfas_delay,pr_pfas_om*(1+pr_pfas_om_esc)^(H319-pr_pfas_om_y),0)+IF(AND(pr_fen_on=1,H319&gt;pr_fen_year),pr_fen_om*(1+pr_fen_esc)^(H319-pr_fen_year-1),0)</f>
        <v/>
      </c>
      <c r="I361" s="23">
        <f>pr_om_2028*((1+Inputs!$C$235)*(1+pr_growth))^I320+IF(I319&gt;=pr_pfas_om_y+pr_pfas_delay,pr_pfas_om*(1+pr_pfas_om_esc)^(I319-pr_pfas_om_y),0)+IF(AND(pr_fen_on=1,I319&gt;pr_fen_year),pr_fen_om*(1+pr_fen_esc)^(I319-pr_fen_year-1),0)</f>
        <v/>
      </c>
      <c r="J361" s="23">
        <f>pr_om_2028*((1+Inputs!$C$235)*(1+pr_growth))^J320+IF(J319&gt;=pr_pfas_om_y+pr_pfas_delay,pr_pfas_om*(1+pr_pfas_om_esc)^(J319-pr_pfas_om_y),0)+IF(AND(pr_fen_on=1,J319&gt;pr_fen_year),pr_fen_om*(1+pr_fen_esc)^(J319-pr_fen_year-1),0)</f>
        <v/>
      </c>
      <c r="K361" s="23">
        <f>pr_om_2028*((1+Inputs!$C$235)*(1+pr_growth))^K320+IF(K319&gt;=pr_pfas_om_y+pr_pfas_delay,pr_pfas_om*(1+pr_pfas_om_esc)^(K319-pr_pfas_om_y),0)+IF(AND(pr_fen_on=1,K319&gt;pr_fen_year),pr_fen_om*(1+pr_fen_esc)^(K319-pr_fen_year-1),0)</f>
        <v/>
      </c>
      <c r="L361" s="23">
        <f>pr_om_2028*((1+Inputs!$C$235)*(1+pr_growth))^L320+IF(L319&gt;=pr_pfas_om_y+pr_pfas_delay,pr_pfas_om*(1+pr_pfas_om_esc)^(L319-pr_pfas_om_y),0)+IF(AND(pr_fen_on=1,L319&gt;pr_fen_year),pr_fen_om*(1+pr_fen_esc)^(L319-pr_fen_year-1),0)</f>
        <v/>
      </c>
      <c r="M361" s="23">
        <f>pr_om_2028*((1+Inputs!$C$235)*(1+pr_growth))^M320+IF(M319&gt;=pr_pfas_om_y+pr_pfas_delay,pr_pfas_om*(1+pr_pfas_om_esc)^(M319-pr_pfas_om_y),0)+IF(AND(pr_fen_on=1,M319&gt;pr_fen_year),pr_fen_om*(1+pr_fen_esc)^(M319-pr_fen_year-1),0)</f>
        <v/>
      </c>
      <c r="N361" s="23">
        <f>pr_om_2028*((1+Inputs!$C$235)*(1+pr_growth))^N320+IF(N319&gt;=pr_pfas_om_y+pr_pfas_delay,pr_pfas_om*(1+pr_pfas_om_esc)^(N319-pr_pfas_om_y),0)+IF(AND(pr_fen_on=1,N319&gt;pr_fen_year),pr_fen_om*(1+pr_fen_esc)^(N319-pr_fen_year-1),0)</f>
        <v/>
      </c>
    </row>
    <row r="362">
      <c r="B362" s="2" t="inlineStr">
        <is>
          <t>Customer-side lead cost expensed</t>
        </is>
      </c>
      <c r="C362" s="5" t="inlineStr">
        <is>
          <t>$ million</t>
        </is>
      </c>
      <c r="E362" s="23">
        <f>pr_lead_exp*E328*pr_lead_cust</f>
        <v/>
      </c>
      <c r="F362" s="23">
        <f>pr_lead_exp*F328*pr_lead_cust</f>
        <v/>
      </c>
      <c r="G362" s="23">
        <f>pr_lead_exp*G328*pr_lead_cust</f>
        <v/>
      </c>
      <c r="H362" s="23">
        <f>pr_lead_exp*H328*pr_lead_cust</f>
        <v/>
      </c>
      <c r="I362" s="23">
        <f>pr_lead_exp*I328*pr_lead_cust</f>
        <v/>
      </c>
      <c r="J362" s="23">
        <f>pr_lead_exp*J328*pr_lead_cust</f>
        <v/>
      </c>
      <c r="K362" s="23">
        <f>pr_lead_exp*K328*pr_lead_cust</f>
        <v/>
      </c>
      <c r="L362" s="23">
        <f>pr_lead_exp*L328*pr_lead_cust</f>
        <v/>
      </c>
      <c r="M362" s="23">
        <f>pr_lead_exp*M328*pr_lead_cust</f>
        <v/>
      </c>
      <c r="N362" s="23">
        <f>pr_lead_exp*N328*pr_lead_cust</f>
        <v/>
      </c>
    </row>
    <row r="363">
      <c r="B363" s="2" t="inlineStr">
        <is>
          <t>Other taxes</t>
        </is>
      </c>
      <c r="C363" s="5" t="inlineStr">
        <is>
          <t>$ million</t>
        </is>
      </c>
      <c r="E363" s="23">
        <f>pr_ptax*E372</f>
        <v/>
      </c>
      <c r="F363" s="23">
        <f>pr_ptax*F372</f>
        <v/>
      </c>
      <c r="G363" s="23">
        <f>pr_ptax*G372</f>
        <v/>
      </c>
      <c r="H363" s="23">
        <f>pr_ptax*H372</f>
        <v/>
      </c>
      <c r="I363" s="23">
        <f>pr_ptax*I372</f>
        <v/>
      </c>
      <c r="J363" s="23">
        <f>pr_ptax*J372</f>
        <v/>
      </c>
      <c r="K363" s="23">
        <f>pr_ptax*K372</f>
        <v/>
      </c>
      <c r="L363" s="23">
        <f>pr_ptax*L372</f>
        <v/>
      </c>
      <c r="M363" s="23">
        <f>pr_ptax*M372</f>
        <v/>
      </c>
      <c r="N363" s="23">
        <f>pr_ptax*N372</f>
        <v/>
      </c>
    </row>
    <row r="364">
      <c r="B364" s="2" t="inlineStr">
        <is>
          <t>EBITDA</t>
        </is>
      </c>
      <c r="C364" s="5" t="inlineStr">
        <is>
          <t>$ million</t>
        </is>
      </c>
      <c r="E364" s="23">
        <f>E358-E361-E363-E362</f>
        <v/>
      </c>
      <c r="F364" s="23">
        <f>F358-F361-F363-F362</f>
        <v/>
      </c>
      <c r="G364" s="23">
        <f>G358-G361-G363-G362</f>
        <v/>
      </c>
      <c r="H364" s="23">
        <f>H358-H361-H363-H362</f>
        <v/>
      </c>
      <c r="I364" s="23">
        <f>I358-I361-I363-I362</f>
        <v/>
      </c>
      <c r="J364" s="23">
        <f>J358-J361-J363-J362</f>
        <v/>
      </c>
      <c r="K364" s="23">
        <f>K358-K361-K363-K362</f>
        <v/>
      </c>
      <c r="L364" s="23">
        <f>L358-L361-L363-L362</f>
        <v/>
      </c>
      <c r="M364" s="23">
        <f>M358-M361-M363-M362</f>
        <v/>
      </c>
      <c r="N364" s="23">
        <f>N358-N361-N363-N362</f>
        <v/>
      </c>
    </row>
    <row r="365">
      <c r="B365" s="2" t="inlineStr">
        <is>
          <t>Depreciation</t>
        </is>
      </c>
      <c r="C365" s="5" t="inlineStr">
        <is>
          <t>$ million</t>
        </is>
      </c>
      <c r="E365" s="23">
        <f>pr_dep*E372</f>
        <v/>
      </c>
      <c r="F365" s="23">
        <f>pr_dep*F372</f>
        <v/>
      </c>
      <c r="G365" s="23">
        <f>pr_dep*G372</f>
        <v/>
      </c>
      <c r="H365" s="23">
        <f>pr_dep*H372</f>
        <v/>
      </c>
      <c r="I365" s="23">
        <f>pr_dep*I372</f>
        <v/>
      </c>
      <c r="J365" s="23">
        <f>pr_dep*J372</f>
        <v/>
      </c>
      <c r="K365" s="23">
        <f>pr_dep*K372</f>
        <v/>
      </c>
      <c r="L365" s="23">
        <f>pr_dep*L372</f>
        <v/>
      </c>
      <c r="M365" s="23">
        <f>pr_dep*M372</f>
        <v/>
      </c>
      <c r="N365" s="23">
        <f>pr_dep*N372</f>
        <v/>
      </c>
    </row>
    <row r="366">
      <c r="B366" s="2" t="inlineStr">
        <is>
          <t>Interest (average of opening and closing debt)</t>
        </is>
      </c>
      <c r="C366" s="5" t="inlineStr">
        <is>
          <t>$ million</t>
        </is>
      </c>
      <c r="E366" s="23">
        <f>0.5*(D378*D380+E378*E380)</f>
        <v/>
      </c>
      <c r="F366" s="23">
        <f>0.5*(E378*E380+F378*F380)</f>
        <v/>
      </c>
      <c r="G366" s="23">
        <f>0.5*(F378*F380+G378*G380)</f>
        <v/>
      </c>
      <c r="H366" s="23">
        <f>0.5*(G378*G380+H378*H380)</f>
        <v/>
      </c>
      <c r="I366" s="23">
        <f>0.5*(H378*H380+I378*I380)</f>
        <v/>
      </c>
      <c r="J366" s="23">
        <f>0.5*(I378*I380+J378*J380)</f>
        <v/>
      </c>
      <c r="K366" s="23">
        <f>0.5*(J378*J380+K378*K380)</f>
        <v/>
      </c>
      <c r="L366" s="23">
        <f>0.5*(K378*K380+L378*L380)</f>
        <v/>
      </c>
      <c r="M366" s="23">
        <f>0.5*(L378*L380+M378*M380)</f>
        <v/>
      </c>
      <c r="N366" s="23">
        <f>0.5*(M378*M380+N378*N380)</f>
        <v/>
      </c>
    </row>
    <row r="367">
      <c r="B367" s="2" t="inlineStr">
        <is>
          <t>Income before tax</t>
        </is>
      </c>
      <c r="C367" s="5" t="inlineStr">
        <is>
          <t>$ million</t>
        </is>
      </c>
      <c r="E367" s="23">
        <f>E364-E365-E366</f>
        <v/>
      </c>
      <c r="F367" s="23">
        <f>F364-F365-F366</f>
        <v/>
      </c>
      <c r="G367" s="23">
        <f>G364-G365-G366</f>
        <v/>
      </c>
      <c r="H367" s="23">
        <f>H364-H365-H366</f>
        <v/>
      </c>
      <c r="I367" s="23">
        <f>I364-I365-I366</f>
        <v/>
      </c>
      <c r="J367" s="23">
        <f>J364-J365-J366</f>
        <v/>
      </c>
      <c r="K367" s="23">
        <f>K364-K365-K366</f>
        <v/>
      </c>
      <c r="L367" s="23">
        <f>L364-L365-L366</f>
        <v/>
      </c>
      <c r="M367" s="23">
        <f>M364-M365-M366</f>
        <v/>
      </c>
      <c r="N367" s="23">
        <f>N364-N365-N366</f>
        <v/>
      </c>
    </row>
    <row r="368">
      <c r="B368" s="2" t="inlineStr">
        <is>
          <t>Income tax</t>
        </is>
      </c>
      <c r="C368" s="5" t="inlineStr">
        <is>
          <t>$ million</t>
        </is>
      </c>
      <c r="E368" s="23">
        <f>pr_tax*E367</f>
        <v/>
      </c>
      <c r="F368" s="23">
        <f>pr_tax*F367</f>
        <v/>
      </c>
      <c r="G368" s="23">
        <f>pr_tax*G367</f>
        <v/>
      </c>
      <c r="H368" s="23">
        <f>pr_tax*H367</f>
        <v/>
      </c>
      <c r="I368" s="23">
        <f>pr_tax*I367</f>
        <v/>
      </c>
      <c r="J368" s="23">
        <f>pr_tax*J367</f>
        <v/>
      </c>
      <c r="K368" s="23">
        <f>pr_tax*K367</f>
        <v/>
      </c>
      <c r="L368" s="23">
        <f>pr_tax*L367</f>
        <v/>
      </c>
      <c r="M368" s="23">
        <f>pr_tax*M367</f>
        <v/>
      </c>
      <c r="N368" s="23">
        <f>pr_tax*N367</f>
        <v/>
      </c>
    </row>
    <row r="369">
      <c r="B369" s="3" t="inlineStr">
        <is>
          <t>Net income</t>
        </is>
      </c>
      <c r="C369" s="5" t="inlineStr">
        <is>
          <t>$ million</t>
        </is>
      </c>
      <c r="E369" s="23">
        <f>E367-E368</f>
        <v/>
      </c>
      <c r="F369" s="23">
        <f>F367-F368</f>
        <v/>
      </c>
      <c r="G369" s="23">
        <f>G367-G368</f>
        <v/>
      </c>
      <c r="H369" s="23">
        <f>H367-H368</f>
        <v/>
      </c>
      <c r="I369" s="23">
        <f>I367-I368</f>
        <v/>
      </c>
      <c r="J369" s="23">
        <f>J367-J368</f>
        <v/>
      </c>
      <c r="K369" s="23">
        <f>K367-K368</f>
        <v/>
      </c>
      <c r="L369" s="23">
        <f>L367-L368</f>
        <v/>
      </c>
      <c r="M369" s="23">
        <f>M367-M368</f>
        <v/>
      </c>
      <c r="N369" s="23">
        <f>N367-N368</f>
        <v/>
      </c>
    </row>
    <row r="371">
      <c r="B371" s="6" t="inlineStr">
        <is>
          <t>Rate base and debt ($ million)</t>
        </is>
      </c>
      <c r="C371" s="7" t="n"/>
      <c r="D371" s="7" t="n"/>
      <c r="E371" s="7" t="n"/>
      <c r="F371" s="7" t="n"/>
      <c r="G371" s="7" t="n"/>
      <c r="H371" s="7" t="n"/>
      <c r="I371" s="7" t="n"/>
      <c r="J371" s="7" t="n"/>
      <c r="K371" s="7" t="n"/>
      <c r="L371" s="7" t="n"/>
      <c r="M371" s="7" t="n"/>
      <c r="N371" s="7" t="n"/>
    </row>
    <row r="372">
      <c r="B372" s="2" t="inlineStr">
        <is>
          <t>Opening rate base</t>
        </is>
      </c>
      <c r="C372" s="5" t="inlineStr">
        <is>
          <t>$ million</t>
        </is>
      </c>
      <c r="E372" s="23">
        <f>D376</f>
        <v/>
      </c>
      <c r="F372" s="23">
        <f>E376</f>
        <v/>
      </c>
      <c r="G372" s="23">
        <f>F376</f>
        <v/>
      </c>
      <c r="H372" s="23">
        <f>G376</f>
        <v/>
      </c>
      <c r="I372" s="23">
        <f>H376</f>
        <v/>
      </c>
      <c r="J372" s="23">
        <f>I376</f>
        <v/>
      </c>
      <c r="K372" s="23">
        <f>J376</f>
        <v/>
      </c>
      <c r="L372" s="23">
        <f>K376</f>
        <v/>
      </c>
      <c r="M372" s="23">
        <f>L376</f>
        <v/>
      </c>
      <c r="N372" s="23">
        <f>M376</f>
        <v/>
      </c>
    </row>
    <row r="373">
      <c r="B373" s="2" t="inlineStr">
        <is>
          <t>Spending disallowed (never in rate base)</t>
        </is>
      </c>
      <c r="C373" s="5" t="inlineStr">
        <is>
          <t>$ million</t>
        </is>
      </c>
      <c r="E373" s="23">
        <f>pr_disallow*(E327+E328-E362)</f>
        <v/>
      </c>
      <c r="F373" s="23">
        <f>pr_disallow*(F327+F328-F362)</f>
        <v/>
      </c>
      <c r="G373" s="23">
        <f>pr_disallow*(G327+G328-G362)</f>
        <v/>
      </c>
      <c r="H373" s="23">
        <f>pr_disallow*(H327+H328-H362)</f>
        <v/>
      </c>
      <c r="I373" s="23">
        <f>pr_disallow*(I327+I328-I362)</f>
        <v/>
      </c>
      <c r="J373" s="23">
        <f>pr_disallow*(J327+J328-J362)</f>
        <v/>
      </c>
      <c r="K373" s="23">
        <f>pr_disallow*(K327+K328-K362)</f>
        <v/>
      </c>
      <c r="L373" s="23">
        <f>pr_disallow*(L327+L328-L362)</f>
        <v/>
      </c>
      <c r="M373" s="23">
        <f>pr_disallow*(M327+M328-M362)</f>
        <v/>
      </c>
      <c r="N373" s="23">
        <f>pr_disallow*(N327+N328-N362)</f>
        <v/>
      </c>
    </row>
    <row r="374">
      <c r="B374" s="2" t="inlineStr">
        <is>
          <t>Acquisitions (Fennick at its price)</t>
        </is>
      </c>
      <c r="C374" s="5" t="inlineStr">
        <is>
          <t>$ million</t>
        </is>
      </c>
      <c r="E374" s="23">
        <f>IF(AND(pr_fen_on=1,E319=pr_fen_year),pr_fen_price,0)</f>
        <v/>
      </c>
      <c r="F374" s="23">
        <f>IF(AND(pr_fen_on=1,F319=pr_fen_year),pr_fen_price,0)</f>
        <v/>
      </c>
      <c r="G374" s="23">
        <f>IF(AND(pr_fen_on=1,G319=pr_fen_year),pr_fen_price,0)</f>
        <v/>
      </c>
      <c r="H374" s="23">
        <f>IF(AND(pr_fen_on=1,H319=pr_fen_year),pr_fen_price,0)</f>
        <v/>
      </c>
      <c r="I374" s="23">
        <f>IF(AND(pr_fen_on=1,I319=pr_fen_year),pr_fen_price,0)</f>
        <v/>
      </c>
      <c r="J374" s="23">
        <f>IF(AND(pr_fen_on=1,J319=pr_fen_year),pr_fen_price,0)</f>
        <v/>
      </c>
      <c r="K374" s="23">
        <f>IF(AND(pr_fen_on=1,K319=pr_fen_year),pr_fen_price,0)</f>
        <v/>
      </c>
      <c r="L374" s="23">
        <f>IF(AND(pr_fen_on=1,L319=pr_fen_year),pr_fen_price,0)</f>
        <v/>
      </c>
      <c r="M374" s="23">
        <f>IF(AND(pr_fen_on=1,M319=pr_fen_year),pr_fen_price,0)</f>
        <v/>
      </c>
      <c r="N374" s="23">
        <f>IF(AND(pr_fen_on=1,N319=pr_fen_year),pr_fen_price,0)</f>
        <v/>
      </c>
    </row>
    <row r="375">
      <c r="B375" s="2" t="inlineStr">
        <is>
          <t>Settlement credited against rate base</t>
        </is>
      </c>
      <c r="C375" s="5" t="inlineStr">
        <is>
          <t>$ million</t>
        </is>
      </c>
      <c r="E375" s="23">
        <f>IF(E319=pr_settle_y,pr_settle,0)</f>
        <v/>
      </c>
      <c r="F375" s="23">
        <f>IF(F319=pr_settle_y,pr_settle,0)</f>
        <v/>
      </c>
      <c r="G375" s="23">
        <f>IF(G319=pr_settle_y,pr_settle,0)</f>
        <v/>
      </c>
      <c r="H375" s="23">
        <f>IF(H319=pr_settle_y,pr_settle,0)</f>
        <v/>
      </c>
      <c r="I375" s="23">
        <f>IF(I319=pr_settle_y,pr_settle,0)</f>
        <v/>
      </c>
      <c r="J375" s="23">
        <f>IF(J319=pr_settle_y,pr_settle,0)</f>
        <v/>
      </c>
      <c r="K375" s="23">
        <f>IF(K319=pr_settle_y,pr_settle,0)</f>
        <v/>
      </c>
      <c r="L375" s="23">
        <f>IF(L319=pr_settle_y,pr_settle,0)</f>
        <v/>
      </c>
      <c r="M375" s="23">
        <f>IF(M319=pr_settle_y,pr_settle,0)</f>
        <v/>
      </c>
      <c r="N375" s="23">
        <f>IF(N319=pr_settle_y,pr_settle,0)</f>
        <v/>
      </c>
    </row>
    <row r="376">
      <c r="B376" s="3" t="inlineStr">
        <is>
          <t>Closing rate base</t>
        </is>
      </c>
      <c r="C376" s="5" t="inlineStr">
        <is>
          <t>$ million</t>
        </is>
      </c>
      <c r="D376" s="23">
        <f>pr_rb0</f>
        <v/>
      </c>
      <c r="E376" s="23">
        <f>E372+E330-E362-E373+E374-E365-E375</f>
        <v/>
      </c>
      <c r="F376" s="23">
        <f>F372+F330-F362-F373+F374-F365-F375</f>
        <v/>
      </c>
      <c r="G376" s="23">
        <f>G372+G330-G362-G373+G374-G365-G375</f>
        <v/>
      </c>
      <c r="H376" s="23">
        <f>H372+H330-H362-H373+H374-H365-H375</f>
        <v/>
      </c>
      <c r="I376" s="23">
        <f>I372+I330-I362-I373+I374-I365-I375</f>
        <v/>
      </c>
      <c r="J376" s="23">
        <f>J372+J330-J362-J373+J374-J365-J375</f>
        <v/>
      </c>
      <c r="K376" s="23">
        <f>K372+K330-K362-K373+K374-K365-K375</f>
        <v/>
      </c>
      <c r="L376" s="23">
        <f>L372+L330-L362-L373+L374-L365-L375</f>
        <v/>
      </c>
      <c r="M376" s="23">
        <f>M372+M330-M362-M373+M374-M365-M375</f>
        <v/>
      </c>
      <c r="N376" s="23">
        <f>N372+N330-N362-N373+N374-N365-N375</f>
        <v/>
      </c>
    </row>
    <row r="377">
      <c r="B377" s="2" t="inlineStr">
        <is>
          <t>Original bonds outstanding</t>
        </is>
      </c>
      <c r="C377" s="5" t="inlineStr">
        <is>
          <t>$ million</t>
        </is>
      </c>
      <c r="D377" s="23">
        <f>(1-pr_eq)*pr_rb0</f>
        <v/>
      </c>
      <c r="E377" s="23">
        <f>MAX(0,D377-pr_amort*(1-pr_eq)*pr_rb0)</f>
        <v/>
      </c>
      <c r="F377" s="23">
        <f>MAX(0,E377-pr_amort*(1-pr_eq)*pr_rb0)</f>
        <v/>
      </c>
      <c r="G377" s="23">
        <f>MAX(0,F377-pr_amort*(1-pr_eq)*pr_rb0)</f>
        <v/>
      </c>
      <c r="H377" s="23">
        <f>MAX(0,G377-pr_amort*(1-pr_eq)*pr_rb0)</f>
        <v/>
      </c>
      <c r="I377" s="23">
        <f>MAX(0,H377-pr_amort*(1-pr_eq)*pr_rb0)</f>
        <v/>
      </c>
      <c r="J377" s="23">
        <f>MAX(0,I377-pr_amort*(1-pr_eq)*pr_rb0)</f>
        <v/>
      </c>
      <c r="K377" s="23">
        <f>MAX(0,J377-pr_amort*(1-pr_eq)*pr_rb0)</f>
        <v/>
      </c>
      <c r="L377" s="23">
        <f>MAX(0,K377-pr_amort*(1-pr_eq)*pr_rb0)</f>
        <v/>
      </c>
      <c r="M377" s="23">
        <f>MAX(0,L377-pr_amort*(1-pr_eq)*pr_rb0)</f>
        <v/>
      </c>
      <c r="N377" s="23">
        <f>MAX(0,M377-pr_amort*(1-pr_eq)*pr_rb0)</f>
        <v/>
      </c>
    </row>
    <row r="378">
      <c r="B378" s="2" t="inlineStr">
        <is>
          <t>Operating company debt (debt share of rate base)</t>
        </is>
      </c>
      <c r="C378" s="5" t="inlineStr">
        <is>
          <t>$ million</t>
        </is>
      </c>
      <c r="D378" s="23">
        <f>(1-pr_eq)*D376</f>
        <v/>
      </c>
      <c r="E378" s="23">
        <f>(1-pr_eq)*E376</f>
        <v/>
      </c>
      <c r="F378" s="23">
        <f>(1-pr_eq)*F376</f>
        <v/>
      </c>
      <c r="G378" s="23">
        <f>(1-pr_eq)*G376</f>
        <v/>
      </c>
      <c r="H378" s="23">
        <f>(1-pr_eq)*H376</f>
        <v/>
      </c>
      <c r="I378" s="23">
        <f>(1-pr_eq)*I376</f>
        <v/>
      </c>
      <c r="J378" s="23">
        <f>(1-pr_eq)*J376</f>
        <v/>
      </c>
      <c r="K378" s="23">
        <f>(1-pr_eq)*K376</f>
        <v/>
      </c>
      <c r="L378" s="23">
        <f>(1-pr_eq)*L376</f>
        <v/>
      </c>
      <c r="M378" s="23">
        <f>(1-pr_eq)*M376</f>
        <v/>
      </c>
      <c r="N378" s="23">
        <f>(1-pr_eq)*N376</f>
        <v/>
      </c>
    </row>
    <row r="379">
      <c r="B379" s="2" t="inlineStr">
        <is>
          <t>New bonds outstanding</t>
        </is>
      </c>
      <c r="C379" s="5" t="inlineStr">
        <is>
          <t>$ million</t>
        </is>
      </c>
      <c r="D379" s="23">
        <f>D378-D377</f>
        <v/>
      </c>
      <c r="E379" s="23">
        <f>E378-E377</f>
        <v/>
      </c>
      <c r="F379" s="23">
        <f>F378-F377</f>
        <v/>
      </c>
      <c r="G379" s="23">
        <f>G378-G377</f>
        <v/>
      </c>
      <c r="H379" s="23">
        <f>H378-H377</f>
        <v/>
      </c>
      <c r="I379" s="23">
        <f>I378-I377</f>
        <v/>
      </c>
      <c r="J379" s="23">
        <f>J378-J377</f>
        <v/>
      </c>
      <c r="K379" s="23">
        <f>K378-K377</f>
        <v/>
      </c>
      <c r="L379" s="23">
        <f>L378-L377</f>
        <v/>
      </c>
      <c r="M379" s="23">
        <f>M378-M377</f>
        <v/>
      </c>
      <c r="N379" s="23">
        <f>N378-N377</f>
        <v/>
      </c>
    </row>
    <row r="380">
      <c r="B380" s="2" t="inlineStr">
        <is>
          <t>Embedded cost of debt at year end</t>
        </is>
      </c>
      <c r="C380" s="5" t="inlineStr">
        <is>
          <t>rate</t>
        </is>
      </c>
      <c r="D380" s="27">
        <f>pr_kd_old</f>
        <v/>
      </c>
      <c r="E380" s="27">
        <f>(E377*pr_kd_old+E379*pr_kd_new)/E378</f>
        <v/>
      </c>
      <c r="F380" s="27">
        <f>(F377*pr_kd_old+F379*pr_kd_new)/F378</f>
        <v/>
      </c>
      <c r="G380" s="27">
        <f>(G377*pr_kd_old+G379*pr_kd_new)/G378</f>
        <v/>
      </c>
      <c r="H380" s="27">
        <f>(H377*pr_kd_old+H379*pr_kd_new)/H378</f>
        <v/>
      </c>
      <c r="I380" s="27">
        <f>(I377*pr_kd_old+I379*pr_kd_new)/I378</f>
        <v/>
      </c>
      <c r="J380" s="27">
        <f>(J377*pr_kd_old+J379*pr_kd_new)/J378</f>
        <v/>
      </c>
      <c r="K380" s="27">
        <f>(K377*pr_kd_old+K379*pr_kd_new)/K378</f>
        <v/>
      </c>
      <c r="L380" s="27">
        <f>(L377*pr_kd_old+L379*pr_kd_new)/L378</f>
        <v/>
      </c>
      <c r="M380" s="27">
        <f>(M377*pr_kd_old+M379*pr_kd_new)/M378</f>
        <v/>
      </c>
      <c r="N380" s="27">
        <f>(N377*pr_kd_old+N379*pr_kd_new)/N378</f>
        <v/>
      </c>
    </row>
    <row r="382">
      <c r="B382" s="6" t="inlineStr">
        <is>
          <t>Returns and cash ($ million)</t>
        </is>
      </c>
      <c r="C382" s="7" t="n"/>
      <c r="D382" s="7" t="n"/>
      <c r="E382" s="7" t="n"/>
      <c r="F382" s="7" t="n"/>
      <c r="G382" s="7" t="n"/>
      <c r="H382" s="7" t="n"/>
      <c r="I382" s="7" t="n"/>
      <c r="J382" s="7" t="n"/>
      <c r="K382" s="7" t="n"/>
      <c r="L382" s="7" t="n"/>
      <c r="M382" s="7" t="n"/>
      <c r="N382" s="7" t="n"/>
    </row>
    <row r="383">
      <c r="B383" s="2" t="inlineStr">
        <is>
          <t>Average equity share of rate base</t>
        </is>
      </c>
      <c r="C383" s="5" t="inlineStr">
        <is>
          <t>$ million</t>
        </is>
      </c>
      <c r="E383" s="23">
        <f>pr_eq*0.5*(E372+E376)</f>
        <v/>
      </c>
      <c r="F383" s="23">
        <f>pr_eq*0.5*(F372+F376)</f>
        <v/>
      </c>
      <c r="G383" s="23">
        <f>pr_eq*0.5*(G372+G376)</f>
        <v/>
      </c>
      <c r="H383" s="23">
        <f>pr_eq*0.5*(H372+H376)</f>
        <v/>
      </c>
      <c r="I383" s="23">
        <f>pr_eq*0.5*(I372+I376)</f>
        <v/>
      </c>
      <c r="J383" s="23">
        <f>pr_eq*0.5*(J372+J376)</f>
        <v/>
      </c>
      <c r="K383" s="23">
        <f>pr_eq*0.5*(K372+K376)</f>
        <v/>
      </c>
      <c r="L383" s="23">
        <f>pr_eq*0.5*(L372+L376)</f>
        <v/>
      </c>
      <c r="M383" s="23">
        <f>pr_eq*0.5*(M372+M376)</f>
        <v/>
      </c>
      <c r="N383" s="23">
        <f>pr_eq*0.5*(N372+N376)</f>
        <v/>
      </c>
    </row>
    <row r="384">
      <c r="B384" s="2" t="inlineStr">
        <is>
          <t>Earned return on equity</t>
        </is>
      </c>
      <c r="C384" s="5" t="inlineStr">
        <is>
          <t>rate</t>
        </is>
      </c>
      <c r="E384" s="27">
        <f>E369/E383</f>
        <v/>
      </c>
      <c r="F384" s="27">
        <f>F369/F383</f>
        <v/>
      </c>
      <c r="G384" s="27">
        <f>G369/G383</f>
        <v/>
      </c>
      <c r="H384" s="27">
        <f>H369/H383</f>
        <v/>
      </c>
      <c r="I384" s="27">
        <f>I369/I383</f>
        <v/>
      </c>
      <c r="J384" s="27">
        <f>J369/J383</f>
        <v/>
      </c>
      <c r="K384" s="27">
        <f>K369/K383</f>
        <v/>
      </c>
      <c r="L384" s="27">
        <f>L369/L383</f>
        <v/>
      </c>
      <c r="M384" s="27">
        <f>M369/M383</f>
        <v/>
      </c>
      <c r="N384" s="27">
        <f>N369/N383</f>
        <v/>
      </c>
    </row>
    <row r="385">
      <c r="B385" s="2" t="inlineStr">
        <is>
          <t>Authorized return on equity</t>
        </is>
      </c>
      <c r="C385" s="5" t="inlineStr">
        <is>
          <t>rate</t>
        </is>
      </c>
      <c r="E385" s="27">
        <f>pr_roe</f>
        <v/>
      </c>
      <c r="F385" s="27">
        <f>pr_roe</f>
        <v/>
      </c>
      <c r="G385" s="27">
        <f>pr_roe</f>
        <v/>
      </c>
      <c r="H385" s="27">
        <f>pr_roe</f>
        <v/>
      </c>
      <c r="I385" s="27">
        <f>pr_roe</f>
        <v/>
      </c>
      <c r="J385" s="27">
        <f>pr_roe</f>
        <v/>
      </c>
      <c r="K385" s="27">
        <f>pr_roe</f>
        <v/>
      </c>
      <c r="L385" s="27">
        <f>pr_roe</f>
        <v/>
      </c>
      <c r="M385" s="27">
        <f>pr_roe</f>
        <v/>
      </c>
      <c r="N385" s="27">
        <f>pr_roe</f>
        <v/>
      </c>
    </row>
    <row r="386">
      <c r="B386" s="3" t="inlineStr">
        <is>
          <t>Cash to the shareholder (FCFE)</t>
        </is>
      </c>
      <c r="C386" s="5" t="inlineStr">
        <is>
          <t>$ million</t>
        </is>
      </c>
      <c r="E386" s="23">
        <f>E369+E365-E330-E374+E375+E378-D378</f>
        <v/>
      </c>
      <c r="F386" s="23">
        <f>F369+F365-F330-F374+F375+F378-E378</f>
        <v/>
      </c>
      <c r="G386" s="23">
        <f>G369+G365-G330-G374+G375+G378-F378</f>
        <v/>
      </c>
      <c r="H386" s="23">
        <f>H369+H365-H330-H374+H375+H378-G378</f>
        <v/>
      </c>
      <c r="I386" s="23">
        <f>I369+I365-I330-I374+I375+I378-H378</f>
        <v/>
      </c>
      <c r="J386" s="23">
        <f>J369+J365-J330-J374+J375+J378-I378</f>
        <v/>
      </c>
      <c r="K386" s="23">
        <f>K369+K365-K330-K374+K375+K378-J378</f>
        <v/>
      </c>
      <c r="L386" s="23">
        <f>L369+L365-L330-L374+L375+L378-K378</f>
        <v/>
      </c>
      <c r="M386" s="23">
        <f>M369+M365-M330-M374+M375+M378-L378</f>
        <v/>
      </c>
      <c r="N386" s="23">
        <f>N369+N365-N330-N374+N375+N378-M378</f>
        <v/>
      </c>
    </row>
    <row r="387">
      <c r="B387" s="2" t="inlineStr">
        <is>
          <t>Funds from operations (net income + depreciation)</t>
        </is>
      </c>
      <c r="C387" s="5" t="inlineStr">
        <is>
          <t>$ million</t>
        </is>
      </c>
      <c r="E387" s="23">
        <f>E369+E365</f>
        <v/>
      </c>
      <c r="F387" s="23">
        <f>F369+F365</f>
        <v/>
      </c>
      <c r="G387" s="23">
        <f>G369+G365</f>
        <v/>
      </c>
      <c r="H387" s="23">
        <f>H369+H365</f>
        <v/>
      </c>
      <c r="I387" s="23">
        <f>I369+I365</f>
        <v/>
      </c>
      <c r="J387" s="23">
        <f>J369+J365</f>
        <v/>
      </c>
      <c r="K387" s="23">
        <f>K369+K365</f>
        <v/>
      </c>
      <c r="L387" s="23">
        <f>L369+L365</f>
        <v/>
      </c>
      <c r="M387" s="23">
        <f>M369+M365</f>
        <v/>
      </c>
      <c r="N387" s="23">
        <f>N369+N365</f>
        <v/>
      </c>
    </row>
    <row r="388">
      <c r="B388" s="3" t="inlineStr">
        <is>
          <t>Brannock's net flows (exit at the exit multiple)</t>
        </is>
      </c>
      <c r="C388" s="5" t="inlineStr">
        <is>
          <t>$ million</t>
        </is>
      </c>
      <c r="D388" s="23">
        <f>-(pr_ev_mult*pr_rb0-(1-pr_eq)*pr_rb0+pr_costs-pr_holdco)</f>
        <v/>
      </c>
      <c r="E388" s="23">
        <f>E386-pr_holdco*pr_kd_holdco*(1-pr_tax)</f>
        <v/>
      </c>
      <c r="F388" s="23">
        <f>F386-pr_holdco*pr_kd_holdco*(1-pr_tax)</f>
        <v/>
      </c>
      <c r="G388" s="23">
        <f>G386-pr_holdco*pr_kd_holdco*(1-pr_tax)</f>
        <v/>
      </c>
      <c r="H388" s="23">
        <f>H386-pr_holdco*pr_kd_holdco*(1-pr_tax)</f>
        <v/>
      </c>
      <c r="I388" s="23">
        <f>I386-pr_holdco*pr_kd_holdco*(1-pr_tax)</f>
        <v/>
      </c>
      <c r="J388" s="23">
        <f>J386-pr_holdco*pr_kd_holdco*(1-pr_tax)</f>
        <v/>
      </c>
      <c r="K388" s="23">
        <f>K386-pr_holdco*pr_kd_holdco*(1-pr_tax)</f>
        <v/>
      </c>
      <c r="L388" s="23">
        <f>L386-pr_holdco*pr_kd_holdco*(1-pr_tax)</f>
        <v/>
      </c>
      <c r="M388" s="23">
        <f>M386-pr_holdco*pr_kd_holdco*(1-pr_tax)</f>
        <v/>
      </c>
      <c r="N388" s="23">
        <f>N386-pr_holdco*pr_kd_holdco*(1-pr_tax)+pr_exit_mult*N376-N378-pr_holdco</f>
        <v/>
      </c>
    </row>
    <row r="389">
      <c r="B389" s="2" t="inlineStr">
        <is>
          <t>Levered IRR</t>
        </is>
      </c>
      <c r="C389" s="5" t="inlineStr">
        <is>
          <t>rate</t>
        </is>
      </c>
      <c r="D389" s="27">
        <f>IRR($D$388:N$388,0.08)</f>
        <v/>
      </c>
    </row>
    <row r="390">
      <c r="B390" s="2" t="inlineStr">
        <is>
          <t>Average earned return on equity 2028 to 2037</t>
        </is>
      </c>
      <c r="C390" s="5" t="inlineStr">
        <is>
          <t>rate</t>
        </is>
      </c>
      <c r="D390" s="27">
        <f>AVERAGE($E$384:N$384)</f>
        <v/>
      </c>
    </row>
    <row r="391">
      <c r="B391" s="2" t="inlineStr">
        <is>
          <t>Price at the target return (enterprise value)</t>
        </is>
      </c>
      <c r="C391" s="5" t="inlineStr">
        <is>
          <t>$ million</t>
        </is>
      </c>
      <c r="D391" s="23">
        <f>NPV(pr_target,$E$388:N$388)+(1-pr_eq)*pr_rb0-pr_costs+pr_holdco</f>
        <v/>
      </c>
    </row>
    <row r="392">
      <c r="B392" s="2" t="inlineStr">
        <is>
          <t>Exit equity</t>
        </is>
      </c>
      <c r="C392" s="5" t="inlineStr">
        <is>
          <t>$ million</t>
        </is>
      </c>
      <c r="D392" s="23">
        <f>pr_exit_mult*N376-N378-pr_holdco</f>
        <v/>
      </c>
    </row>
    <row r="393">
      <c r="B393" s="2" t="inlineStr">
        <is>
          <t>Rate base at exit</t>
        </is>
      </c>
      <c r="C393" s="5" t="inlineStr">
        <is>
          <t>$ million</t>
        </is>
      </c>
      <c r="D393" s="23">
        <f>N376</f>
        <v/>
      </c>
    </row>
    <row r="396">
      <c r="B396" s="6" t="inlineStr">
        <is>
          <t>S6: Capital spending +20 percent, fully recovered (Pell River, after tax)</t>
        </is>
      </c>
      <c r="C396" s="7" t="n"/>
      <c r="D396" s="7" t="n"/>
      <c r="E396" s="7" t="n"/>
      <c r="F396" s="7" t="n"/>
      <c r="G396" s="7" t="n"/>
      <c r="H396" s="7" t="n"/>
      <c r="I396" s="7" t="n"/>
      <c r="J396" s="7" t="n"/>
      <c r="K396" s="7" t="n"/>
      <c r="L396" s="7" t="n"/>
      <c r="M396" s="7" t="n"/>
      <c r="N396" s="7" t="n"/>
    </row>
    <row r="397">
      <c r="B397" s="2" t="inlineStr">
        <is>
          <t>Year (31 December)</t>
        </is>
      </c>
      <c r="D397" s="26">
        <f>pr_close</f>
        <v/>
      </c>
      <c r="E397" s="26">
        <f>D397+1</f>
        <v/>
      </c>
      <c r="F397" s="26">
        <f>E397+1</f>
        <v/>
      </c>
      <c r="G397" s="26">
        <f>F397+1</f>
        <v/>
      </c>
      <c r="H397" s="26">
        <f>G397+1</f>
        <v/>
      </c>
      <c r="I397" s="26">
        <f>H397+1</f>
        <v/>
      </c>
      <c r="J397" s="26">
        <f>I397+1</f>
        <v/>
      </c>
      <c r="K397" s="26">
        <f>J397+1</f>
        <v/>
      </c>
      <c r="L397" s="26">
        <f>K397+1</f>
        <v/>
      </c>
      <c r="M397" s="26">
        <f>L397+1</f>
        <v/>
      </c>
      <c r="N397" s="26">
        <f>M397+1</f>
        <v/>
      </c>
    </row>
    <row r="398">
      <c r="B398" s="2" t="inlineStr">
        <is>
          <t>Years after the first year of the hold (2028 = 0)</t>
        </is>
      </c>
      <c r="D398" s="26">
        <f>D397-(pr_close+1)</f>
        <v/>
      </c>
      <c r="E398" s="26">
        <f>E397-(pr_close+1)</f>
        <v/>
      </c>
      <c r="F398" s="26">
        <f>F397-(pr_close+1)</f>
        <v/>
      </c>
      <c r="G398" s="26">
        <f>G397-(pr_close+1)</f>
        <v/>
      </c>
      <c r="H398" s="26">
        <f>H397-(pr_close+1)</f>
        <v/>
      </c>
      <c r="I398" s="26">
        <f>I397-(pr_close+1)</f>
        <v/>
      </c>
      <c r="J398" s="26">
        <f>J397-(pr_close+1)</f>
        <v/>
      </c>
      <c r="K398" s="26">
        <f>K397-(pr_close+1)</f>
        <v/>
      </c>
      <c r="L398" s="26">
        <f>L397-(pr_close+1)</f>
        <v/>
      </c>
      <c r="M398" s="26">
        <f>M397-(pr_close+1)</f>
        <v/>
      </c>
      <c r="N398" s="26">
        <f>N397-(pr_close+1)</f>
        <v/>
      </c>
    </row>
    <row r="399">
      <c r="B399" s="2" t="inlineStr">
        <is>
          <t>Connections (water and wastewater), year end</t>
        </is>
      </c>
      <c r="C399" s="5" t="inlineStr">
        <is>
          <t>number</t>
        </is>
      </c>
      <c r="D399" s="19">
        <f>pr_water_conn+pr_ww_conn</f>
        <v/>
      </c>
      <c r="E399" s="19">
        <f>D399*(1+pr_growth)+IF(AND(pr_fen_on=1,E397=pr_fen_year+1),pr_fen_conn,0)</f>
        <v/>
      </c>
      <c r="F399" s="19">
        <f>E399*(1+pr_growth)+IF(AND(pr_fen_on=1,F397=pr_fen_year+1),pr_fen_conn,0)</f>
        <v/>
      </c>
      <c r="G399" s="19">
        <f>F399*(1+pr_growth)+IF(AND(pr_fen_on=1,G397=pr_fen_year+1),pr_fen_conn,0)</f>
        <v/>
      </c>
      <c r="H399" s="19">
        <f>G399*(1+pr_growth)+IF(AND(pr_fen_on=1,H397=pr_fen_year+1),pr_fen_conn,0)</f>
        <v/>
      </c>
      <c r="I399" s="19">
        <f>H399*(1+pr_growth)+IF(AND(pr_fen_on=1,I397=pr_fen_year+1),pr_fen_conn,0)</f>
        <v/>
      </c>
      <c r="J399" s="19">
        <f>I399*(1+pr_growth)+IF(AND(pr_fen_on=1,J397=pr_fen_year+1),pr_fen_conn,0)</f>
        <v/>
      </c>
      <c r="K399" s="19">
        <f>J399*(1+pr_growth)+IF(AND(pr_fen_on=1,K397=pr_fen_year+1),pr_fen_conn,0)</f>
        <v/>
      </c>
      <c r="L399" s="19">
        <f>K399*(1+pr_growth)+IF(AND(pr_fen_on=1,L397=pr_fen_year+1),pr_fen_conn,0)</f>
        <v/>
      </c>
      <c r="M399" s="19">
        <f>L399*(1+pr_growth)+IF(AND(pr_fen_on=1,M397=pr_fen_year+1),pr_fen_conn,0)</f>
        <v/>
      </c>
      <c r="N399" s="19">
        <f>M399*(1+pr_growth)+IF(AND(pr_fen_on=1,N397=pr_fen_year+1),pr_fen_conn,0)</f>
        <v/>
      </c>
    </row>
    <row r="401">
      <c r="B401" s="6" t="inlineStr">
        <is>
          <t>Capital spending ($ million)</t>
        </is>
      </c>
      <c r="C401" s="7" t="n"/>
      <c r="D401" s="7" t="n"/>
      <c r="E401" s="7" t="n"/>
      <c r="F401" s="7" t="n"/>
      <c r="G401" s="7" t="n"/>
      <c r="H401" s="7" t="n"/>
      <c r="I401" s="7" t="n"/>
      <c r="J401" s="7" t="n"/>
      <c r="K401" s="7" t="n"/>
      <c r="L401" s="7" t="n"/>
      <c r="M401" s="7" t="n"/>
      <c r="N401" s="7" t="n"/>
    </row>
    <row r="402">
      <c r="B402" s="2" t="inlineStr">
        <is>
          <t>Cost escalation index (2028 = 1)</t>
        </is>
      </c>
      <c r="E402" s="28">
        <f>(1+pr_capex_esc)^(E397-(pr_close+1))</f>
        <v/>
      </c>
      <c r="F402" s="28">
        <f>(1+pr_capex_esc)^(F397-(pr_close+1))</f>
        <v/>
      </c>
      <c r="G402" s="28">
        <f>(1+pr_capex_esc)^(G397-(pr_close+1))</f>
        <v/>
      </c>
      <c r="H402" s="28">
        <f>(1+pr_capex_esc)^(H397-(pr_close+1))</f>
        <v/>
      </c>
      <c r="I402" s="28">
        <f>(1+pr_capex_esc)^(I397-(pr_close+1))</f>
        <v/>
      </c>
      <c r="J402" s="28">
        <f>(1+pr_capex_esc)^(J397-(pr_close+1))</f>
        <v/>
      </c>
      <c r="K402" s="28">
        <f>(1+pr_capex_esc)^(K397-(pr_close+1))</f>
        <v/>
      </c>
      <c r="L402" s="28">
        <f>(1+pr_capex_esc)^(L397-(pr_close+1))</f>
        <v/>
      </c>
      <c r="M402" s="28">
        <f>(1+pr_capex_esc)^(M397-(pr_close+1))</f>
        <v/>
      </c>
      <c r="N402" s="28">
        <f>(1+pr_capex_esc)^(N397-(pr_close+1))</f>
        <v/>
      </c>
    </row>
    <row r="403">
      <c r="B403" s="2" t="inlineStr">
        <is>
          <t>Main renewal</t>
        </is>
      </c>
      <c r="C403" s="5" t="inlineStr">
        <is>
          <t>$ million</t>
        </is>
      </c>
      <c r="E403" s="23">
        <f>pr_renewal*pr_mains_miles*pr_cost_mile*E402*(1+Inputs!$C$236)</f>
        <v/>
      </c>
      <c r="F403" s="23">
        <f>pr_renewal*pr_mains_miles*pr_cost_mile*F402*(1+Inputs!$C$236)</f>
        <v/>
      </c>
      <c r="G403" s="23">
        <f>pr_renewal*pr_mains_miles*pr_cost_mile*G402*(1+Inputs!$C$236)</f>
        <v/>
      </c>
      <c r="H403" s="23">
        <f>pr_renewal*pr_mains_miles*pr_cost_mile*H402*(1+Inputs!$C$236)</f>
        <v/>
      </c>
      <c r="I403" s="23">
        <f>pr_renewal*pr_mains_miles*pr_cost_mile*I402*(1+Inputs!$C$236)</f>
        <v/>
      </c>
      <c r="J403" s="23">
        <f>pr_renewal*pr_mains_miles*pr_cost_mile*J402*(1+Inputs!$C$236)</f>
        <v/>
      </c>
      <c r="K403" s="23">
        <f>pr_renewal*pr_mains_miles*pr_cost_mile*K402*(1+Inputs!$C$236)</f>
        <v/>
      </c>
      <c r="L403" s="23">
        <f>pr_renewal*pr_mains_miles*pr_cost_mile*L402*(1+Inputs!$C$236)</f>
        <v/>
      </c>
      <c r="M403" s="23">
        <f>pr_renewal*pr_mains_miles*pr_cost_mile*M402*(1+Inputs!$C$236)</f>
        <v/>
      </c>
      <c r="N403" s="23">
        <f>pr_renewal*pr_mains_miles*pr_cost_mile*N402*(1+Inputs!$C$236)</f>
        <v/>
      </c>
    </row>
    <row r="404">
      <c r="B404" s="2" t="inlineStr">
        <is>
          <t>Treatment, storage, meters, IT and growth</t>
        </is>
      </c>
      <c r="C404" s="5" t="inlineStr">
        <is>
          <t>$ million</t>
        </is>
      </c>
      <c r="E404" s="23">
        <f>pr_other_capex*E402*(1+Inputs!$C$236)</f>
        <v/>
      </c>
      <c r="F404" s="23">
        <f>pr_other_capex*F402*(1+Inputs!$C$236)</f>
        <v/>
      </c>
      <c r="G404" s="23">
        <f>pr_other_capex*G402*(1+Inputs!$C$236)</f>
        <v/>
      </c>
      <c r="H404" s="23">
        <f>pr_other_capex*H402*(1+Inputs!$C$236)</f>
        <v/>
      </c>
      <c r="I404" s="23">
        <f>pr_other_capex*I402*(1+Inputs!$C$236)</f>
        <v/>
      </c>
      <c r="J404" s="23">
        <f>pr_other_capex*J402*(1+Inputs!$C$236)</f>
        <v/>
      </c>
      <c r="K404" s="23">
        <f>pr_other_capex*K402*(1+Inputs!$C$236)</f>
        <v/>
      </c>
      <c r="L404" s="23">
        <f>pr_other_capex*L402*(1+Inputs!$C$236)</f>
        <v/>
      </c>
      <c r="M404" s="23">
        <f>pr_other_capex*M402*(1+Inputs!$C$236)</f>
        <v/>
      </c>
      <c r="N404" s="23">
        <f>pr_other_capex*N402*(1+Inputs!$C$236)</f>
        <v/>
      </c>
    </row>
    <row r="405">
      <c r="B405" s="2" t="inlineStr">
        <is>
          <t>PFAS treatment</t>
        </is>
      </c>
      <c r="C405" s="5" t="inlineStr">
        <is>
          <t>$ million</t>
        </is>
      </c>
      <c r="E405" s="23">
        <f>(IF(E397-pr_pfas_delay=pr_pfas_y1,pr_pfas_1,0)+IF(E397-pr_pfas_delay=pr_pfas_y1+1,pr_pfas_2,0)+IF(E397-pr_pfas_delay=pr_pfas_y1+2,pr_pfas_3,0))*(1+pr_capex_esc)^pr_pfas_delay*(1+Inputs!$C$236)</f>
        <v/>
      </c>
      <c r="F405" s="23">
        <f>(IF(F397-pr_pfas_delay=pr_pfas_y1,pr_pfas_1,0)+IF(F397-pr_pfas_delay=pr_pfas_y1+1,pr_pfas_2,0)+IF(F397-pr_pfas_delay=pr_pfas_y1+2,pr_pfas_3,0))*(1+pr_capex_esc)^pr_pfas_delay*(1+Inputs!$C$236)</f>
        <v/>
      </c>
      <c r="G405" s="23">
        <f>(IF(G397-pr_pfas_delay=pr_pfas_y1,pr_pfas_1,0)+IF(G397-pr_pfas_delay=pr_pfas_y1+1,pr_pfas_2,0)+IF(G397-pr_pfas_delay=pr_pfas_y1+2,pr_pfas_3,0))*(1+pr_capex_esc)^pr_pfas_delay*(1+Inputs!$C$236)</f>
        <v/>
      </c>
      <c r="H405" s="23">
        <f>(IF(H397-pr_pfas_delay=pr_pfas_y1,pr_pfas_1,0)+IF(H397-pr_pfas_delay=pr_pfas_y1+1,pr_pfas_2,0)+IF(H397-pr_pfas_delay=pr_pfas_y1+2,pr_pfas_3,0))*(1+pr_capex_esc)^pr_pfas_delay*(1+Inputs!$C$236)</f>
        <v/>
      </c>
      <c r="I405" s="23">
        <f>(IF(I397-pr_pfas_delay=pr_pfas_y1,pr_pfas_1,0)+IF(I397-pr_pfas_delay=pr_pfas_y1+1,pr_pfas_2,0)+IF(I397-pr_pfas_delay=pr_pfas_y1+2,pr_pfas_3,0))*(1+pr_capex_esc)^pr_pfas_delay*(1+Inputs!$C$236)</f>
        <v/>
      </c>
      <c r="J405" s="23">
        <f>(IF(J397-pr_pfas_delay=pr_pfas_y1,pr_pfas_1,0)+IF(J397-pr_pfas_delay=pr_pfas_y1+1,pr_pfas_2,0)+IF(J397-pr_pfas_delay=pr_pfas_y1+2,pr_pfas_3,0))*(1+pr_capex_esc)^pr_pfas_delay*(1+Inputs!$C$236)</f>
        <v/>
      </c>
      <c r="K405" s="23">
        <f>(IF(K397-pr_pfas_delay=pr_pfas_y1,pr_pfas_1,0)+IF(K397-pr_pfas_delay=pr_pfas_y1+1,pr_pfas_2,0)+IF(K397-pr_pfas_delay=pr_pfas_y1+2,pr_pfas_3,0))*(1+pr_capex_esc)^pr_pfas_delay*(1+Inputs!$C$236)</f>
        <v/>
      </c>
      <c r="L405" s="23">
        <f>(IF(L397-pr_pfas_delay=pr_pfas_y1,pr_pfas_1,0)+IF(L397-pr_pfas_delay=pr_pfas_y1+1,pr_pfas_2,0)+IF(L397-pr_pfas_delay=pr_pfas_y1+2,pr_pfas_3,0))*(1+pr_capex_esc)^pr_pfas_delay*(1+Inputs!$C$236)</f>
        <v/>
      </c>
      <c r="M405" s="23">
        <f>(IF(M397-pr_pfas_delay=pr_pfas_y1,pr_pfas_1,0)+IF(M397-pr_pfas_delay=pr_pfas_y1+1,pr_pfas_2,0)+IF(M397-pr_pfas_delay=pr_pfas_y1+2,pr_pfas_3,0))*(1+pr_capex_esc)^pr_pfas_delay*(1+Inputs!$C$236)</f>
        <v/>
      </c>
      <c r="N405" s="23">
        <f>(IF(N397-pr_pfas_delay=pr_pfas_y1,pr_pfas_1,0)+IF(N397-pr_pfas_delay=pr_pfas_y1+1,pr_pfas_2,0)+IF(N397-pr_pfas_delay=pr_pfas_y1+2,pr_pfas_3,0))*(1+pr_capex_esc)^pr_pfas_delay*(1+Inputs!$C$236)</f>
        <v/>
      </c>
    </row>
    <row r="406">
      <c r="B406" s="2" t="inlineStr">
        <is>
          <t>Lead service lines</t>
        </is>
      </c>
      <c r="C406" s="5" t="inlineStr">
        <is>
          <t>$ million</t>
        </is>
      </c>
      <c r="E406" s="23">
        <f>IF(AND(E397&gt;=(pr_close+1),E397&lt;(pr_close+1)+pr_lead_years),pr_lead_lines/pr_lead_years*pr_lead_cost/1000000*E402,0)*(1+Inputs!$C$236)</f>
        <v/>
      </c>
      <c r="F406" s="23">
        <f>IF(AND(F397&gt;=(pr_close+1),F397&lt;(pr_close+1)+pr_lead_years),pr_lead_lines/pr_lead_years*pr_lead_cost/1000000*F402,0)*(1+Inputs!$C$236)</f>
        <v/>
      </c>
      <c r="G406" s="23">
        <f>IF(AND(G397&gt;=(pr_close+1),G397&lt;(pr_close+1)+pr_lead_years),pr_lead_lines/pr_lead_years*pr_lead_cost/1000000*G402,0)*(1+Inputs!$C$236)</f>
        <v/>
      </c>
      <c r="H406" s="23">
        <f>IF(AND(H397&gt;=(pr_close+1),H397&lt;(pr_close+1)+pr_lead_years),pr_lead_lines/pr_lead_years*pr_lead_cost/1000000*H402,0)*(1+Inputs!$C$236)</f>
        <v/>
      </c>
      <c r="I406" s="23">
        <f>IF(AND(I397&gt;=(pr_close+1),I397&lt;(pr_close+1)+pr_lead_years),pr_lead_lines/pr_lead_years*pr_lead_cost/1000000*I402,0)*(1+Inputs!$C$236)</f>
        <v/>
      </c>
      <c r="J406" s="23">
        <f>IF(AND(J397&gt;=(pr_close+1),J397&lt;(pr_close+1)+pr_lead_years),pr_lead_lines/pr_lead_years*pr_lead_cost/1000000*J402,0)*(1+Inputs!$C$236)</f>
        <v/>
      </c>
      <c r="K406" s="23">
        <f>IF(AND(K397&gt;=(pr_close+1),K397&lt;(pr_close+1)+pr_lead_years),pr_lead_lines/pr_lead_years*pr_lead_cost/1000000*K402,0)*(1+Inputs!$C$236)</f>
        <v/>
      </c>
      <c r="L406" s="23">
        <f>IF(AND(L397&gt;=(pr_close+1),L397&lt;(pr_close+1)+pr_lead_years),pr_lead_lines/pr_lead_years*pr_lead_cost/1000000*L402,0)*(1+Inputs!$C$236)</f>
        <v/>
      </c>
      <c r="M406" s="23">
        <f>IF(AND(M397&gt;=(pr_close+1),M397&lt;(pr_close+1)+pr_lead_years),pr_lead_lines/pr_lead_years*pr_lead_cost/1000000*M402,0)*(1+Inputs!$C$236)</f>
        <v/>
      </c>
      <c r="N406" s="23">
        <f>IF(AND(N397&gt;=(pr_close+1),N397&lt;(pr_close+1)+pr_lead_years),pr_lead_lines/pr_lead_years*pr_lead_cost/1000000*N402,0)*(1+Inputs!$C$236)</f>
        <v/>
      </c>
    </row>
    <row r="407">
      <c r="B407" s="2" t="inlineStr">
        <is>
          <t>Fennick system</t>
        </is>
      </c>
      <c r="C407" s="5" t="inlineStr">
        <is>
          <t>$ million</t>
        </is>
      </c>
      <c r="E407" s="23">
        <f>IF(AND(pr_fen_on=1,E397&gt;pr_fen_year),pr_fen_capex*(1+pr_capex_esc)^(E397-pr_fen_year-1),0)*(1+Inputs!$C$236)</f>
        <v/>
      </c>
      <c r="F407" s="23">
        <f>IF(AND(pr_fen_on=1,F397&gt;pr_fen_year),pr_fen_capex*(1+pr_capex_esc)^(F397-pr_fen_year-1),0)*(1+Inputs!$C$236)</f>
        <v/>
      </c>
      <c r="G407" s="23">
        <f>IF(AND(pr_fen_on=1,G397&gt;pr_fen_year),pr_fen_capex*(1+pr_capex_esc)^(G397-pr_fen_year-1),0)*(1+Inputs!$C$236)</f>
        <v/>
      </c>
      <c r="H407" s="23">
        <f>IF(AND(pr_fen_on=1,H397&gt;pr_fen_year),pr_fen_capex*(1+pr_capex_esc)^(H397-pr_fen_year-1),0)*(1+Inputs!$C$236)</f>
        <v/>
      </c>
      <c r="I407" s="23">
        <f>IF(AND(pr_fen_on=1,I397&gt;pr_fen_year),pr_fen_capex*(1+pr_capex_esc)^(I397-pr_fen_year-1),0)*(1+Inputs!$C$236)</f>
        <v/>
      </c>
      <c r="J407" s="23">
        <f>IF(AND(pr_fen_on=1,J397&gt;pr_fen_year),pr_fen_capex*(1+pr_capex_esc)^(J397-pr_fen_year-1),0)*(1+Inputs!$C$236)</f>
        <v/>
      </c>
      <c r="K407" s="23">
        <f>IF(AND(pr_fen_on=1,K397&gt;pr_fen_year),pr_fen_capex*(1+pr_capex_esc)^(K397-pr_fen_year-1),0)*(1+Inputs!$C$236)</f>
        <v/>
      </c>
      <c r="L407" s="23">
        <f>IF(AND(pr_fen_on=1,L397&gt;pr_fen_year),pr_fen_capex*(1+pr_capex_esc)^(L397-pr_fen_year-1),0)*(1+Inputs!$C$236)</f>
        <v/>
      </c>
      <c r="M407" s="23">
        <f>IF(AND(pr_fen_on=1,M397&gt;pr_fen_year),pr_fen_capex*(1+pr_capex_esc)^(M397-pr_fen_year-1),0)*(1+Inputs!$C$236)</f>
        <v/>
      </c>
      <c r="N407" s="23">
        <f>IF(AND(pr_fen_on=1,N397&gt;pr_fen_year),pr_fen_capex*(1+pr_capex_esc)^(N397-pr_fen_year-1),0)*(1+Inputs!$C$236)</f>
        <v/>
      </c>
    </row>
    <row r="408">
      <c r="B408" s="2" t="inlineStr">
        <is>
          <t>Total capital spending</t>
        </is>
      </c>
      <c r="C408" s="5" t="inlineStr">
        <is>
          <t>$ million</t>
        </is>
      </c>
      <c r="E408" s="23">
        <f>SUM(E403:E407)</f>
        <v/>
      </c>
      <c r="F408" s="23">
        <f>SUM(F403:F407)</f>
        <v/>
      </c>
      <c r="G408" s="23">
        <f>SUM(G403:G407)</f>
        <v/>
      </c>
      <c r="H408" s="23">
        <f>SUM(H403:H407)</f>
        <v/>
      </c>
      <c r="I408" s="23">
        <f>SUM(I403:I407)</f>
        <v/>
      </c>
      <c r="J408" s="23">
        <f>SUM(J403:J407)</f>
        <v/>
      </c>
      <c r="K408" s="23">
        <f>SUM(K403:K407)</f>
        <v/>
      </c>
      <c r="L408" s="23">
        <f>SUM(L403:L407)</f>
        <v/>
      </c>
      <c r="M408" s="23">
        <f>SUM(M403:M407)</f>
        <v/>
      </c>
      <c r="N408" s="23">
        <f>SUM(N403:N407)</f>
        <v/>
      </c>
    </row>
    <row r="409">
      <c r="B409" s="2" t="inlineStr">
        <is>
          <t>DSIC-eligible (mains and lead lines)</t>
        </is>
      </c>
      <c r="C409" s="5" t="inlineStr">
        <is>
          <t>$ million</t>
        </is>
      </c>
      <c r="E409" s="23">
        <f>E403+E406</f>
        <v/>
      </c>
      <c r="F409" s="23">
        <f>F403+F406</f>
        <v/>
      </c>
      <c r="G409" s="23">
        <f>G403+G406</f>
        <v/>
      </c>
      <c r="H409" s="23">
        <f>H403+H406</f>
        <v/>
      </c>
      <c r="I409" s="23">
        <f>I403+I406</f>
        <v/>
      </c>
      <c r="J409" s="23">
        <f>J403+J406</f>
        <v/>
      </c>
      <c r="K409" s="23">
        <f>K403+K406</f>
        <v/>
      </c>
      <c r="L409" s="23">
        <f>L403+L406</f>
        <v/>
      </c>
      <c r="M409" s="23">
        <f>M403+M406</f>
        <v/>
      </c>
      <c r="N409" s="23">
        <f>N403+N406</f>
        <v/>
      </c>
    </row>
    <row r="411">
      <c r="B411" s="6" t="inlineStr">
        <is>
          <t>Rate case (rates effective 1 January of the year; test-year values looked up to the left)</t>
        </is>
      </c>
      <c r="C411" s="7" t="n"/>
      <c r="D411" s="7" t="n"/>
      <c r="E411" s="7" t="n"/>
      <c r="F411" s="7" t="n"/>
      <c r="G411" s="7" t="n"/>
      <c r="H411" s="7" t="n"/>
      <c r="I411" s="7" t="n"/>
      <c r="J411" s="7" t="n"/>
      <c r="K411" s="7" t="n"/>
      <c r="L411" s="7" t="n"/>
      <c r="M411" s="7" t="n"/>
      <c r="N411" s="7" t="n"/>
    </row>
    <row r="412">
      <c r="B412" s="2" t="inlineStr">
        <is>
          <t>Rate case this year (1 = yes)</t>
        </is>
      </c>
      <c r="E412" s="26">
        <f>IF(AND(E397&gt;=pr_rc_first,MOD(E397-pr_rc_first,pr_rc_cycle)=0),1,0)</f>
        <v/>
      </c>
      <c r="F412" s="26">
        <f>IF(AND(F397&gt;=pr_rc_first,MOD(F397-pr_rc_first,pr_rc_cycle)=0),1,0)</f>
        <v/>
      </c>
      <c r="G412" s="26">
        <f>IF(AND(G397&gt;=pr_rc_first,MOD(G397-pr_rc_first,pr_rc_cycle)=0),1,0)</f>
        <v/>
      </c>
      <c r="H412" s="26">
        <f>IF(AND(H397&gt;=pr_rc_first,MOD(H397-pr_rc_first,pr_rc_cycle)=0),1,0)</f>
        <v/>
      </c>
      <c r="I412" s="26">
        <f>IF(AND(I397&gt;=pr_rc_first,MOD(I397-pr_rc_first,pr_rc_cycle)=0),1,0)</f>
        <v/>
      </c>
      <c r="J412" s="26">
        <f>IF(AND(J397&gt;=pr_rc_first,MOD(J397-pr_rc_first,pr_rc_cycle)=0),1,0)</f>
        <v/>
      </c>
      <c r="K412" s="26">
        <f>IF(AND(K397&gt;=pr_rc_first,MOD(K397-pr_rc_first,pr_rc_cycle)=0),1,0)</f>
        <v/>
      </c>
      <c r="L412" s="26">
        <f>IF(AND(L397&gt;=pr_rc_first,MOD(L397-pr_rc_first,pr_rc_cycle)=0),1,0)</f>
        <v/>
      </c>
      <c r="M412" s="26">
        <f>IF(AND(M397&gt;=pr_rc_first,MOD(M397-pr_rc_first,pr_rc_cycle)=0),1,0)</f>
        <v/>
      </c>
      <c r="N412" s="26">
        <f>IF(AND(N397&gt;=pr_rc_first,MOD(N397-pr_rc_first,pr_rc_cycle)=0),1,0)</f>
        <v/>
      </c>
    </row>
    <row r="413">
      <c r="B413" s="2" t="inlineStr">
        <is>
          <t>Test year</t>
        </is>
      </c>
      <c r="E413" s="26">
        <f>E397-pr_test_lag</f>
        <v/>
      </c>
      <c r="F413" s="26">
        <f>F397-pr_test_lag</f>
        <v/>
      </c>
      <c r="G413" s="26">
        <f>G397-pr_test_lag</f>
        <v/>
      </c>
      <c r="H413" s="26">
        <f>H397-pr_test_lag</f>
        <v/>
      </c>
      <c r="I413" s="26">
        <f>I397-pr_test_lag</f>
        <v/>
      </c>
      <c r="J413" s="26">
        <f>J397-pr_test_lag</f>
        <v/>
      </c>
      <c r="K413" s="26">
        <f>K397-pr_test_lag</f>
        <v/>
      </c>
      <c r="L413" s="26">
        <f>L397-pr_test_lag</f>
        <v/>
      </c>
      <c r="M413" s="26">
        <f>M397-pr_test_lag</f>
        <v/>
      </c>
      <c r="N413" s="26">
        <f>N397-pr_test_lag</f>
        <v/>
      </c>
    </row>
    <row r="414">
      <c r="B414" s="2" t="inlineStr">
        <is>
          <t>Test year of the latest rate case</t>
        </is>
      </c>
      <c r="D414" s="26">
        <f>pr_close</f>
        <v/>
      </c>
      <c r="E414" s="26">
        <f>IF(E412=1,E413,D414)</f>
        <v/>
      </c>
      <c r="F414" s="26">
        <f>IF(F412=1,F413,E414)</f>
        <v/>
      </c>
      <c r="G414" s="26">
        <f>IF(G412=1,G413,F414)</f>
        <v/>
      </c>
      <c r="H414" s="26">
        <f>IF(H412=1,H413,G414)</f>
        <v/>
      </c>
      <c r="I414" s="26">
        <f>IF(I412=1,I413,H414)</f>
        <v/>
      </c>
      <c r="J414" s="26">
        <f>IF(J412=1,J413,I414)</f>
        <v/>
      </c>
      <c r="K414" s="26">
        <f>IF(K412=1,K413,J414)</f>
        <v/>
      </c>
      <c r="L414" s="26">
        <f>IF(L412=1,L413,K414)</f>
        <v/>
      </c>
      <c r="M414" s="26">
        <f>IF(M412=1,M413,L414)</f>
        <v/>
      </c>
      <c r="N414" s="26">
        <f>IF(N412=1,N413,M414)</f>
        <v/>
      </c>
    </row>
    <row r="415">
      <c r="B415" s="2" t="inlineStr">
        <is>
          <t>Rate base at the end of the test year</t>
        </is>
      </c>
      <c r="C415" s="5" t="inlineStr">
        <is>
          <t>$ million</t>
        </is>
      </c>
      <c r="E415" s="23">
        <f>INDEX($D$454:D$454,MATCH(MAX(E413,pr_close),$D$397:D$397,0))</f>
        <v/>
      </c>
      <c r="F415" s="23">
        <f>INDEX($D$454:E$454,MATCH(MAX(F413,pr_close),$D$397:E$397,0))</f>
        <v/>
      </c>
      <c r="G415" s="23">
        <f>INDEX($D$454:F$454,MATCH(MAX(G413,pr_close),$D$397:F$397,0))</f>
        <v/>
      </c>
      <c r="H415" s="23">
        <f>INDEX($D$454:G$454,MATCH(MAX(H413,pr_close),$D$397:G$397,0))</f>
        <v/>
      </c>
      <c r="I415" s="23">
        <f>INDEX($D$454:H$454,MATCH(MAX(I413,pr_close),$D$397:H$397,0))</f>
        <v/>
      </c>
      <c r="J415" s="23">
        <f>INDEX($D$454:I$454,MATCH(MAX(J413,pr_close),$D$397:I$397,0))</f>
        <v/>
      </c>
      <c r="K415" s="23">
        <f>INDEX($D$454:J$454,MATCH(MAX(K413,pr_close),$D$397:J$397,0))</f>
        <v/>
      </c>
      <c r="L415" s="23">
        <f>INDEX($D$454:K$454,MATCH(MAX(L413,pr_close),$D$397:K$397,0))</f>
        <v/>
      </c>
      <c r="M415" s="23">
        <f>INDEX($D$454:L$454,MATCH(MAX(M413,pr_close),$D$397:L$397,0))</f>
        <v/>
      </c>
      <c r="N415" s="23">
        <f>INDEX($D$454:M$454,MATCH(MAX(N413,pr_close),$D$397:M$397,0))</f>
        <v/>
      </c>
    </row>
    <row r="416">
      <c r="B416" s="2" t="inlineStr">
        <is>
          <t>Embedded cost of debt in the test year</t>
        </is>
      </c>
      <c r="C416" s="5" t="inlineStr">
        <is>
          <t>rate</t>
        </is>
      </c>
      <c r="E416" s="27">
        <f>INDEX($D$458:D$458,MATCH(MAX(E413,pr_close),$D$397:D$397,0))</f>
        <v/>
      </c>
      <c r="F416" s="27">
        <f>INDEX($D$458:E$458,MATCH(MAX(F413,pr_close),$D$397:E$397,0))</f>
        <v/>
      </c>
      <c r="G416" s="27">
        <f>INDEX($D$458:F$458,MATCH(MAX(G413,pr_close),$D$397:F$397,0))</f>
        <v/>
      </c>
      <c r="H416" s="27">
        <f>INDEX($D$458:G$458,MATCH(MAX(H413,pr_close),$D$397:G$397,0))</f>
        <v/>
      </c>
      <c r="I416" s="27">
        <f>INDEX($D$458:H$458,MATCH(MAX(I413,pr_close),$D$397:H$397,0))</f>
        <v/>
      </c>
      <c r="J416" s="27">
        <f>INDEX($D$458:I$458,MATCH(MAX(J413,pr_close),$D$397:I$397,0))</f>
        <v/>
      </c>
      <c r="K416" s="27">
        <f>INDEX($D$458:J$458,MATCH(MAX(K413,pr_close),$D$397:J$397,0))</f>
        <v/>
      </c>
      <c r="L416" s="27">
        <f>INDEX($D$458:K$458,MATCH(MAX(L413,pr_close),$D$397:K$397,0))</f>
        <v/>
      </c>
      <c r="M416" s="27">
        <f>INDEX($D$458:L$458,MATCH(MAX(M413,pr_close),$D$397:L$397,0))</f>
        <v/>
      </c>
      <c r="N416" s="27">
        <f>INDEX($D$458:M$458,MATCH(MAX(N413,pr_close),$D$397:M$397,0))</f>
        <v/>
      </c>
    </row>
    <row r="417">
      <c r="B417" s="2" t="inlineStr">
        <is>
          <t>O&amp;M in the test year</t>
        </is>
      </c>
      <c r="C417" s="5" t="inlineStr">
        <is>
          <t>$ million</t>
        </is>
      </c>
      <c r="E417" s="23">
        <f>INDEX($D$439:D$439,MATCH(MAX(E413,pr_close),$D$397:D$397,0))</f>
        <v/>
      </c>
      <c r="F417" s="23">
        <f>INDEX($D$439:E$439,MATCH(MAX(F413,pr_close),$D$397:E$397,0))</f>
        <v/>
      </c>
      <c r="G417" s="23">
        <f>INDEX($D$439:F$439,MATCH(MAX(G413,pr_close),$D$397:F$397,0))</f>
        <v/>
      </c>
      <c r="H417" s="23">
        <f>INDEX($D$439:G$439,MATCH(MAX(H413,pr_close),$D$397:G$397,0))</f>
        <v/>
      </c>
      <c r="I417" s="23">
        <f>INDEX($D$439:H$439,MATCH(MAX(I413,pr_close),$D$397:H$397,0))</f>
        <v/>
      </c>
      <c r="J417" s="23">
        <f>INDEX($D$439:I$439,MATCH(MAX(J413,pr_close),$D$397:I$397,0))</f>
        <v/>
      </c>
      <c r="K417" s="23">
        <f>INDEX($D$439:J$439,MATCH(MAX(K413,pr_close),$D$397:J$397,0))</f>
        <v/>
      </c>
      <c r="L417" s="23">
        <f>INDEX($D$439:K$439,MATCH(MAX(L413,pr_close),$D$397:K$397,0))</f>
        <v/>
      </c>
      <c r="M417" s="23">
        <f>INDEX($D$439:L$439,MATCH(MAX(M413,pr_close),$D$397:L$397,0))</f>
        <v/>
      </c>
      <c r="N417" s="23">
        <f>INDEX($D$439:M$439,MATCH(MAX(N413,pr_close),$D$397:M$397,0))</f>
        <v/>
      </c>
    </row>
    <row r="418">
      <c r="B418" s="2" t="inlineStr">
        <is>
          <t>Authorized return on rate base</t>
        </is>
      </c>
      <c r="C418" s="5" t="inlineStr">
        <is>
          <t>rate</t>
        </is>
      </c>
      <c r="E418" s="27">
        <f>(pr_eq*pr_roe+(1-pr_eq)*E416)</f>
        <v/>
      </c>
      <c r="F418" s="27">
        <f>(pr_eq*pr_roe+(1-pr_eq)*F416)</f>
        <v/>
      </c>
      <c r="G418" s="27">
        <f>(pr_eq*pr_roe+(1-pr_eq)*G416)</f>
        <v/>
      </c>
      <c r="H418" s="27">
        <f>(pr_eq*pr_roe+(1-pr_eq)*H416)</f>
        <v/>
      </c>
      <c r="I418" s="27">
        <f>(pr_eq*pr_roe+(1-pr_eq)*I416)</f>
        <v/>
      </c>
      <c r="J418" s="27">
        <f>(pr_eq*pr_roe+(1-pr_eq)*J416)</f>
        <v/>
      </c>
      <c r="K418" s="27">
        <f>(pr_eq*pr_roe+(1-pr_eq)*K416)</f>
        <v/>
      </c>
      <c r="L418" s="27">
        <f>(pr_eq*pr_roe+(1-pr_eq)*L416)</f>
        <v/>
      </c>
      <c r="M418" s="27">
        <f>(pr_eq*pr_roe+(1-pr_eq)*M416)</f>
        <v/>
      </c>
      <c r="N418" s="27">
        <f>(pr_eq*pr_roe+(1-pr_eq)*N416)</f>
        <v/>
      </c>
    </row>
    <row r="419">
      <c r="B419" s="2" t="inlineStr">
        <is>
          <t>Return</t>
        </is>
      </c>
      <c r="C419" s="5" t="inlineStr">
        <is>
          <t>$ million</t>
        </is>
      </c>
      <c r="E419" s="23">
        <f>E418*E415</f>
        <v/>
      </c>
      <c r="F419" s="23">
        <f>F418*F415</f>
        <v/>
      </c>
      <c r="G419" s="23">
        <f>G418*G415</f>
        <v/>
      </c>
      <c r="H419" s="23">
        <f>H418*H415</f>
        <v/>
      </c>
      <c r="I419" s="23">
        <f>I418*I415</f>
        <v/>
      </c>
      <c r="J419" s="23">
        <f>J418*J415</f>
        <v/>
      </c>
      <c r="K419" s="23">
        <f>K418*K415</f>
        <v/>
      </c>
      <c r="L419" s="23">
        <f>L418*L415</f>
        <v/>
      </c>
      <c r="M419" s="23">
        <f>M418*M415</f>
        <v/>
      </c>
      <c r="N419" s="23">
        <f>N418*N415</f>
        <v/>
      </c>
    </row>
    <row r="420">
      <c r="B420" s="2" t="inlineStr">
        <is>
          <t>Income tax gross-up</t>
        </is>
      </c>
      <c r="C420" s="5" t="inlineStr">
        <is>
          <t>$ million</t>
        </is>
      </c>
      <c r="E420" s="23">
        <f>(pr_eq*pr_roe*pr_tax/(1-pr_tax))*E415</f>
        <v/>
      </c>
      <c r="F420" s="23">
        <f>(pr_eq*pr_roe*pr_tax/(1-pr_tax))*F415</f>
        <v/>
      </c>
      <c r="G420" s="23">
        <f>(pr_eq*pr_roe*pr_tax/(1-pr_tax))*G415</f>
        <v/>
      </c>
      <c r="H420" s="23">
        <f>(pr_eq*pr_roe*pr_tax/(1-pr_tax))*H415</f>
        <v/>
      </c>
      <c r="I420" s="23">
        <f>(pr_eq*pr_roe*pr_tax/(1-pr_tax))*I415</f>
        <v/>
      </c>
      <c r="J420" s="23">
        <f>(pr_eq*pr_roe*pr_tax/(1-pr_tax))*J415</f>
        <v/>
      </c>
      <c r="K420" s="23">
        <f>(pr_eq*pr_roe*pr_tax/(1-pr_tax))*K415</f>
        <v/>
      </c>
      <c r="L420" s="23">
        <f>(pr_eq*pr_roe*pr_tax/(1-pr_tax))*L415</f>
        <v/>
      </c>
      <c r="M420" s="23">
        <f>(pr_eq*pr_roe*pr_tax/(1-pr_tax))*M415</f>
        <v/>
      </c>
      <c r="N420" s="23">
        <f>(pr_eq*pr_roe*pr_tax/(1-pr_tax))*N415</f>
        <v/>
      </c>
    </row>
    <row r="421">
      <c r="B421" s="2" t="inlineStr">
        <is>
          <t>Depreciation</t>
        </is>
      </c>
      <c r="C421" s="5" t="inlineStr">
        <is>
          <t>$ million</t>
        </is>
      </c>
      <c r="E421" s="23">
        <f>pr_dep*E415</f>
        <v/>
      </c>
      <c r="F421" s="23">
        <f>pr_dep*F415</f>
        <v/>
      </c>
      <c r="G421" s="23">
        <f>pr_dep*G415</f>
        <v/>
      </c>
      <c r="H421" s="23">
        <f>pr_dep*H415</f>
        <v/>
      </c>
      <c r="I421" s="23">
        <f>pr_dep*I415</f>
        <v/>
      </c>
      <c r="J421" s="23">
        <f>pr_dep*J415</f>
        <v/>
      </c>
      <c r="K421" s="23">
        <f>pr_dep*K415</f>
        <v/>
      </c>
      <c r="L421" s="23">
        <f>pr_dep*L415</f>
        <v/>
      </c>
      <c r="M421" s="23">
        <f>pr_dep*M415</f>
        <v/>
      </c>
      <c r="N421" s="23">
        <f>pr_dep*N415</f>
        <v/>
      </c>
    </row>
    <row r="422">
      <c r="B422" s="2" t="inlineStr">
        <is>
          <t>Other taxes</t>
        </is>
      </c>
      <c r="C422" s="5" t="inlineStr">
        <is>
          <t>$ million</t>
        </is>
      </c>
      <c r="E422" s="23">
        <f>pr_ptax*E415</f>
        <v/>
      </c>
      <c r="F422" s="23">
        <f>pr_ptax*F415</f>
        <v/>
      </c>
      <c r="G422" s="23">
        <f>pr_ptax*G415</f>
        <v/>
      </c>
      <c r="H422" s="23">
        <f>pr_ptax*H415</f>
        <v/>
      </c>
      <c r="I422" s="23">
        <f>pr_ptax*I415</f>
        <v/>
      </c>
      <c r="J422" s="23">
        <f>pr_ptax*J415</f>
        <v/>
      </c>
      <c r="K422" s="23">
        <f>pr_ptax*K415</f>
        <v/>
      </c>
      <c r="L422" s="23">
        <f>pr_ptax*L415</f>
        <v/>
      </c>
      <c r="M422" s="23">
        <f>pr_ptax*M415</f>
        <v/>
      </c>
      <c r="N422" s="23">
        <f>pr_ptax*N415</f>
        <v/>
      </c>
    </row>
    <row r="423">
      <c r="B423" s="2" t="inlineStr">
        <is>
          <t>O&amp;M (test year, known and measurable)</t>
        </is>
      </c>
      <c r="C423" s="5" t="inlineStr">
        <is>
          <t>$ million</t>
        </is>
      </c>
      <c r="E423" s="23">
        <f>E417*(1+pr_om_infl)*(1+pr_growth)</f>
        <v/>
      </c>
      <c r="F423" s="23">
        <f>F417*(1+pr_om_infl)*(1+pr_growth)</f>
        <v/>
      </c>
      <c r="G423" s="23">
        <f>G417*(1+pr_om_infl)*(1+pr_growth)</f>
        <v/>
      </c>
      <c r="H423" s="23">
        <f>H417*(1+pr_om_infl)*(1+pr_growth)</f>
        <v/>
      </c>
      <c r="I423" s="23">
        <f>I417*(1+pr_om_infl)*(1+pr_growth)</f>
        <v/>
      </c>
      <c r="J423" s="23">
        <f>J417*(1+pr_om_infl)*(1+pr_growth)</f>
        <v/>
      </c>
      <c r="K423" s="23">
        <f>K417*(1+pr_om_infl)*(1+pr_growth)</f>
        <v/>
      </c>
      <c r="L423" s="23">
        <f>L417*(1+pr_om_infl)*(1+pr_growth)</f>
        <v/>
      </c>
      <c r="M423" s="23">
        <f>M417*(1+pr_om_infl)*(1+pr_growth)</f>
        <v/>
      </c>
      <c r="N423" s="23">
        <f>N417*(1+pr_om_infl)*(1+pr_growth)</f>
        <v/>
      </c>
    </row>
    <row r="424">
      <c r="B424" s="2" t="inlineStr">
        <is>
          <t>Revenue requirement (test-year connections)</t>
        </is>
      </c>
      <c r="C424" s="5" t="inlineStr">
        <is>
          <t>$ million</t>
        </is>
      </c>
      <c r="E424" s="23">
        <f>SUM(E419:E423)</f>
        <v/>
      </c>
      <c r="F424" s="23">
        <f>SUM(F419:F423)</f>
        <v/>
      </c>
      <c r="G424" s="23">
        <f>SUM(G419:G423)</f>
        <v/>
      </c>
      <c r="H424" s="23">
        <f>SUM(H419:H423)</f>
        <v/>
      </c>
      <c r="I424" s="23">
        <f>SUM(I419:I423)</f>
        <v/>
      </c>
      <c r="J424" s="23">
        <f>SUM(J419:J423)</f>
        <v/>
      </c>
      <c r="K424" s="23">
        <f>SUM(K419:K423)</f>
        <v/>
      </c>
      <c r="L424" s="23">
        <f>SUM(L419:L423)</f>
        <v/>
      </c>
      <c r="M424" s="23">
        <f>SUM(M419:M423)</f>
        <v/>
      </c>
      <c r="N424" s="23">
        <f>SUM(N419:N423)</f>
        <v/>
      </c>
    </row>
    <row r="425">
      <c r="B425" s="2" t="inlineStr">
        <is>
          <t>Revenue requirement on effective-year connections</t>
        </is>
      </c>
      <c r="C425" s="5" t="inlineStr">
        <is>
          <t>$ million</t>
        </is>
      </c>
      <c r="E425" s="23">
        <f>E424*(1+pr_growth)</f>
        <v/>
      </c>
      <c r="F425" s="23">
        <f>F424*(1+pr_growth)</f>
        <v/>
      </c>
      <c r="G425" s="23">
        <f>G424*(1+pr_growth)</f>
        <v/>
      </c>
      <c r="H425" s="23">
        <f>H424*(1+pr_growth)</f>
        <v/>
      </c>
      <c r="I425" s="23">
        <f>I424*(1+pr_growth)</f>
        <v/>
      </c>
      <c r="J425" s="23">
        <f>J424*(1+pr_growth)</f>
        <v/>
      </c>
      <c r="K425" s="23">
        <f>K424*(1+pr_growth)</f>
        <v/>
      </c>
      <c r="L425" s="23">
        <f>L424*(1+pr_growth)</f>
        <v/>
      </c>
      <c r="M425" s="23">
        <f>M424*(1+pr_growth)</f>
        <v/>
      </c>
      <c r="N425" s="23">
        <f>N424*(1+pr_growth)</f>
        <v/>
      </c>
    </row>
    <row r="426">
      <c r="B426" s="2" t="inlineStr">
        <is>
          <t>Revenue at existing rates</t>
        </is>
      </c>
      <c r="C426" s="5" t="inlineStr">
        <is>
          <t>$ million</t>
        </is>
      </c>
      <c r="E426" s="23">
        <f>IF(E397=(pr_close+1),D432,D432*(1+pr_growth)*(1-pr_vol_share*IF(pr_decoupling=1,0,pr_usage))+D433+D435)</f>
        <v/>
      </c>
      <c r="F426" s="23">
        <f>IF(F397=(pr_close+1),E432,E432*(1+pr_growth)*(1-pr_vol_share*IF(pr_decoupling=1,0,pr_usage))+E433+E435)</f>
        <v/>
      </c>
      <c r="G426" s="23">
        <f>IF(G397=(pr_close+1),F432,F432*(1+pr_growth)*(1-pr_vol_share*IF(pr_decoupling=1,0,pr_usage))+F433+F435)</f>
        <v/>
      </c>
      <c r="H426" s="23">
        <f>IF(H397=(pr_close+1),G432,G432*(1+pr_growth)*(1-pr_vol_share*IF(pr_decoupling=1,0,pr_usage))+G433+G435)</f>
        <v/>
      </c>
      <c r="I426" s="23">
        <f>IF(I397=(pr_close+1),H432,H432*(1+pr_growth)*(1-pr_vol_share*IF(pr_decoupling=1,0,pr_usage))+H433+H435)</f>
        <v/>
      </c>
      <c r="J426" s="23">
        <f>IF(J397=(pr_close+1),I432,I432*(1+pr_growth)*(1-pr_vol_share*IF(pr_decoupling=1,0,pr_usage))+I433+I435)</f>
        <v/>
      </c>
      <c r="K426" s="23">
        <f>IF(K397=(pr_close+1),J432,J432*(1+pr_growth)*(1-pr_vol_share*IF(pr_decoupling=1,0,pr_usage))+J433+J435)</f>
        <v/>
      </c>
      <c r="L426" s="23">
        <f>IF(L397=(pr_close+1),K432,K432*(1+pr_growth)*(1-pr_vol_share*IF(pr_decoupling=1,0,pr_usage))+K433+K435)</f>
        <v/>
      </c>
      <c r="M426" s="23">
        <f>IF(M397=(pr_close+1),L432,L432*(1+pr_growth)*(1-pr_vol_share*IF(pr_decoupling=1,0,pr_usage))+L433+L435)</f>
        <v/>
      </c>
      <c r="N426" s="23">
        <f>IF(N397=(pr_close+1),M432,M432*(1+pr_growth)*(1-pr_vol_share*IF(pr_decoupling=1,0,pr_usage))+M433+M435)</f>
        <v/>
      </c>
    </row>
    <row r="427">
      <c r="B427" s="2" t="inlineStr">
        <is>
          <t>Increase granted</t>
        </is>
      </c>
      <c r="C427" s="5" t="inlineStr">
        <is>
          <t>share</t>
        </is>
      </c>
      <c r="E427" s="20">
        <f>E425/E426-1</f>
        <v/>
      </c>
      <c r="F427" s="20">
        <f>F425/F426-1</f>
        <v/>
      </c>
      <c r="G427" s="20">
        <f>G425/G426-1</f>
        <v/>
      </c>
      <c r="H427" s="20">
        <f>H425/H426-1</f>
        <v/>
      </c>
      <c r="I427" s="20">
        <f>I425/I426-1</f>
        <v/>
      </c>
      <c r="J427" s="20">
        <f>J425/J426-1</f>
        <v/>
      </c>
      <c r="K427" s="20">
        <f>K425/K426-1</f>
        <v/>
      </c>
      <c r="L427" s="20">
        <f>L425/L426-1</f>
        <v/>
      </c>
      <c r="M427" s="20">
        <f>M425/M426-1</f>
        <v/>
      </c>
      <c r="N427" s="20">
        <f>N425/N426-1</f>
        <v/>
      </c>
    </row>
    <row r="428">
      <c r="B428" s="2" t="inlineStr">
        <is>
          <t>Revenue requirement requested (at the requested ROE)</t>
        </is>
      </c>
      <c r="C428" s="5" t="inlineStr">
        <is>
          <t>$ million</t>
        </is>
      </c>
      <c r="E428" s="23">
        <f>(pr_eq*pr_roe_ask+(1-pr_eq)*E416)*E415+pr_eq*pr_roe_ask*E415*pr_tax/(1-pr_tax)+E421+E422+E423</f>
        <v/>
      </c>
      <c r="F428" s="23">
        <f>(pr_eq*pr_roe_ask+(1-pr_eq)*F416)*F415+pr_eq*pr_roe_ask*F415*pr_tax/(1-pr_tax)+F421+F422+F423</f>
        <v/>
      </c>
      <c r="G428" s="23">
        <f>(pr_eq*pr_roe_ask+(1-pr_eq)*G416)*G415+pr_eq*pr_roe_ask*G415*pr_tax/(1-pr_tax)+G421+G422+G423</f>
        <v/>
      </c>
      <c r="H428" s="23">
        <f>(pr_eq*pr_roe_ask+(1-pr_eq)*H416)*H415+pr_eq*pr_roe_ask*H415*pr_tax/(1-pr_tax)+H421+H422+H423</f>
        <v/>
      </c>
      <c r="I428" s="23">
        <f>(pr_eq*pr_roe_ask+(1-pr_eq)*I416)*I415+pr_eq*pr_roe_ask*I415*pr_tax/(1-pr_tax)+I421+I422+I423</f>
        <v/>
      </c>
      <c r="J428" s="23">
        <f>(pr_eq*pr_roe_ask+(1-pr_eq)*J416)*J415+pr_eq*pr_roe_ask*J415*pr_tax/(1-pr_tax)+J421+J422+J423</f>
        <v/>
      </c>
      <c r="K428" s="23">
        <f>(pr_eq*pr_roe_ask+(1-pr_eq)*K416)*K415+pr_eq*pr_roe_ask*K415*pr_tax/(1-pr_tax)+K421+K422+K423</f>
        <v/>
      </c>
      <c r="L428" s="23">
        <f>(pr_eq*pr_roe_ask+(1-pr_eq)*L416)*L415+pr_eq*pr_roe_ask*L415*pr_tax/(1-pr_tax)+L421+L422+L423</f>
        <v/>
      </c>
      <c r="M428" s="23">
        <f>(pr_eq*pr_roe_ask+(1-pr_eq)*M416)*M415+pr_eq*pr_roe_ask*M415*pr_tax/(1-pr_tax)+M421+M422+M423</f>
        <v/>
      </c>
      <c r="N428" s="23">
        <f>(pr_eq*pr_roe_ask+(1-pr_eq)*N416)*N415+pr_eq*pr_roe_ask*N415*pr_tax/(1-pr_tax)+N421+N422+N423</f>
        <v/>
      </c>
    </row>
    <row r="429">
      <c r="B429" s="2" t="inlineStr">
        <is>
          <t>Increase requested</t>
        </is>
      </c>
      <c r="C429" s="5" t="inlineStr">
        <is>
          <t>share</t>
        </is>
      </c>
      <c r="E429" s="20">
        <f>E428*(1+pr_growth)/E426-1</f>
        <v/>
      </c>
      <c r="F429" s="20">
        <f>F428*(1+pr_growth)/F426-1</f>
        <v/>
      </c>
      <c r="G429" s="20">
        <f>G428*(1+pr_growth)/G426-1</f>
        <v/>
      </c>
      <c r="H429" s="20">
        <f>H428*(1+pr_growth)/H426-1</f>
        <v/>
      </c>
      <c r="I429" s="20">
        <f>I428*(1+pr_growth)/I426-1</f>
        <v/>
      </c>
      <c r="J429" s="20">
        <f>J428*(1+pr_growth)/J426-1</f>
        <v/>
      </c>
      <c r="K429" s="20">
        <f>K428*(1+pr_growth)/K426-1</f>
        <v/>
      </c>
      <c r="L429" s="20">
        <f>L428*(1+pr_growth)/L426-1</f>
        <v/>
      </c>
      <c r="M429" s="20">
        <f>M428*(1+pr_growth)/M426-1</f>
        <v/>
      </c>
      <c r="N429" s="20">
        <f>N428*(1+pr_growth)/N426-1</f>
        <v/>
      </c>
    </row>
    <row r="431">
      <c r="B431" s="6" t="inlineStr">
        <is>
          <t>Revenue ($ million)</t>
        </is>
      </c>
      <c r="C431" s="7" t="n"/>
      <c r="D431" s="7" t="n"/>
      <c r="E431" s="7" t="n"/>
      <c r="F431" s="7" t="n"/>
      <c r="G431" s="7" t="n"/>
      <c r="H431" s="7" t="n"/>
      <c r="I431" s="7" t="n"/>
      <c r="J431" s="7" t="n"/>
      <c r="K431" s="7" t="n"/>
      <c r="L431" s="7" t="n"/>
      <c r="M431" s="7" t="n"/>
      <c r="N431" s="7" t="n"/>
    </row>
    <row r="432">
      <c r="B432" s="2" t="inlineStr">
        <is>
          <t>Base revenue (rate case, or prior year x growth x volume erosion)</t>
        </is>
      </c>
      <c r="C432" s="5" t="inlineStr">
        <is>
          <t>$ million</t>
        </is>
      </c>
      <c r="D432" s="23">
        <f>pr_rev_2028/((1+pr_growth)*(1-pr_vol_share*IF(pr_decoupling=1,0,pr_usage)))</f>
        <v/>
      </c>
      <c r="E432" s="23">
        <f>IF(E412=1,E425,D432*(1+pr_growth)*(1-pr_vol_share*IF(pr_decoupling=1,0,pr_usage)))</f>
        <v/>
      </c>
      <c r="F432" s="23">
        <f>IF(F412=1,F425,E432*(1+pr_growth)*(1-pr_vol_share*IF(pr_decoupling=1,0,pr_usage)))</f>
        <v/>
      </c>
      <c r="G432" s="23">
        <f>IF(G412=1,G425,F432*(1+pr_growth)*(1-pr_vol_share*IF(pr_decoupling=1,0,pr_usage)))</f>
        <v/>
      </c>
      <c r="H432" s="23">
        <f>IF(H412=1,H425,G432*(1+pr_growth)*(1-pr_vol_share*IF(pr_decoupling=1,0,pr_usage)))</f>
        <v/>
      </c>
      <c r="I432" s="23">
        <f>IF(I412=1,I425,H432*(1+pr_growth)*(1-pr_vol_share*IF(pr_decoupling=1,0,pr_usage)))</f>
        <v/>
      </c>
      <c r="J432" s="23">
        <f>IF(J412=1,J425,I432*(1+pr_growth)*(1-pr_vol_share*IF(pr_decoupling=1,0,pr_usage)))</f>
        <v/>
      </c>
      <c r="K432" s="23">
        <f>IF(K412=1,K425,J432*(1+pr_growth)*(1-pr_vol_share*IF(pr_decoupling=1,0,pr_usage)))</f>
        <v/>
      </c>
      <c r="L432" s="23">
        <f>IF(L412=1,L425,K432*(1+pr_growth)*(1-pr_vol_share*IF(pr_decoupling=1,0,pr_usage)))</f>
        <v/>
      </c>
      <c r="M432" s="23">
        <f>IF(M412=1,M425,L432*(1+pr_growth)*(1-pr_vol_share*IF(pr_decoupling=1,0,pr_usage)))</f>
        <v/>
      </c>
      <c r="N432" s="23">
        <f>IF(N412=1,N425,M432*(1+pr_growth)*(1-pr_vol_share*IF(pr_decoupling=1,0,pr_usage)))</f>
        <v/>
      </c>
    </row>
    <row r="433">
      <c r="B433" s="2" t="inlineStr">
        <is>
          <t>Fennick revenue at its old rates (until the next rate case)</t>
        </is>
      </c>
      <c r="C433" s="5" t="inlineStr">
        <is>
          <t>$ million</t>
        </is>
      </c>
      <c r="E433" s="23">
        <f>IF(AND(pr_fen_on=1,E397&gt;pr_fen_year,SUMIFS($D$412:E$412,$D$397:E$397,"&gt;"&amp;pr_fen_year)=0),pr_fen_rev,0)</f>
        <v/>
      </c>
      <c r="F433" s="23">
        <f>IF(AND(pr_fen_on=1,F397&gt;pr_fen_year,SUMIFS($D$412:F$412,$D$397:F$397,"&gt;"&amp;pr_fen_year)=0),pr_fen_rev,0)</f>
        <v/>
      </c>
      <c r="G433" s="23">
        <f>IF(AND(pr_fen_on=1,G397&gt;pr_fen_year,SUMIFS($D$412:G$412,$D$397:G$397,"&gt;"&amp;pr_fen_year)=0),pr_fen_rev,0)</f>
        <v/>
      </c>
      <c r="H433" s="23">
        <f>IF(AND(pr_fen_on=1,H397&gt;pr_fen_year,SUMIFS($D$412:H$412,$D$397:H$397,"&gt;"&amp;pr_fen_year)=0),pr_fen_rev,0)</f>
        <v/>
      </c>
      <c r="I433" s="23">
        <f>IF(AND(pr_fen_on=1,I397&gt;pr_fen_year,SUMIFS($D$412:I$412,$D$397:I$397,"&gt;"&amp;pr_fen_year)=0),pr_fen_rev,0)</f>
        <v/>
      </c>
      <c r="J433" s="23">
        <f>IF(AND(pr_fen_on=1,J397&gt;pr_fen_year,SUMIFS($D$412:J$412,$D$397:J$397,"&gt;"&amp;pr_fen_year)=0),pr_fen_rev,0)</f>
        <v/>
      </c>
      <c r="K433" s="23">
        <f>IF(AND(pr_fen_on=1,K397&gt;pr_fen_year,SUMIFS($D$412:K$412,$D$397:K$397,"&gt;"&amp;pr_fen_year)=0),pr_fen_rev,0)</f>
        <v/>
      </c>
      <c r="L433" s="23">
        <f>IF(AND(pr_fen_on=1,L397&gt;pr_fen_year,SUMIFS($D$412:L$412,$D$397:L$397,"&gt;"&amp;pr_fen_year)=0),pr_fen_rev,0)</f>
        <v/>
      </c>
      <c r="M433" s="23">
        <f>IF(AND(pr_fen_on=1,M397&gt;pr_fen_year,SUMIFS($D$412:M$412,$D$397:M$397,"&gt;"&amp;pr_fen_year)=0),pr_fen_rev,0)</f>
        <v/>
      </c>
      <c r="N433" s="23">
        <f>IF(AND(pr_fen_on=1,N397&gt;pr_fen_year,SUMIFS($D$412:N$412,$D$397:N$397,"&gt;"&amp;pr_fen_year)=0),pr_fen_rev,0)</f>
        <v/>
      </c>
    </row>
    <row r="434">
      <c r="B434" s="2" t="inlineStr">
        <is>
          <t>DSIC pool: eligible plant since the latest test year</t>
        </is>
      </c>
      <c r="C434" s="5" t="inlineStr">
        <is>
          <t>$ million</t>
        </is>
      </c>
      <c r="E434" s="23">
        <f>IF(E397=(pr_close+1),0,SUMIFS($D$409:D$409,$D$397:D$397,"&gt;"&amp;E414))</f>
        <v/>
      </c>
      <c r="F434" s="23">
        <f>IF(F397=(pr_close+1),0,SUMIFS($D$409:E$409,$D$397:E$397,"&gt;"&amp;F414))</f>
        <v/>
      </c>
      <c r="G434" s="23">
        <f>IF(G397=(pr_close+1),0,SUMIFS($D$409:F$409,$D$397:F$397,"&gt;"&amp;G414))</f>
        <v/>
      </c>
      <c r="H434" s="23">
        <f>IF(H397=(pr_close+1),0,SUMIFS($D$409:G$409,$D$397:G$397,"&gt;"&amp;H414))</f>
        <v/>
      </c>
      <c r="I434" s="23">
        <f>IF(I397=(pr_close+1),0,SUMIFS($D$409:H$409,$D$397:H$397,"&gt;"&amp;I414))</f>
        <v/>
      </c>
      <c r="J434" s="23">
        <f>IF(J397=(pr_close+1),0,SUMIFS($D$409:I$409,$D$397:I$397,"&gt;"&amp;J414))</f>
        <v/>
      </c>
      <c r="K434" s="23">
        <f>IF(K397=(pr_close+1),0,SUMIFS($D$409:J$409,$D$397:J$397,"&gt;"&amp;K414))</f>
        <v/>
      </c>
      <c r="L434" s="23">
        <f>IF(L397=(pr_close+1),0,SUMIFS($D$409:K$409,$D$397:K$397,"&gt;"&amp;L414))</f>
        <v/>
      </c>
      <c r="M434" s="23">
        <f>IF(M397=(pr_close+1),0,SUMIFS($D$409:L$409,$D$397:L$397,"&gt;"&amp;M414))</f>
        <v/>
      </c>
      <c r="N434" s="23">
        <f>IF(N397=(pr_close+1),0,SUMIFS($D$409:M$409,$D$397:M$397,"&gt;"&amp;N414))</f>
        <v/>
      </c>
    </row>
    <row r="435">
      <c r="B435" s="2" t="inlineStr">
        <is>
          <t>DSIC surcharge (capped)</t>
        </is>
      </c>
      <c r="C435" s="5" t="inlineStr">
        <is>
          <t>$ million</t>
        </is>
      </c>
      <c r="E435" s="23">
        <f>IF(AND(pr_dsic=1,E397&gt;(pr_close+1)),MIN(pr_dsic_cap*E432,E434*((pr_eq*pr_roe+(1-pr_eq)*D458)+(pr_eq*pr_roe*pr_tax/(1-pr_tax))+pr_dep)),0)</f>
        <v/>
      </c>
      <c r="F435" s="23">
        <f>IF(AND(pr_dsic=1,F397&gt;(pr_close+1)),MIN(pr_dsic_cap*F432,F434*((pr_eq*pr_roe+(1-pr_eq)*E458)+(pr_eq*pr_roe*pr_tax/(1-pr_tax))+pr_dep)),0)</f>
        <v/>
      </c>
      <c r="G435" s="23">
        <f>IF(AND(pr_dsic=1,G397&gt;(pr_close+1)),MIN(pr_dsic_cap*G432,G434*((pr_eq*pr_roe+(1-pr_eq)*F458)+(pr_eq*pr_roe*pr_tax/(1-pr_tax))+pr_dep)),0)</f>
        <v/>
      </c>
      <c r="H435" s="23">
        <f>IF(AND(pr_dsic=1,H397&gt;(pr_close+1)),MIN(pr_dsic_cap*H432,H434*((pr_eq*pr_roe+(1-pr_eq)*G458)+(pr_eq*pr_roe*pr_tax/(1-pr_tax))+pr_dep)),0)</f>
        <v/>
      </c>
      <c r="I435" s="23">
        <f>IF(AND(pr_dsic=1,I397&gt;(pr_close+1)),MIN(pr_dsic_cap*I432,I434*((pr_eq*pr_roe+(1-pr_eq)*H458)+(pr_eq*pr_roe*pr_tax/(1-pr_tax))+pr_dep)),0)</f>
        <v/>
      </c>
      <c r="J435" s="23">
        <f>IF(AND(pr_dsic=1,J397&gt;(pr_close+1)),MIN(pr_dsic_cap*J432,J434*((pr_eq*pr_roe+(1-pr_eq)*I458)+(pr_eq*pr_roe*pr_tax/(1-pr_tax))+pr_dep)),0)</f>
        <v/>
      </c>
      <c r="K435" s="23">
        <f>IF(AND(pr_dsic=1,K397&gt;(pr_close+1)),MIN(pr_dsic_cap*K432,K434*((pr_eq*pr_roe+(1-pr_eq)*J458)+(pr_eq*pr_roe*pr_tax/(1-pr_tax))+pr_dep)),0)</f>
        <v/>
      </c>
      <c r="L435" s="23">
        <f>IF(AND(pr_dsic=1,L397&gt;(pr_close+1)),MIN(pr_dsic_cap*L432,L434*((pr_eq*pr_roe+(1-pr_eq)*K458)+(pr_eq*pr_roe*pr_tax/(1-pr_tax))+pr_dep)),0)</f>
        <v/>
      </c>
      <c r="M435" s="23">
        <f>IF(AND(pr_dsic=1,M397&gt;(pr_close+1)),MIN(pr_dsic_cap*M432,M434*((pr_eq*pr_roe+(1-pr_eq)*L458)+(pr_eq*pr_roe*pr_tax/(1-pr_tax))+pr_dep)),0)</f>
        <v/>
      </c>
      <c r="N435" s="23">
        <f>IF(AND(pr_dsic=1,N397&gt;(pr_close+1)),MIN(pr_dsic_cap*N432,N434*((pr_eq*pr_roe+(1-pr_eq)*M458)+(pr_eq*pr_roe*pr_tax/(1-pr_tax))+pr_dep)),0)</f>
        <v/>
      </c>
    </row>
    <row r="436">
      <c r="B436" s="3" t="inlineStr">
        <is>
          <t>Revenue</t>
        </is>
      </c>
      <c r="C436" s="5" t="inlineStr">
        <is>
          <t>$ million</t>
        </is>
      </c>
      <c r="E436" s="23">
        <f>E432+E433+E435</f>
        <v/>
      </c>
      <c r="F436" s="23">
        <f>F432+F433+F435</f>
        <v/>
      </c>
      <c r="G436" s="23">
        <f>G432+G433+G435</f>
        <v/>
      </c>
      <c r="H436" s="23">
        <f>H432+H433+H435</f>
        <v/>
      </c>
      <c r="I436" s="23">
        <f>I432+I433+I435</f>
        <v/>
      </c>
      <c r="J436" s="23">
        <f>J432+J433+J435</f>
        <v/>
      </c>
      <c r="K436" s="23">
        <f>K432+K433+K435</f>
        <v/>
      </c>
      <c r="L436" s="23">
        <f>L432+L433+L435</f>
        <v/>
      </c>
      <c r="M436" s="23">
        <f>M432+M433+M435</f>
        <v/>
      </c>
      <c r="N436" s="23">
        <f>N432+N433+N435</f>
        <v/>
      </c>
    </row>
    <row r="438">
      <c r="B438" s="6" t="inlineStr">
        <is>
          <t>Costs and income ($ million)</t>
        </is>
      </c>
      <c r="C438" s="7" t="n"/>
      <c r="D438" s="7" t="n"/>
      <c r="E438" s="7" t="n"/>
      <c r="F438" s="7" t="n"/>
      <c r="G438" s="7" t="n"/>
      <c r="H438" s="7" t="n"/>
      <c r="I438" s="7" t="n"/>
      <c r="J438" s="7" t="n"/>
      <c r="K438" s="7" t="n"/>
      <c r="L438" s="7" t="n"/>
      <c r="M438" s="7" t="n"/>
      <c r="N438" s="7" t="n"/>
    </row>
    <row r="439">
      <c r="B439" s="2" t="inlineStr">
        <is>
          <t>Operation and maintenance (with PFAS and Fennick)</t>
        </is>
      </c>
      <c r="C439" s="5" t="inlineStr">
        <is>
          <t>$ million</t>
        </is>
      </c>
      <c r="D439" s="23">
        <f>pr_om_2028/((1+pr_om_infl)*(1+pr_growth))</f>
        <v/>
      </c>
      <c r="E439" s="23">
        <f>pr_om_2028*((1+pr_om_infl)*(1+pr_growth))^E398+IF(E397&gt;=pr_pfas_om_y+pr_pfas_delay,pr_pfas_om*(1+pr_pfas_om_esc)^(E397-pr_pfas_om_y),0)+IF(AND(pr_fen_on=1,E397&gt;pr_fen_year),pr_fen_om*(1+pr_fen_esc)^(E397-pr_fen_year-1),0)</f>
        <v/>
      </c>
      <c r="F439" s="23">
        <f>pr_om_2028*((1+pr_om_infl)*(1+pr_growth))^F398+IF(F397&gt;=pr_pfas_om_y+pr_pfas_delay,pr_pfas_om*(1+pr_pfas_om_esc)^(F397-pr_pfas_om_y),0)+IF(AND(pr_fen_on=1,F397&gt;pr_fen_year),pr_fen_om*(1+pr_fen_esc)^(F397-pr_fen_year-1),0)</f>
        <v/>
      </c>
      <c r="G439" s="23">
        <f>pr_om_2028*((1+pr_om_infl)*(1+pr_growth))^G398+IF(G397&gt;=pr_pfas_om_y+pr_pfas_delay,pr_pfas_om*(1+pr_pfas_om_esc)^(G397-pr_pfas_om_y),0)+IF(AND(pr_fen_on=1,G397&gt;pr_fen_year),pr_fen_om*(1+pr_fen_esc)^(G397-pr_fen_year-1),0)</f>
        <v/>
      </c>
      <c r="H439" s="23">
        <f>pr_om_2028*((1+pr_om_infl)*(1+pr_growth))^H398+IF(H397&gt;=pr_pfas_om_y+pr_pfas_delay,pr_pfas_om*(1+pr_pfas_om_esc)^(H397-pr_pfas_om_y),0)+IF(AND(pr_fen_on=1,H397&gt;pr_fen_year),pr_fen_om*(1+pr_fen_esc)^(H397-pr_fen_year-1),0)</f>
        <v/>
      </c>
      <c r="I439" s="23">
        <f>pr_om_2028*((1+pr_om_infl)*(1+pr_growth))^I398+IF(I397&gt;=pr_pfas_om_y+pr_pfas_delay,pr_pfas_om*(1+pr_pfas_om_esc)^(I397-pr_pfas_om_y),0)+IF(AND(pr_fen_on=1,I397&gt;pr_fen_year),pr_fen_om*(1+pr_fen_esc)^(I397-pr_fen_year-1),0)</f>
        <v/>
      </c>
      <c r="J439" s="23">
        <f>pr_om_2028*((1+pr_om_infl)*(1+pr_growth))^J398+IF(J397&gt;=pr_pfas_om_y+pr_pfas_delay,pr_pfas_om*(1+pr_pfas_om_esc)^(J397-pr_pfas_om_y),0)+IF(AND(pr_fen_on=1,J397&gt;pr_fen_year),pr_fen_om*(1+pr_fen_esc)^(J397-pr_fen_year-1),0)</f>
        <v/>
      </c>
      <c r="K439" s="23">
        <f>pr_om_2028*((1+pr_om_infl)*(1+pr_growth))^K398+IF(K397&gt;=pr_pfas_om_y+pr_pfas_delay,pr_pfas_om*(1+pr_pfas_om_esc)^(K397-pr_pfas_om_y),0)+IF(AND(pr_fen_on=1,K397&gt;pr_fen_year),pr_fen_om*(1+pr_fen_esc)^(K397-pr_fen_year-1),0)</f>
        <v/>
      </c>
      <c r="L439" s="23">
        <f>pr_om_2028*((1+pr_om_infl)*(1+pr_growth))^L398+IF(L397&gt;=pr_pfas_om_y+pr_pfas_delay,pr_pfas_om*(1+pr_pfas_om_esc)^(L397-pr_pfas_om_y),0)+IF(AND(pr_fen_on=1,L397&gt;pr_fen_year),pr_fen_om*(1+pr_fen_esc)^(L397-pr_fen_year-1),0)</f>
        <v/>
      </c>
      <c r="M439" s="23">
        <f>pr_om_2028*((1+pr_om_infl)*(1+pr_growth))^M398+IF(M397&gt;=pr_pfas_om_y+pr_pfas_delay,pr_pfas_om*(1+pr_pfas_om_esc)^(M397-pr_pfas_om_y),0)+IF(AND(pr_fen_on=1,M397&gt;pr_fen_year),pr_fen_om*(1+pr_fen_esc)^(M397-pr_fen_year-1),0)</f>
        <v/>
      </c>
      <c r="N439" s="23">
        <f>pr_om_2028*((1+pr_om_infl)*(1+pr_growth))^N398+IF(N397&gt;=pr_pfas_om_y+pr_pfas_delay,pr_pfas_om*(1+pr_pfas_om_esc)^(N397-pr_pfas_om_y),0)+IF(AND(pr_fen_on=1,N397&gt;pr_fen_year),pr_fen_om*(1+pr_fen_esc)^(N397-pr_fen_year-1),0)</f>
        <v/>
      </c>
    </row>
    <row r="440">
      <c r="B440" s="2" t="inlineStr">
        <is>
          <t>Customer-side lead cost expensed</t>
        </is>
      </c>
      <c r="C440" s="5" t="inlineStr">
        <is>
          <t>$ million</t>
        </is>
      </c>
      <c r="E440" s="23">
        <f>pr_lead_exp*E406*pr_lead_cust</f>
        <v/>
      </c>
      <c r="F440" s="23">
        <f>pr_lead_exp*F406*pr_lead_cust</f>
        <v/>
      </c>
      <c r="G440" s="23">
        <f>pr_lead_exp*G406*pr_lead_cust</f>
        <v/>
      </c>
      <c r="H440" s="23">
        <f>pr_lead_exp*H406*pr_lead_cust</f>
        <v/>
      </c>
      <c r="I440" s="23">
        <f>pr_lead_exp*I406*pr_lead_cust</f>
        <v/>
      </c>
      <c r="J440" s="23">
        <f>pr_lead_exp*J406*pr_lead_cust</f>
        <v/>
      </c>
      <c r="K440" s="23">
        <f>pr_lead_exp*K406*pr_lead_cust</f>
        <v/>
      </c>
      <c r="L440" s="23">
        <f>pr_lead_exp*L406*pr_lead_cust</f>
        <v/>
      </c>
      <c r="M440" s="23">
        <f>pr_lead_exp*M406*pr_lead_cust</f>
        <v/>
      </c>
      <c r="N440" s="23">
        <f>pr_lead_exp*N406*pr_lead_cust</f>
        <v/>
      </c>
    </row>
    <row r="441">
      <c r="B441" s="2" t="inlineStr">
        <is>
          <t>Other taxes</t>
        </is>
      </c>
      <c r="C441" s="5" t="inlineStr">
        <is>
          <t>$ million</t>
        </is>
      </c>
      <c r="E441" s="23">
        <f>pr_ptax*E450</f>
        <v/>
      </c>
      <c r="F441" s="23">
        <f>pr_ptax*F450</f>
        <v/>
      </c>
      <c r="G441" s="23">
        <f>pr_ptax*G450</f>
        <v/>
      </c>
      <c r="H441" s="23">
        <f>pr_ptax*H450</f>
        <v/>
      </c>
      <c r="I441" s="23">
        <f>pr_ptax*I450</f>
        <v/>
      </c>
      <c r="J441" s="23">
        <f>pr_ptax*J450</f>
        <v/>
      </c>
      <c r="K441" s="23">
        <f>pr_ptax*K450</f>
        <v/>
      </c>
      <c r="L441" s="23">
        <f>pr_ptax*L450</f>
        <v/>
      </c>
      <c r="M441" s="23">
        <f>pr_ptax*M450</f>
        <v/>
      </c>
      <c r="N441" s="23">
        <f>pr_ptax*N450</f>
        <v/>
      </c>
    </row>
    <row r="442">
      <c r="B442" s="2" t="inlineStr">
        <is>
          <t>EBITDA</t>
        </is>
      </c>
      <c r="C442" s="5" t="inlineStr">
        <is>
          <t>$ million</t>
        </is>
      </c>
      <c r="E442" s="23">
        <f>E436-E439-E441-E440</f>
        <v/>
      </c>
      <c r="F442" s="23">
        <f>F436-F439-F441-F440</f>
        <v/>
      </c>
      <c r="G442" s="23">
        <f>G436-G439-G441-G440</f>
        <v/>
      </c>
      <c r="H442" s="23">
        <f>H436-H439-H441-H440</f>
        <v/>
      </c>
      <c r="I442" s="23">
        <f>I436-I439-I441-I440</f>
        <v/>
      </c>
      <c r="J442" s="23">
        <f>J436-J439-J441-J440</f>
        <v/>
      </c>
      <c r="K442" s="23">
        <f>K436-K439-K441-K440</f>
        <v/>
      </c>
      <c r="L442" s="23">
        <f>L436-L439-L441-L440</f>
        <v/>
      </c>
      <c r="M442" s="23">
        <f>M436-M439-M441-M440</f>
        <v/>
      </c>
      <c r="N442" s="23">
        <f>N436-N439-N441-N440</f>
        <v/>
      </c>
    </row>
    <row r="443">
      <c r="B443" s="2" t="inlineStr">
        <is>
          <t>Depreciation</t>
        </is>
      </c>
      <c r="C443" s="5" t="inlineStr">
        <is>
          <t>$ million</t>
        </is>
      </c>
      <c r="E443" s="23">
        <f>pr_dep*E450</f>
        <v/>
      </c>
      <c r="F443" s="23">
        <f>pr_dep*F450</f>
        <v/>
      </c>
      <c r="G443" s="23">
        <f>pr_dep*G450</f>
        <v/>
      </c>
      <c r="H443" s="23">
        <f>pr_dep*H450</f>
        <v/>
      </c>
      <c r="I443" s="23">
        <f>pr_dep*I450</f>
        <v/>
      </c>
      <c r="J443" s="23">
        <f>pr_dep*J450</f>
        <v/>
      </c>
      <c r="K443" s="23">
        <f>pr_dep*K450</f>
        <v/>
      </c>
      <c r="L443" s="23">
        <f>pr_dep*L450</f>
        <v/>
      </c>
      <c r="M443" s="23">
        <f>pr_dep*M450</f>
        <v/>
      </c>
      <c r="N443" s="23">
        <f>pr_dep*N450</f>
        <v/>
      </c>
    </row>
    <row r="444">
      <c r="B444" s="2" t="inlineStr">
        <is>
          <t>Interest (average of opening and closing debt)</t>
        </is>
      </c>
      <c r="C444" s="5" t="inlineStr">
        <is>
          <t>$ million</t>
        </is>
      </c>
      <c r="E444" s="23">
        <f>0.5*(D456*D458+E456*E458)</f>
        <v/>
      </c>
      <c r="F444" s="23">
        <f>0.5*(E456*E458+F456*F458)</f>
        <v/>
      </c>
      <c r="G444" s="23">
        <f>0.5*(F456*F458+G456*G458)</f>
        <v/>
      </c>
      <c r="H444" s="23">
        <f>0.5*(G456*G458+H456*H458)</f>
        <v/>
      </c>
      <c r="I444" s="23">
        <f>0.5*(H456*H458+I456*I458)</f>
        <v/>
      </c>
      <c r="J444" s="23">
        <f>0.5*(I456*I458+J456*J458)</f>
        <v/>
      </c>
      <c r="K444" s="23">
        <f>0.5*(J456*J458+K456*K458)</f>
        <v/>
      </c>
      <c r="L444" s="23">
        <f>0.5*(K456*K458+L456*L458)</f>
        <v/>
      </c>
      <c r="M444" s="23">
        <f>0.5*(L456*L458+M456*M458)</f>
        <v/>
      </c>
      <c r="N444" s="23">
        <f>0.5*(M456*M458+N456*N458)</f>
        <v/>
      </c>
    </row>
    <row r="445">
      <c r="B445" s="2" t="inlineStr">
        <is>
          <t>Income before tax</t>
        </is>
      </c>
      <c r="C445" s="5" t="inlineStr">
        <is>
          <t>$ million</t>
        </is>
      </c>
      <c r="E445" s="23">
        <f>E442-E443-E444</f>
        <v/>
      </c>
      <c r="F445" s="23">
        <f>F442-F443-F444</f>
        <v/>
      </c>
      <c r="G445" s="23">
        <f>G442-G443-G444</f>
        <v/>
      </c>
      <c r="H445" s="23">
        <f>H442-H443-H444</f>
        <v/>
      </c>
      <c r="I445" s="23">
        <f>I442-I443-I444</f>
        <v/>
      </c>
      <c r="J445" s="23">
        <f>J442-J443-J444</f>
        <v/>
      </c>
      <c r="K445" s="23">
        <f>K442-K443-K444</f>
        <v/>
      </c>
      <c r="L445" s="23">
        <f>L442-L443-L444</f>
        <v/>
      </c>
      <c r="M445" s="23">
        <f>M442-M443-M444</f>
        <v/>
      </c>
      <c r="N445" s="23">
        <f>N442-N443-N444</f>
        <v/>
      </c>
    </row>
    <row r="446">
      <c r="B446" s="2" t="inlineStr">
        <is>
          <t>Income tax</t>
        </is>
      </c>
      <c r="C446" s="5" t="inlineStr">
        <is>
          <t>$ million</t>
        </is>
      </c>
      <c r="E446" s="23">
        <f>pr_tax*E445</f>
        <v/>
      </c>
      <c r="F446" s="23">
        <f>pr_tax*F445</f>
        <v/>
      </c>
      <c r="G446" s="23">
        <f>pr_tax*G445</f>
        <v/>
      </c>
      <c r="H446" s="23">
        <f>pr_tax*H445</f>
        <v/>
      </c>
      <c r="I446" s="23">
        <f>pr_tax*I445</f>
        <v/>
      </c>
      <c r="J446" s="23">
        <f>pr_tax*J445</f>
        <v/>
      </c>
      <c r="K446" s="23">
        <f>pr_tax*K445</f>
        <v/>
      </c>
      <c r="L446" s="23">
        <f>pr_tax*L445</f>
        <v/>
      </c>
      <c r="M446" s="23">
        <f>pr_tax*M445</f>
        <v/>
      </c>
      <c r="N446" s="23">
        <f>pr_tax*N445</f>
        <v/>
      </c>
    </row>
    <row r="447">
      <c r="B447" s="3" t="inlineStr">
        <is>
          <t>Net income</t>
        </is>
      </c>
      <c r="C447" s="5" t="inlineStr">
        <is>
          <t>$ million</t>
        </is>
      </c>
      <c r="E447" s="23">
        <f>E445-E446</f>
        <v/>
      </c>
      <c r="F447" s="23">
        <f>F445-F446</f>
        <v/>
      </c>
      <c r="G447" s="23">
        <f>G445-G446</f>
        <v/>
      </c>
      <c r="H447" s="23">
        <f>H445-H446</f>
        <v/>
      </c>
      <c r="I447" s="23">
        <f>I445-I446</f>
        <v/>
      </c>
      <c r="J447" s="23">
        <f>J445-J446</f>
        <v/>
      </c>
      <c r="K447" s="23">
        <f>K445-K446</f>
        <v/>
      </c>
      <c r="L447" s="23">
        <f>L445-L446</f>
        <v/>
      </c>
      <c r="M447" s="23">
        <f>M445-M446</f>
        <v/>
      </c>
      <c r="N447" s="23">
        <f>N445-N446</f>
        <v/>
      </c>
    </row>
    <row r="449">
      <c r="B449" s="6" t="inlineStr">
        <is>
          <t>Rate base and debt ($ million)</t>
        </is>
      </c>
      <c r="C449" s="7" t="n"/>
      <c r="D449" s="7" t="n"/>
      <c r="E449" s="7" t="n"/>
      <c r="F449" s="7" t="n"/>
      <c r="G449" s="7" t="n"/>
      <c r="H449" s="7" t="n"/>
      <c r="I449" s="7" t="n"/>
      <c r="J449" s="7" t="n"/>
      <c r="K449" s="7" t="n"/>
      <c r="L449" s="7" t="n"/>
      <c r="M449" s="7" t="n"/>
      <c r="N449" s="7" t="n"/>
    </row>
    <row r="450">
      <c r="B450" s="2" t="inlineStr">
        <is>
          <t>Opening rate base</t>
        </is>
      </c>
      <c r="C450" s="5" t="inlineStr">
        <is>
          <t>$ million</t>
        </is>
      </c>
      <c r="E450" s="23">
        <f>D454</f>
        <v/>
      </c>
      <c r="F450" s="23">
        <f>E454</f>
        <v/>
      </c>
      <c r="G450" s="23">
        <f>F454</f>
        <v/>
      </c>
      <c r="H450" s="23">
        <f>G454</f>
        <v/>
      </c>
      <c r="I450" s="23">
        <f>H454</f>
        <v/>
      </c>
      <c r="J450" s="23">
        <f>I454</f>
        <v/>
      </c>
      <c r="K450" s="23">
        <f>J454</f>
        <v/>
      </c>
      <c r="L450" s="23">
        <f>K454</f>
        <v/>
      </c>
      <c r="M450" s="23">
        <f>L454</f>
        <v/>
      </c>
      <c r="N450" s="23">
        <f>M454</f>
        <v/>
      </c>
    </row>
    <row r="451">
      <c r="B451" s="2" t="inlineStr">
        <is>
          <t>Spending disallowed (never in rate base)</t>
        </is>
      </c>
      <c r="C451" s="5" t="inlineStr">
        <is>
          <t>$ million</t>
        </is>
      </c>
      <c r="E451" s="23">
        <f>pr_disallow*(E405+E406-E440)</f>
        <v/>
      </c>
      <c r="F451" s="23">
        <f>pr_disallow*(F405+F406-F440)</f>
        <v/>
      </c>
      <c r="G451" s="23">
        <f>pr_disallow*(G405+G406-G440)</f>
        <v/>
      </c>
      <c r="H451" s="23">
        <f>pr_disallow*(H405+H406-H440)</f>
        <v/>
      </c>
      <c r="I451" s="23">
        <f>pr_disallow*(I405+I406-I440)</f>
        <v/>
      </c>
      <c r="J451" s="23">
        <f>pr_disallow*(J405+J406-J440)</f>
        <v/>
      </c>
      <c r="K451" s="23">
        <f>pr_disallow*(K405+K406-K440)</f>
        <v/>
      </c>
      <c r="L451" s="23">
        <f>pr_disallow*(L405+L406-L440)</f>
        <v/>
      </c>
      <c r="M451" s="23">
        <f>pr_disallow*(M405+M406-M440)</f>
        <v/>
      </c>
      <c r="N451" s="23">
        <f>pr_disallow*(N405+N406-N440)</f>
        <v/>
      </c>
    </row>
    <row r="452">
      <c r="B452" s="2" t="inlineStr">
        <is>
          <t>Acquisitions (Fennick at its price)</t>
        </is>
      </c>
      <c r="C452" s="5" t="inlineStr">
        <is>
          <t>$ million</t>
        </is>
      </c>
      <c r="E452" s="23">
        <f>IF(AND(pr_fen_on=1,E397=pr_fen_year),pr_fen_price,0)</f>
        <v/>
      </c>
      <c r="F452" s="23">
        <f>IF(AND(pr_fen_on=1,F397=pr_fen_year),pr_fen_price,0)</f>
        <v/>
      </c>
      <c r="G452" s="23">
        <f>IF(AND(pr_fen_on=1,G397=pr_fen_year),pr_fen_price,0)</f>
        <v/>
      </c>
      <c r="H452" s="23">
        <f>IF(AND(pr_fen_on=1,H397=pr_fen_year),pr_fen_price,0)</f>
        <v/>
      </c>
      <c r="I452" s="23">
        <f>IF(AND(pr_fen_on=1,I397=pr_fen_year),pr_fen_price,0)</f>
        <v/>
      </c>
      <c r="J452" s="23">
        <f>IF(AND(pr_fen_on=1,J397=pr_fen_year),pr_fen_price,0)</f>
        <v/>
      </c>
      <c r="K452" s="23">
        <f>IF(AND(pr_fen_on=1,K397=pr_fen_year),pr_fen_price,0)</f>
        <v/>
      </c>
      <c r="L452" s="23">
        <f>IF(AND(pr_fen_on=1,L397=pr_fen_year),pr_fen_price,0)</f>
        <v/>
      </c>
      <c r="M452" s="23">
        <f>IF(AND(pr_fen_on=1,M397=pr_fen_year),pr_fen_price,0)</f>
        <v/>
      </c>
      <c r="N452" s="23">
        <f>IF(AND(pr_fen_on=1,N397=pr_fen_year),pr_fen_price,0)</f>
        <v/>
      </c>
    </row>
    <row r="453">
      <c r="B453" s="2" t="inlineStr">
        <is>
          <t>Settlement credited against rate base</t>
        </is>
      </c>
      <c r="C453" s="5" t="inlineStr">
        <is>
          <t>$ million</t>
        </is>
      </c>
      <c r="E453" s="23">
        <f>IF(E397=pr_settle_y,pr_settle,0)</f>
        <v/>
      </c>
      <c r="F453" s="23">
        <f>IF(F397=pr_settle_y,pr_settle,0)</f>
        <v/>
      </c>
      <c r="G453" s="23">
        <f>IF(G397=pr_settle_y,pr_settle,0)</f>
        <v/>
      </c>
      <c r="H453" s="23">
        <f>IF(H397=pr_settle_y,pr_settle,0)</f>
        <v/>
      </c>
      <c r="I453" s="23">
        <f>IF(I397=pr_settle_y,pr_settle,0)</f>
        <v/>
      </c>
      <c r="J453" s="23">
        <f>IF(J397=pr_settle_y,pr_settle,0)</f>
        <v/>
      </c>
      <c r="K453" s="23">
        <f>IF(K397=pr_settle_y,pr_settle,0)</f>
        <v/>
      </c>
      <c r="L453" s="23">
        <f>IF(L397=pr_settle_y,pr_settle,0)</f>
        <v/>
      </c>
      <c r="M453" s="23">
        <f>IF(M397=pr_settle_y,pr_settle,0)</f>
        <v/>
      </c>
      <c r="N453" s="23">
        <f>IF(N397=pr_settle_y,pr_settle,0)</f>
        <v/>
      </c>
    </row>
    <row r="454">
      <c r="B454" s="3" t="inlineStr">
        <is>
          <t>Closing rate base</t>
        </is>
      </c>
      <c r="C454" s="5" t="inlineStr">
        <is>
          <t>$ million</t>
        </is>
      </c>
      <c r="D454" s="23">
        <f>pr_rb0</f>
        <v/>
      </c>
      <c r="E454" s="23">
        <f>E450+E408-E440-E451+E452-E443-E453</f>
        <v/>
      </c>
      <c r="F454" s="23">
        <f>F450+F408-F440-F451+F452-F443-F453</f>
        <v/>
      </c>
      <c r="G454" s="23">
        <f>G450+G408-G440-G451+G452-G443-G453</f>
        <v/>
      </c>
      <c r="H454" s="23">
        <f>H450+H408-H440-H451+H452-H443-H453</f>
        <v/>
      </c>
      <c r="I454" s="23">
        <f>I450+I408-I440-I451+I452-I443-I453</f>
        <v/>
      </c>
      <c r="J454" s="23">
        <f>J450+J408-J440-J451+J452-J443-J453</f>
        <v/>
      </c>
      <c r="K454" s="23">
        <f>K450+K408-K440-K451+K452-K443-K453</f>
        <v/>
      </c>
      <c r="L454" s="23">
        <f>L450+L408-L440-L451+L452-L443-L453</f>
        <v/>
      </c>
      <c r="M454" s="23">
        <f>M450+M408-M440-M451+M452-M443-M453</f>
        <v/>
      </c>
      <c r="N454" s="23">
        <f>N450+N408-N440-N451+N452-N443-N453</f>
        <v/>
      </c>
    </row>
    <row r="455">
      <c r="B455" s="2" t="inlineStr">
        <is>
          <t>Original bonds outstanding</t>
        </is>
      </c>
      <c r="C455" s="5" t="inlineStr">
        <is>
          <t>$ million</t>
        </is>
      </c>
      <c r="D455" s="23">
        <f>(1-pr_eq)*pr_rb0</f>
        <v/>
      </c>
      <c r="E455" s="23">
        <f>MAX(0,D455-pr_amort*(1-pr_eq)*pr_rb0)</f>
        <v/>
      </c>
      <c r="F455" s="23">
        <f>MAX(0,E455-pr_amort*(1-pr_eq)*pr_rb0)</f>
        <v/>
      </c>
      <c r="G455" s="23">
        <f>MAX(0,F455-pr_amort*(1-pr_eq)*pr_rb0)</f>
        <v/>
      </c>
      <c r="H455" s="23">
        <f>MAX(0,G455-pr_amort*(1-pr_eq)*pr_rb0)</f>
        <v/>
      </c>
      <c r="I455" s="23">
        <f>MAX(0,H455-pr_amort*(1-pr_eq)*pr_rb0)</f>
        <v/>
      </c>
      <c r="J455" s="23">
        <f>MAX(0,I455-pr_amort*(1-pr_eq)*pr_rb0)</f>
        <v/>
      </c>
      <c r="K455" s="23">
        <f>MAX(0,J455-pr_amort*(1-pr_eq)*pr_rb0)</f>
        <v/>
      </c>
      <c r="L455" s="23">
        <f>MAX(0,K455-pr_amort*(1-pr_eq)*pr_rb0)</f>
        <v/>
      </c>
      <c r="M455" s="23">
        <f>MAX(0,L455-pr_amort*(1-pr_eq)*pr_rb0)</f>
        <v/>
      </c>
      <c r="N455" s="23">
        <f>MAX(0,M455-pr_amort*(1-pr_eq)*pr_rb0)</f>
        <v/>
      </c>
    </row>
    <row r="456">
      <c r="B456" s="2" t="inlineStr">
        <is>
          <t>Operating company debt (debt share of rate base)</t>
        </is>
      </c>
      <c r="C456" s="5" t="inlineStr">
        <is>
          <t>$ million</t>
        </is>
      </c>
      <c r="D456" s="23">
        <f>(1-pr_eq)*D454</f>
        <v/>
      </c>
      <c r="E456" s="23">
        <f>(1-pr_eq)*E454</f>
        <v/>
      </c>
      <c r="F456" s="23">
        <f>(1-pr_eq)*F454</f>
        <v/>
      </c>
      <c r="G456" s="23">
        <f>(1-pr_eq)*G454</f>
        <v/>
      </c>
      <c r="H456" s="23">
        <f>(1-pr_eq)*H454</f>
        <v/>
      </c>
      <c r="I456" s="23">
        <f>(1-pr_eq)*I454</f>
        <v/>
      </c>
      <c r="J456" s="23">
        <f>(1-pr_eq)*J454</f>
        <v/>
      </c>
      <c r="K456" s="23">
        <f>(1-pr_eq)*K454</f>
        <v/>
      </c>
      <c r="L456" s="23">
        <f>(1-pr_eq)*L454</f>
        <v/>
      </c>
      <c r="M456" s="23">
        <f>(1-pr_eq)*M454</f>
        <v/>
      </c>
      <c r="N456" s="23">
        <f>(1-pr_eq)*N454</f>
        <v/>
      </c>
    </row>
    <row r="457">
      <c r="B457" s="2" t="inlineStr">
        <is>
          <t>New bonds outstanding</t>
        </is>
      </c>
      <c r="C457" s="5" t="inlineStr">
        <is>
          <t>$ million</t>
        </is>
      </c>
      <c r="D457" s="23">
        <f>D456-D455</f>
        <v/>
      </c>
      <c r="E457" s="23">
        <f>E456-E455</f>
        <v/>
      </c>
      <c r="F457" s="23">
        <f>F456-F455</f>
        <v/>
      </c>
      <c r="G457" s="23">
        <f>G456-G455</f>
        <v/>
      </c>
      <c r="H457" s="23">
        <f>H456-H455</f>
        <v/>
      </c>
      <c r="I457" s="23">
        <f>I456-I455</f>
        <v/>
      </c>
      <c r="J457" s="23">
        <f>J456-J455</f>
        <v/>
      </c>
      <c r="K457" s="23">
        <f>K456-K455</f>
        <v/>
      </c>
      <c r="L457" s="23">
        <f>L456-L455</f>
        <v/>
      </c>
      <c r="M457" s="23">
        <f>M456-M455</f>
        <v/>
      </c>
      <c r="N457" s="23">
        <f>N456-N455</f>
        <v/>
      </c>
    </row>
    <row r="458">
      <c r="B458" s="2" t="inlineStr">
        <is>
          <t>Embedded cost of debt at year end</t>
        </is>
      </c>
      <c r="C458" s="5" t="inlineStr">
        <is>
          <t>rate</t>
        </is>
      </c>
      <c r="D458" s="27">
        <f>pr_kd_old</f>
        <v/>
      </c>
      <c r="E458" s="27">
        <f>(E455*pr_kd_old+E457*pr_kd_new)/E456</f>
        <v/>
      </c>
      <c r="F458" s="27">
        <f>(F455*pr_kd_old+F457*pr_kd_new)/F456</f>
        <v/>
      </c>
      <c r="G458" s="27">
        <f>(G455*pr_kd_old+G457*pr_kd_new)/G456</f>
        <v/>
      </c>
      <c r="H458" s="27">
        <f>(H455*pr_kd_old+H457*pr_kd_new)/H456</f>
        <v/>
      </c>
      <c r="I458" s="27">
        <f>(I455*pr_kd_old+I457*pr_kd_new)/I456</f>
        <v/>
      </c>
      <c r="J458" s="27">
        <f>(J455*pr_kd_old+J457*pr_kd_new)/J456</f>
        <v/>
      </c>
      <c r="K458" s="27">
        <f>(K455*pr_kd_old+K457*pr_kd_new)/K456</f>
        <v/>
      </c>
      <c r="L458" s="27">
        <f>(L455*pr_kd_old+L457*pr_kd_new)/L456</f>
        <v/>
      </c>
      <c r="M458" s="27">
        <f>(M455*pr_kd_old+M457*pr_kd_new)/M456</f>
        <v/>
      </c>
      <c r="N458" s="27">
        <f>(N455*pr_kd_old+N457*pr_kd_new)/N456</f>
        <v/>
      </c>
    </row>
    <row r="460">
      <c r="B460" s="6" t="inlineStr">
        <is>
          <t>Returns and cash ($ million)</t>
        </is>
      </c>
      <c r="C460" s="7" t="n"/>
      <c r="D460" s="7" t="n"/>
      <c r="E460" s="7" t="n"/>
      <c r="F460" s="7" t="n"/>
      <c r="G460" s="7" t="n"/>
      <c r="H460" s="7" t="n"/>
      <c r="I460" s="7" t="n"/>
      <c r="J460" s="7" t="n"/>
      <c r="K460" s="7" t="n"/>
      <c r="L460" s="7" t="n"/>
      <c r="M460" s="7" t="n"/>
      <c r="N460" s="7" t="n"/>
    </row>
    <row r="461">
      <c r="B461" s="2" t="inlineStr">
        <is>
          <t>Average equity share of rate base</t>
        </is>
      </c>
      <c r="C461" s="5" t="inlineStr">
        <is>
          <t>$ million</t>
        </is>
      </c>
      <c r="E461" s="23">
        <f>pr_eq*0.5*(E450+E454)</f>
        <v/>
      </c>
      <c r="F461" s="23">
        <f>pr_eq*0.5*(F450+F454)</f>
        <v/>
      </c>
      <c r="G461" s="23">
        <f>pr_eq*0.5*(G450+G454)</f>
        <v/>
      </c>
      <c r="H461" s="23">
        <f>pr_eq*0.5*(H450+H454)</f>
        <v/>
      </c>
      <c r="I461" s="23">
        <f>pr_eq*0.5*(I450+I454)</f>
        <v/>
      </c>
      <c r="J461" s="23">
        <f>pr_eq*0.5*(J450+J454)</f>
        <v/>
      </c>
      <c r="K461" s="23">
        <f>pr_eq*0.5*(K450+K454)</f>
        <v/>
      </c>
      <c r="L461" s="23">
        <f>pr_eq*0.5*(L450+L454)</f>
        <v/>
      </c>
      <c r="M461" s="23">
        <f>pr_eq*0.5*(M450+M454)</f>
        <v/>
      </c>
      <c r="N461" s="23">
        <f>pr_eq*0.5*(N450+N454)</f>
        <v/>
      </c>
    </row>
    <row r="462">
      <c r="B462" s="2" t="inlineStr">
        <is>
          <t>Earned return on equity</t>
        </is>
      </c>
      <c r="C462" s="5" t="inlineStr">
        <is>
          <t>rate</t>
        </is>
      </c>
      <c r="E462" s="27">
        <f>E447/E461</f>
        <v/>
      </c>
      <c r="F462" s="27">
        <f>F447/F461</f>
        <v/>
      </c>
      <c r="G462" s="27">
        <f>G447/G461</f>
        <v/>
      </c>
      <c r="H462" s="27">
        <f>H447/H461</f>
        <v/>
      </c>
      <c r="I462" s="27">
        <f>I447/I461</f>
        <v/>
      </c>
      <c r="J462" s="27">
        <f>J447/J461</f>
        <v/>
      </c>
      <c r="K462" s="27">
        <f>K447/K461</f>
        <v/>
      </c>
      <c r="L462" s="27">
        <f>L447/L461</f>
        <v/>
      </c>
      <c r="M462" s="27">
        <f>M447/M461</f>
        <v/>
      </c>
      <c r="N462" s="27">
        <f>N447/N461</f>
        <v/>
      </c>
    </row>
    <row r="463">
      <c r="B463" s="2" t="inlineStr">
        <is>
          <t>Authorized return on equity</t>
        </is>
      </c>
      <c r="C463" s="5" t="inlineStr">
        <is>
          <t>rate</t>
        </is>
      </c>
      <c r="E463" s="27">
        <f>pr_roe</f>
        <v/>
      </c>
      <c r="F463" s="27">
        <f>pr_roe</f>
        <v/>
      </c>
      <c r="G463" s="27">
        <f>pr_roe</f>
        <v/>
      </c>
      <c r="H463" s="27">
        <f>pr_roe</f>
        <v/>
      </c>
      <c r="I463" s="27">
        <f>pr_roe</f>
        <v/>
      </c>
      <c r="J463" s="27">
        <f>pr_roe</f>
        <v/>
      </c>
      <c r="K463" s="27">
        <f>pr_roe</f>
        <v/>
      </c>
      <c r="L463" s="27">
        <f>pr_roe</f>
        <v/>
      </c>
      <c r="M463" s="27">
        <f>pr_roe</f>
        <v/>
      </c>
      <c r="N463" s="27">
        <f>pr_roe</f>
        <v/>
      </c>
    </row>
    <row r="464">
      <c r="B464" s="3" t="inlineStr">
        <is>
          <t>Cash to the shareholder (FCFE)</t>
        </is>
      </c>
      <c r="C464" s="5" t="inlineStr">
        <is>
          <t>$ million</t>
        </is>
      </c>
      <c r="E464" s="23">
        <f>E447+E443-E408-E452+E453+E456-D456</f>
        <v/>
      </c>
      <c r="F464" s="23">
        <f>F447+F443-F408-F452+F453+F456-E456</f>
        <v/>
      </c>
      <c r="G464" s="23">
        <f>G447+G443-G408-G452+G453+G456-F456</f>
        <v/>
      </c>
      <c r="H464" s="23">
        <f>H447+H443-H408-H452+H453+H456-G456</f>
        <v/>
      </c>
      <c r="I464" s="23">
        <f>I447+I443-I408-I452+I453+I456-H456</f>
        <v/>
      </c>
      <c r="J464" s="23">
        <f>J447+J443-J408-J452+J453+J456-I456</f>
        <v/>
      </c>
      <c r="K464" s="23">
        <f>K447+K443-K408-K452+K453+K456-J456</f>
        <v/>
      </c>
      <c r="L464" s="23">
        <f>L447+L443-L408-L452+L453+L456-K456</f>
        <v/>
      </c>
      <c r="M464" s="23">
        <f>M447+M443-M408-M452+M453+M456-L456</f>
        <v/>
      </c>
      <c r="N464" s="23">
        <f>N447+N443-N408-N452+N453+N456-M456</f>
        <v/>
      </c>
    </row>
    <row r="465">
      <c r="B465" s="2" t="inlineStr">
        <is>
          <t>Funds from operations (net income + depreciation)</t>
        </is>
      </c>
      <c r="C465" s="5" t="inlineStr">
        <is>
          <t>$ million</t>
        </is>
      </c>
      <c r="E465" s="23">
        <f>E447+E443</f>
        <v/>
      </c>
      <c r="F465" s="23">
        <f>F447+F443</f>
        <v/>
      </c>
      <c r="G465" s="23">
        <f>G447+G443</f>
        <v/>
      </c>
      <c r="H465" s="23">
        <f>H447+H443</f>
        <v/>
      </c>
      <c r="I465" s="23">
        <f>I447+I443</f>
        <v/>
      </c>
      <c r="J465" s="23">
        <f>J447+J443</f>
        <v/>
      </c>
      <c r="K465" s="23">
        <f>K447+K443</f>
        <v/>
      </c>
      <c r="L465" s="23">
        <f>L447+L443</f>
        <v/>
      </c>
      <c r="M465" s="23">
        <f>M447+M443</f>
        <v/>
      </c>
      <c r="N465" s="23">
        <f>N447+N443</f>
        <v/>
      </c>
    </row>
    <row r="466">
      <c r="B466" s="3" t="inlineStr">
        <is>
          <t>Brannock's net flows (exit at the exit multiple)</t>
        </is>
      </c>
      <c r="C466" s="5" t="inlineStr">
        <is>
          <t>$ million</t>
        </is>
      </c>
      <c r="D466" s="23">
        <f>-(pr_ev_mult*pr_rb0-(1-pr_eq)*pr_rb0+pr_costs-pr_holdco)</f>
        <v/>
      </c>
      <c r="E466" s="23">
        <f>E464-pr_holdco*pr_kd_holdco*(1-pr_tax)</f>
        <v/>
      </c>
      <c r="F466" s="23">
        <f>F464-pr_holdco*pr_kd_holdco*(1-pr_tax)</f>
        <v/>
      </c>
      <c r="G466" s="23">
        <f>G464-pr_holdco*pr_kd_holdco*(1-pr_tax)</f>
        <v/>
      </c>
      <c r="H466" s="23">
        <f>H464-pr_holdco*pr_kd_holdco*(1-pr_tax)</f>
        <v/>
      </c>
      <c r="I466" s="23">
        <f>I464-pr_holdco*pr_kd_holdco*(1-pr_tax)</f>
        <v/>
      </c>
      <c r="J466" s="23">
        <f>J464-pr_holdco*pr_kd_holdco*(1-pr_tax)</f>
        <v/>
      </c>
      <c r="K466" s="23">
        <f>K464-pr_holdco*pr_kd_holdco*(1-pr_tax)</f>
        <v/>
      </c>
      <c r="L466" s="23">
        <f>L464-pr_holdco*pr_kd_holdco*(1-pr_tax)</f>
        <v/>
      </c>
      <c r="M466" s="23">
        <f>M464-pr_holdco*pr_kd_holdco*(1-pr_tax)</f>
        <v/>
      </c>
      <c r="N466" s="23">
        <f>N464-pr_holdco*pr_kd_holdco*(1-pr_tax)+pr_exit_mult*N454-N456-pr_holdco</f>
        <v/>
      </c>
    </row>
    <row r="467">
      <c r="B467" s="2" t="inlineStr">
        <is>
          <t>Levered IRR</t>
        </is>
      </c>
      <c r="C467" s="5" t="inlineStr">
        <is>
          <t>rate</t>
        </is>
      </c>
      <c r="D467" s="27">
        <f>IRR($D$466:N$466,0.08)</f>
        <v/>
      </c>
    </row>
    <row r="468">
      <c r="B468" s="2" t="inlineStr">
        <is>
          <t>Average earned return on equity 2028 to 2037</t>
        </is>
      </c>
      <c r="C468" s="5" t="inlineStr">
        <is>
          <t>rate</t>
        </is>
      </c>
      <c r="D468" s="27">
        <f>AVERAGE($E$462:N$462)</f>
        <v/>
      </c>
    </row>
    <row r="469">
      <c r="B469" s="2" t="inlineStr">
        <is>
          <t>Price at the target return (enterprise value)</t>
        </is>
      </c>
      <c r="C469" s="5" t="inlineStr">
        <is>
          <t>$ million</t>
        </is>
      </c>
      <c r="D469" s="23">
        <f>NPV(pr_target,$E$466:N$466)+(1-pr_eq)*pr_rb0-pr_costs+pr_holdco</f>
        <v/>
      </c>
    </row>
    <row r="470">
      <c r="B470" s="2" t="inlineStr">
        <is>
          <t>Exit equity</t>
        </is>
      </c>
      <c r="C470" s="5" t="inlineStr">
        <is>
          <t>$ million</t>
        </is>
      </c>
      <c r="D470" s="23">
        <f>pr_exit_mult*N454-N456-pr_holdco</f>
        <v/>
      </c>
    </row>
    <row r="471">
      <c r="B471" s="2" t="inlineStr">
        <is>
          <t>Rate base at exit</t>
        </is>
      </c>
      <c r="C471" s="5" t="inlineStr">
        <is>
          <t>$ million</t>
        </is>
      </c>
      <c r="D471" s="23">
        <f>N454</f>
        <v/>
      </c>
    </row>
    <row r="474">
      <c r="B474" s="6" t="inlineStr">
        <is>
          <t>S7: 10 percent of PFAS and lead spending disallowed (Pell River, after tax)</t>
        </is>
      </c>
      <c r="C474" s="7" t="n"/>
      <c r="D474" s="7" t="n"/>
      <c r="E474" s="7" t="n"/>
      <c r="F474" s="7" t="n"/>
      <c r="G474" s="7" t="n"/>
      <c r="H474" s="7" t="n"/>
      <c r="I474" s="7" t="n"/>
      <c r="J474" s="7" t="n"/>
      <c r="K474" s="7" t="n"/>
      <c r="L474" s="7" t="n"/>
      <c r="M474" s="7" t="n"/>
      <c r="N474" s="7" t="n"/>
    </row>
    <row r="475">
      <c r="B475" s="2" t="inlineStr">
        <is>
          <t>Year (31 December)</t>
        </is>
      </c>
      <c r="D475" s="26">
        <f>pr_close</f>
        <v/>
      </c>
      <c r="E475" s="26">
        <f>D475+1</f>
        <v/>
      </c>
      <c r="F475" s="26">
        <f>E475+1</f>
        <v/>
      </c>
      <c r="G475" s="26">
        <f>F475+1</f>
        <v/>
      </c>
      <c r="H475" s="26">
        <f>G475+1</f>
        <v/>
      </c>
      <c r="I475" s="26">
        <f>H475+1</f>
        <v/>
      </c>
      <c r="J475" s="26">
        <f>I475+1</f>
        <v/>
      </c>
      <c r="K475" s="26">
        <f>J475+1</f>
        <v/>
      </c>
      <c r="L475" s="26">
        <f>K475+1</f>
        <v/>
      </c>
      <c r="M475" s="26">
        <f>L475+1</f>
        <v/>
      </c>
      <c r="N475" s="26">
        <f>M475+1</f>
        <v/>
      </c>
    </row>
    <row r="476">
      <c r="B476" s="2" t="inlineStr">
        <is>
          <t>Years after the first year of the hold (2028 = 0)</t>
        </is>
      </c>
      <c r="D476" s="26">
        <f>D475-(pr_close+1)</f>
        <v/>
      </c>
      <c r="E476" s="26">
        <f>E475-(pr_close+1)</f>
        <v/>
      </c>
      <c r="F476" s="26">
        <f>F475-(pr_close+1)</f>
        <v/>
      </c>
      <c r="G476" s="26">
        <f>G475-(pr_close+1)</f>
        <v/>
      </c>
      <c r="H476" s="26">
        <f>H475-(pr_close+1)</f>
        <v/>
      </c>
      <c r="I476" s="26">
        <f>I475-(pr_close+1)</f>
        <v/>
      </c>
      <c r="J476" s="26">
        <f>J475-(pr_close+1)</f>
        <v/>
      </c>
      <c r="K476" s="26">
        <f>K475-(pr_close+1)</f>
        <v/>
      </c>
      <c r="L476" s="26">
        <f>L475-(pr_close+1)</f>
        <v/>
      </c>
      <c r="M476" s="26">
        <f>M475-(pr_close+1)</f>
        <v/>
      </c>
      <c r="N476" s="26">
        <f>N475-(pr_close+1)</f>
        <v/>
      </c>
    </row>
    <row r="477">
      <c r="B477" s="2" t="inlineStr">
        <is>
          <t>Connections (water and wastewater), year end</t>
        </is>
      </c>
      <c r="C477" s="5" t="inlineStr">
        <is>
          <t>number</t>
        </is>
      </c>
      <c r="D477" s="19">
        <f>pr_water_conn+pr_ww_conn</f>
        <v/>
      </c>
      <c r="E477" s="19">
        <f>D477*(1+pr_growth)+IF(AND(pr_fen_on=1,E475=pr_fen_year+1),pr_fen_conn,0)</f>
        <v/>
      </c>
      <c r="F477" s="19">
        <f>E477*(1+pr_growth)+IF(AND(pr_fen_on=1,F475=pr_fen_year+1),pr_fen_conn,0)</f>
        <v/>
      </c>
      <c r="G477" s="19">
        <f>F477*(1+pr_growth)+IF(AND(pr_fen_on=1,G475=pr_fen_year+1),pr_fen_conn,0)</f>
        <v/>
      </c>
      <c r="H477" s="19">
        <f>G477*(1+pr_growth)+IF(AND(pr_fen_on=1,H475=pr_fen_year+1),pr_fen_conn,0)</f>
        <v/>
      </c>
      <c r="I477" s="19">
        <f>H477*(1+pr_growth)+IF(AND(pr_fen_on=1,I475=pr_fen_year+1),pr_fen_conn,0)</f>
        <v/>
      </c>
      <c r="J477" s="19">
        <f>I477*(1+pr_growth)+IF(AND(pr_fen_on=1,J475=pr_fen_year+1),pr_fen_conn,0)</f>
        <v/>
      </c>
      <c r="K477" s="19">
        <f>J477*(1+pr_growth)+IF(AND(pr_fen_on=1,K475=pr_fen_year+1),pr_fen_conn,0)</f>
        <v/>
      </c>
      <c r="L477" s="19">
        <f>K477*(1+pr_growth)+IF(AND(pr_fen_on=1,L475=pr_fen_year+1),pr_fen_conn,0)</f>
        <v/>
      </c>
      <c r="M477" s="19">
        <f>L477*(1+pr_growth)+IF(AND(pr_fen_on=1,M475=pr_fen_year+1),pr_fen_conn,0)</f>
        <v/>
      </c>
      <c r="N477" s="19">
        <f>M477*(1+pr_growth)+IF(AND(pr_fen_on=1,N475=pr_fen_year+1),pr_fen_conn,0)</f>
        <v/>
      </c>
    </row>
    <row r="479">
      <c r="B479" s="6" t="inlineStr">
        <is>
          <t>Capital spending ($ million)</t>
        </is>
      </c>
      <c r="C479" s="7" t="n"/>
      <c r="D479" s="7" t="n"/>
      <c r="E479" s="7" t="n"/>
      <c r="F479" s="7" t="n"/>
      <c r="G479" s="7" t="n"/>
      <c r="H479" s="7" t="n"/>
      <c r="I479" s="7" t="n"/>
      <c r="J479" s="7" t="n"/>
      <c r="K479" s="7" t="n"/>
      <c r="L479" s="7" t="n"/>
      <c r="M479" s="7" t="n"/>
      <c r="N479" s="7" t="n"/>
    </row>
    <row r="480">
      <c r="B480" s="2" t="inlineStr">
        <is>
          <t>Cost escalation index (2028 = 1)</t>
        </is>
      </c>
      <c r="E480" s="28">
        <f>(1+pr_capex_esc)^(E475-(pr_close+1))</f>
        <v/>
      </c>
      <c r="F480" s="28">
        <f>(1+pr_capex_esc)^(F475-(pr_close+1))</f>
        <v/>
      </c>
      <c r="G480" s="28">
        <f>(1+pr_capex_esc)^(G475-(pr_close+1))</f>
        <v/>
      </c>
      <c r="H480" s="28">
        <f>(1+pr_capex_esc)^(H475-(pr_close+1))</f>
        <v/>
      </c>
      <c r="I480" s="28">
        <f>(1+pr_capex_esc)^(I475-(pr_close+1))</f>
        <v/>
      </c>
      <c r="J480" s="28">
        <f>(1+pr_capex_esc)^(J475-(pr_close+1))</f>
        <v/>
      </c>
      <c r="K480" s="28">
        <f>(1+pr_capex_esc)^(K475-(pr_close+1))</f>
        <v/>
      </c>
      <c r="L480" s="28">
        <f>(1+pr_capex_esc)^(L475-(pr_close+1))</f>
        <v/>
      </c>
      <c r="M480" s="28">
        <f>(1+pr_capex_esc)^(M475-(pr_close+1))</f>
        <v/>
      </c>
      <c r="N480" s="28">
        <f>(1+pr_capex_esc)^(N475-(pr_close+1))</f>
        <v/>
      </c>
    </row>
    <row r="481">
      <c r="B481" s="2" t="inlineStr">
        <is>
          <t>Main renewal</t>
        </is>
      </c>
      <c r="C481" s="5" t="inlineStr">
        <is>
          <t>$ million</t>
        </is>
      </c>
      <c r="E481" s="23">
        <f>pr_renewal*pr_mains_miles*pr_cost_mile*E480*(1+pr_capex_shift)</f>
        <v/>
      </c>
      <c r="F481" s="23">
        <f>pr_renewal*pr_mains_miles*pr_cost_mile*F480*(1+pr_capex_shift)</f>
        <v/>
      </c>
      <c r="G481" s="23">
        <f>pr_renewal*pr_mains_miles*pr_cost_mile*G480*(1+pr_capex_shift)</f>
        <v/>
      </c>
      <c r="H481" s="23">
        <f>pr_renewal*pr_mains_miles*pr_cost_mile*H480*(1+pr_capex_shift)</f>
        <v/>
      </c>
      <c r="I481" s="23">
        <f>pr_renewal*pr_mains_miles*pr_cost_mile*I480*(1+pr_capex_shift)</f>
        <v/>
      </c>
      <c r="J481" s="23">
        <f>pr_renewal*pr_mains_miles*pr_cost_mile*J480*(1+pr_capex_shift)</f>
        <v/>
      </c>
      <c r="K481" s="23">
        <f>pr_renewal*pr_mains_miles*pr_cost_mile*K480*(1+pr_capex_shift)</f>
        <v/>
      </c>
      <c r="L481" s="23">
        <f>pr_renewal*pr_mains_miles*pr_cost_mile*L480*(1+pr_capex_shift)</f>
        <v/>
      </c>
      <c r="M481" s="23">
        <f>pr_renewal*pr_mains_miles*pr_cost_mile*M480*(1+pr_capex_shift)</f>
        <v/>
      </c>
      <c r="N481" s="23">
        <f>pr_renewal*pr_mains_miles*pr_cost_mile*N480*(1+pr_capex_shift)</f>
        <v/>
      </c>
    </row>
    <row r="482">
      <c r="B482" s="2" t="inlineStr">
        <is>
          <t>Treatment, storage, meters, IT and growth</t>
        </is>
      </c>
      <c r="C482" s="5" t="inlineStr">
        <is>
          <t>$ million</t>
        </is>
      </c>
      <c r="E482" s="23">
        <f>pr_other_capex*E480*(1+pr_capex_shift)</f>
        <v/>
      </c>
      <c r="F482" s="23">
        <f>pr_other_capex*F480*(1+pr_capex_shift)</f>
        <v/>
      </c>
      <c r="G482" s="23">
        <f>pr_other_capex*G480*(1+pr_capex_shift)</f>
        <v/>
      </c>
      <c r="H482" s="23">
        <f>pr_other_capex*H480*(1+pr_capex_shift)</f>
        <v/>
      </c>
      <c r="I482" s="23">
        <f>pr_other_capex*I480*(1+pr_capex_shift)</f>
        <v/>
      </c>
      <c r="J482" s="23">
        <f>pr_other_capex*J480*(1+pr_capex_shift)</f>
        <v/>
      </c>
      <c r="K482" s="23">
        <f>pr_other_capex*K480*(1+pr_capex_shift)</f>
        <v/>
      </c>
      <c r="L482" s="23">
        <f>pr_other_capex*L480*(1+pr_capex_shift)</f>
        <v/>
      </c>
      <c r="M482" s="23">
        <f>pr_other_capex*M480*(1+pr_capex_shift)</f>
        <v/>
      </c>
      <c r="N482" s="23">
        <f>pr_other_capex*N480*(1+pr_capex_shift)</f>
        <v/>
      </c>
    </row>
    <row r="483">
      <c r="B483" s="2" t="inlineStr">
        <is>
          <t>PFAS treatment</t>
        </is>
      </c>
      <c r="C483" s="5" t="inlineStr">
        <is>
          <t>$ million</t>
        </is>
      </c>
      <c r="E483" s="23">
        <f>(IF(E475-pr_pfas_delay=pr_pfas_y1,pr_pfas_1,0)+IF(E475-pr_pfas_delay=pr_pfas_y1+1,pr_pfas_2,0)+IF(E475-pr_pfas_delay=pr_pfas_y1+2,pr_pfas_3,0))*(1+pr_capex_esc)^pr_pfas_delay*(1+pr_capex_shift)</f>
        <v/>
      </c>
      <c r="F483" s="23">
        <f>(IF(F475-pr_pfas_delay=pr_pfas_y1,pr_pfas_1,0)+IF(F475-pr_pfas_delay=pr_pfas_y1+1,pr_pfas_2,0)+IF(F475-pr_pfas_delay=pr_pfas_y1+2,pr_pfas_3,0))*(1+pr_capex_esc)^pr_pfas_delay*(1+pr_capex_shift)</f>
        <v/>
      </c>
      <c r="G483" s="23">
        <f>(IF(G475-pr_pfas_delay=pr_pfas_y1,pr_pfas_1,0)+IF(G475-pr_pfas_delay=pr_pfas_y1+1,pr_pfas_2,0)+IF(G475-pr_pfas_delay=pr_pfas_y1+2,pr_pfas_3,0))*(1+pr_capex_esc)^pr_pfas_delay*(1+pr_capex_shift)</f>
        <v/>
      </c>
      <c r="H483" s="23">
        <f>(IF(H475-pr_pfas_delay=pr_pfas_y1,pr_pfas_1,0)+IF(H475-pr_pfas_delay=pr_pfas_y1+1,pr_pfas_2,0)+IF(H475-pr_pfas_delay=pr_pfas_y1+2,pr_pfas_3,0))*(1+pr_capex_esc)^pr_pfas_delay*(1+pr_capex_shift)</f>
        <v/>
      </c>
      <c r="I483" s="23">
        <f>(IF(I475-pr_pfas_delay=pr_pfas_y1,pr_pfas_1,0)+IF(I475-pr_pfas_delay=pr_pfas_y1+1,pr_pfas_2,0)+IF(I475-pr_pfas_delay=pr_pfas_y1+2,pr_pfas_3,0))*(1+pr_capex_esc)^pr_pfas_delay*(1+pr_capex_shift)</f>
        <v/>
      </c>
      <c r="J483" s="23">
        <f>(IF(J475-pr_pfas_delay=pr_pfas_y1,pr_pfas_1,0)+IF(J475-pr_pfas_delay=pr_pfas_y1+1,pr_pfas_2,0)+IF(J475-pr_pfas_delay=pr_pfas_y1+2,pr_pfas_3,0))*(1+pr_capex_esc)^pr_pfas_delay*(1+pr_capex_shift)</f>
        <v/>
      </c>
      <c r="K483" s="23">
        <f>(IF(K475-pr_pfas_delay=pr_pfas_y1,pr_pfas_1,0)+IF(K475-pr_pfas_delay=pr_pfas_y1+1,pr_pfas_2,0)+IF(K475-pr_pfas_delay=pr_pfas_y1+2,pr_pfas_3,0))*(1+pr_capex_esc)^pr_pfas_delay*(1+pr_capex_shift)</f>
        <v/>
      </c>
      <c r="L483" s="23">
        <f>(IF(L475-pr_pfas_delay=pr_pfas_y1,pr_pfas_1,0)+IF(L475-pr_pfas_delay=pr_pfas_y1+1,pr_pfas_2,0)+IF(L475-pr_pfas_delay=pr_pfas_y1+2,pr_pfas_3,0))*(1+pr_capex_esc)^pr_pfas_delay*(1+pr_capex_shift)</f>
        <v/>
      </c>
      <c r="M483" s="23">
        <f>(IF(M475-pr_pfas_delay=pr_pfas_y1,pr_pfas_1,0)+IF(M475-pr_pfas_delay=pr_pfas_y1+1,pr_pfas_2,0)+IF(M475-pr_pfas_delay=pr_pfas_y1+2,pr_pfas_3,0))*(1+pr_capex_esc)^pr_pfas_delay*(1+pr_capex_shift)</f>
        <v/>
      </c>
      <c r="N483" s="23">
        <f>(IF(N475-pr_pfas_delay=pr_pfas_y1,pr_pfas_1,0)+IF(N475-pr_pfas_delay=pr_pfas_y1+1,pr_pfas_2,0)+IF(N475-pr_pfas_delay=pr_pfas_y1+2,pr_pfas_3,0))*(1+pr_capex_esc)^pr_pfas_delay*(1+pr_capex_shift)</f>
        <v/>
      </c>
    </row>
    <row r="484">
      <c r="B484" s="2" t="inlineStr">
        <is>
          <t>Lead service lines</t>
        </is>
      </c>
      <c r="C484" s="5" t="inlineStr">
        <is>
          <t>$ million</t>
        </is>
      </c>
      <c r="E484" s="23">
        <f>IF(AND(E475&gt;=(pr_close+1),E475&lt;(pr_close+1)+pr_lead_years),pr_lead_lines/pr_lead_years*pr_lead_cost/1000000*E480,0)*(1+pr_capex_shift)</f>
        <v/>
      </c>
      <c r="F484" s="23">
        <f>IF(AND(F475&gt;=(pr_close+1),F475&lt;(pr_close+1)+pr_lead_years),pr_lead_lines/pr_lead_years*pr_lead_cost/1000000*F480,0)*(1+pr_capex_shift)</f>
        <v/>
      </c>
      <c r="G484" s="23">
        <f>IF(AND(G475&gt;=(pr_close+1),G475&lt;(pr_close+1)+pr_lead_years),pr_lead_lines/pr_lead_years*pr_lead_cost/1000000*G480,0)*(1+pr_capex_shift)</f>
        <v/>
      </c>
      <c r="H484" s="23">
        <f>IF(AND(H475&gt;=(pr_close+1),H475&lt;(pr_close+1)+pr_lead_years),pr_lead_lines/pr_lead_years*pr_lead_cost/1000000*H480,0)*(1+pr_capex_shift)</f>
        <v/>
      </c>
      <c r="I484" s="23">
        <f>IF(AND(I475&gt;=(pr_close+1),I475&lt;(pr_close+1)+pr_lead_years),pr_lead_lines/pr_lead_years*pr_lead_cost/1000000*I480,0)*(1+pr_capex_shift)</f>
        <v/>
      </c>
      <c r="J484" s="23">
        <f>IF(AND(J475&gt;=(pr_close+1),J475&lt;(pr_close+1)+pr_lead_years),pr_lead_lines/pr_lead_years*pr_lead_cost/1000000*J480,0)*(1+pr_capex_shift)</f>
        <v/>
      </c>
      <c r="K484" s="23">
        <f>IF(AND(K475&gt;=(pr_close+1),K475&lt;(pr_close+1)+pr_lead_years),pr_lead_lines/pr_lead_years*pr_lead_cost/1000000*K480,0)*(1+pr_capex_shift)</f>
        <v/>
      </c>
      <c r="L484" s="23">
        <f>IF(AND(L475&gt;=(pr_close+1),L475&lt;(pr_close+1)+pr_lead_years),pr_lead_lines/pr_lead_years*pr_lead_cost/1000000*L480,0)*(1+pr_capex_shift)</f>
        <v/>
      </c>
      <c r="M484" s="23">
        <f>IF(AND(M475&gt;=(pr_close+1),M475&lt;(pr_close+1)+pr_lead_years),pr_lead_lines/pr_lead_years*pr_lead_cost/1000000*M480,0)*(1+pr_capex_shift)</f>
        <v/>
      </c>
      <c r="N484" s="23">
        <f>IF(AND(N475&gt;=(pr_close+1),N475&lt;(pr_close+1)+pr_lead_years),pr_lead_lines/pr_lead_years*pr_lead_cost/1000000*N480,0)*(1+pr_capex_shift)</f>
        <v/>
      </c>
    </row>
    <row r="485">
      <c r="B485" s="2" t="inlineStr">
        <is>
          <t>Fennick system</t>
        </is>
      </c>
      <c r="C485" s="5" t="inlineStr">
        <is>
          <t>$ million</t>
        </is>
      </c>
      <c r="E485" s="23">
        <f>IF(AND(pr_fen_on=1,E475&gt;pr_fen_year),pr_fen_capex*(1+pr_capex_esc)^(E475-pr_fen_year-1),0)*(1+pr_capex_shift)</f>
        <v/>
      </c>
      <c r="F485" s="23">
        <f>IF(AND(pr_fen_on=1,F475&gt;pr_fen_year),pr_fen_capex*(1+pr_capex_esc)^(F475-pr_fen_year-1),0)*(1+pr_capex_shift)</f>
        <v/>
      </c>
      <c r="G485" s="23">
        <f>IF(AND(pr_fen_on=1,G475&gt;pr_fen_year),pr_fen_capex*(1+pr_capex_esc)^(G475-pr_fen_year-1),0)*(1+pr_capex_shift)</f>
        <v/>
      </c>
      <c r="H485" s="23">
        <f>IF(AND(pr_fen_on=1,H475&gt;pr_fen_year),pr_fen_capex*(1+pr_capex_esc)^(H475-pr_fen_year-1),0)*(1+pr_capex_shift)</f>
        <v/>
      </c>
      <c r="I485" s="23">
        <f>IF(AND(pr_fen_on=1,I475&gt;pr_fen_year),pr_fen_capex*(1+pr_capex_esc)^(I475-pr_fen_year-1),0)*(1+pr_capex_shift)</f>
        <v/>
      </c>
      <c r="J485" s="23">
        <f>IF(AND(pr_fen_on=1,J475&gt;pr_fen_year),pr_fen_capex*(1+pr_capex_esc)^(J475-pr_fen_year-1),0)*(1+pr_capex_shift)</f>
        <v/>
      </c>
      <c r="K485" s="23">
        <f>IF(AND(pr_fen_on=1,K475&gt;pr_fen_year),pr_fen_capex*(1+pr_capex_esc)^(K475-pr_fen_year-1),0)*(1+pr_capex_shift)</f>
        <v/>
      </c>
      <c r="L485" s="23">
        <f>IF(AND(pr_fen_on=1,L475&gt;pr_fen_year),pr_fen_capex*(1+pr_capex_esc)^(L475-pr_fen_year-1),0)*(1+pr_capex_shift)</f>
        <v/>
      </c>
      <c r="M485" s="23">
        <f>IF(AND(pr_fen_on=1,M475&gt;pr_fen_year),pr_fen_capex*(1+pr_capex_esc)^(M475-pr_fen_year-1),0)*(1+pr_capex_shift)</f>
        <v/>
      </c>
      <c r="N485" s="23">
        <f>IF(AND(pr_fen_on=1,N475&gt;pr_fen_year),pr_fen_capex*(1+pr_capex_esc)^(N475-pr_fen_year-1),0)*(1+pr_capex_shift)</f>
        <v/>
      </c>
    </row>
    <row r="486">
      <c r="B486" s="2" t="inlineStr">
        <is>
          <t>Total capital spending</t>
        </is>
      </c>
      <c r="C486" s="5" t="inlineStr">
        <is>
          <t>$ million</t>
        </is>
      </c>
      <c r="E486" s="23">
        <f>SUM(E481:E485)</f>
        <v/>
      </c>
      <c r="F486" s="23">
        <f>SUM(F481:F485)</f>
        <v/>
      </c>
      <c r="G486" s="23">
        <f>SUM(G481:G485)</f>
        <v/>
      </c>
      <c r="H486" s="23">
        <f>SUM(H481:H485)</f>
        <v/>
      </c>
      <c r="I486" s="23">
        <f>SUM(I481:I485)</f>
        <v/>
      </c>
      <c r="J486" s="23">
        <f>SUM(J481:J485)</f>
        <v/>
      </c>
      <c r="K486" s="23">
        <f>SUM(K481:K485)</f>
        <v/>
      </c>
      <c r="L486" s="23">
        <f>SUM(L481:L485)</f>
        <v/>
      </c>
      <c r="M486" s="23">
        <f>SUM(M481:M485)</f>
        <v/>
      </c>
      <c r="N486" s="23">
        <f>SUM(N481:N485)</f>
        <v/>
      </c>
    </row>
    <row r="487">
      <c r="B487" s="2" t="inlineStr">
        <is>
          <t>DSIC-eligible (mains and lead lines)</t>
        </is>
      </c>
      <c r="C487" s="5" t="inlineStr">
        <is>
          <t>$ million</t>
        </is>
      </c>
      <c r="E487" s="23">
        <f>E481+E484</f>
        <v/>
      </c>
      <c r="F487" s="23">
        <f>F481+F484</f>
        <v/>
      </c>
      <c r="G487" s="23">
        <f>G481+G484</f>
        <v/>
      </c>
      <c r="H487" s="23">
        <f>H481+H484</f>
        <v/>
      </c>
      <c r="I487" s="23">
        <f>I481+I484</f>
        <v/>
      </c>
      <c r="J487" s="23">
        <f>J481+J484</f>
        <v/>
      </c>
      <c r="K487" s="23">
        <f>K481+K484</f>
        <v/>
      </c>
      <c r="L487" s="23">
        <f>L481+L484</f>
        <v/>
      </c>
      <c r="M487" s="23">
        <f>M481+M484</f>
        <v/>
      </c>
      <c r="N487" s="23">
        <f>N481+N484</f>
        <v/>
      </c>
    </row>
    <row r="489">
      <c r="B489" s="6" t="inlineStr">
        <is>
          <t>Rate case (rates effective 1 January of the year; test-year values looked up to the left)</t>
        </is>
      </c>
      <c r="C489" s="7" t="n"/>
      <c r="D489" s="7" t="n"/>
      <c r="E489" s="7" t="n"/>
      <c r="F489" s="7" t="n"/>
      <c r="G489" s="7" t="n"/>
      <c r="H489" s="7" t="n"/>
      <c r="I489" s="7" t="n"/>
      <c r="J489" s="7" t="n"/>
      <c r="K489" s="7" t="n"/>
      <c r="L489" s="7" t="n"/>
      <c r="M489" s="7" t="n"/>
      <c r="N489" s="7" t="n"/>
    </row>
    <row r="490">
      <c r="B490" s="2" t="inlineStr">
        <is>
          <t>Rate case this year (1 = yes)</t>
        </is>
      </c>
      <c r="E490" s="26">
        <f>IF(AND(E475&gt;=pr_rc_first,MOD(E475-pr_rc_first,pr_rc_cycle)=0),1,0)</f>
        <v/>
      </c>
      <c r="F490" s="26">
        <f>IF(AND(F475&gt;=pr_rc_first,MOD(F475-pr_rc_first,pr_rc_cycle)=0),1,0)</f>
        <v/>
      </c>
      <c r="G490" s="26">
        <f>IF(AND(G475&gt;=pr_rc_first,MOD(G475-pr_rc_first,pr_rc_cycle)=0),1,0)</f>
        <v/>
      </c>
      <c r="H490" s="26">
        <f>IF(AND(H475&gt;=pr_rc_first,MOD(H475-pr_rc_first,pr_rc_cycle)=0),1,0)</f>
        <v/>
      </c>
      <c r="I490" s="26">
        <f>IF(AND(I475&gt;=pr_rc_first,MOD(I475-pr_rc_first,pr_rc_cycle)=0),1,0)</f>
        <v/>
      </c>
      <c r="J490" s="26">
        <f>IF(AND(J475&gt;=pr_rc_first,MOD(J475-pr_rc_first,pr_rc_cycle)=0),1,0)</f>
        <v/>
      </c>
      <c r="K490" s="26">
        <f>IF(AND(K475&gt;=pr_rc_first,MOD(K475-pr_rc_first,pr_rc_cycle)=0),1,0)</f>
        <v/>
      </c>
      <c r="L490" s="26">
        <f>IF(AND(L475&gt;=pr_rc_first,MOD(L475-pr_rc_first,pr_rc_cycle)=0),1,0)</f>
        <v/>
      </c>
      <c r="M490" s="26">
        <f>IF(AND(M475&gt;=pr_rc_first,MOD(M475-pr_rc_first,pr_rc_cycle)=0),1,0)</f>
        <v/>
      </c>
      <c r="N490" s="26">
        <f>IF(AND(N475&gt;=pr_rc_first,MOD(N475-pr_rc_first,pr_rc_cycle)=0),1,0)</f>
        <v/>
      </c>
    </row>
    <row r="491">
      <c r="B491" s="2" t="inlineStr">
        <is>
          <t>Test year</t>
        </is>
      </c>
      <c r="E491" s="26">
        <f>E475-pr_test_lag</f>
        <v/>
      </c>
      <c r="F491" s="26">
        <f>F475-pr_test_lag</f>
        <v/>
      </c>
      <c r="G491" s="26">
        <f>G475-pr_test_lag</f>
        <v/>
      </c>
      <c r="H491" s="26">
        <f>H475-pr_test_lag</f>
        <v/>
      </c>
      <c r="I491" s="26">
        <f>I475-pr_test_lag</f>
        <v/>
      </c>
      <c r="J491" s="26">
        <f>J475-pr_test_lag</f>
        <v/>
      </c>
      <c r="K491" s="26">
        <f>K475-pr_test_lag</f>
        <v/>
      </c>
      <c r="L491" s="26">
        <f>L475-pr_test_lag</f>
        <v/>
      </c>
      <c r="M491" s="26">
        <f>M475-pr_test_lag</f>
        <v/>
      </c>
      <c r="N491" s="26">
        <f>N475-pr_test_lag</f>
        <v/>
      </c>
    </row>
    <row r="492">
      <c r="B492" s="2" t="inlineStr">
        <is>
          <t>Test year of the latest rate case</t>
        </is>
      </c>
      <c r="D492" s="26">
        <f>pr_close</f>
        <v/>
      </c>
      <c r="E492" s="26">
        <f>IF(E490=1,E491,D492)</f>
        <v/>
      </c>
      <c r="F492" s="26">
        <f>IF(F490=1,F491,E492)</f>
        <v/>
      </c>
      <c r="G492" s="26">
        <f>IF(G490=1,G491,F492)</f>
        <v/>
      </c>
      <c r="H492" s="26">
        <f>IF(H490=1,H491,G492)</f>
        <v/>
      </c>
      <c r="I492" s="26">
        <f>IF(I490=1,I491,H492)</f>
        <v/>
      </c>
      <c r="J492" s="26">
        <f>IF(J490=1,J491,I492)</f>
        <v/>
      </c>
      <c r="K492" s="26">
        <f>IF(K490=1,K491,J492)</f>
        <v/>
      </c>
      <c r="L492" s="26">
        <f>IF(L490=1,L491,K492)</f>
        <v/>
      </c>
      <c r="M492" s="26">
        <f>IF(M490=1,M491,L492)</f>
        <v/>
      </c>
      <c r="N492" s="26">
        <f>IF(N490=1,N491,M492)</f>
        <v/>
      </c>
    </row>
    <row r="493">
      <c r="B493" s="2" t="inlineStr">
        <is>
          <t>Rate base at the end of the test year</t>
        </is>
      </c>
      <c r="C493" s="5" t="inlineStr">
        <is>
          <t>$ million</t>
        </is>
      </c>
      <c r="E493" s="23">
        <f>INDEX($D$532:D$532,MATCH(MAX(E491,pr_close),$D$475:D$475,0))</f>
        <v/>
      </c>
      <c r="F493" s="23">
        <f>INDEX($D$532:E$532,MATCH(MAX(F491,pr_close),$D$475:E$475,0))</f>
        <v/>
      </c>
      <c r="G493" s="23">
        <f>INDEX($D$532:F$532,MATCH(MAX(G491,pr_close),$D$475:F$475,0))</f>
        <v/>
      </c>
      <c r="H493" s="23">
        <f>INDEX($D$532:G$532,MATCH(MAX(H491,pr_close),$D$475:G$475,0))</f>
        <v/>
      </c>
      <c r="I493" s="23">
        <f>INDEX($D$532:H$532,MATCH(MAX(I491,pr_close),$D$475:H$475,0))</f>
        <v/>
      </c>
      <c r="J493" s="23">
        <f>INDEX($D$532:I$532,MATCH(MAX(J491,pr_close),$D$475:I$475,0))</f>
        <v/>
      </c>
      <c r="K493" s="23">
        <f>INDEX($D$532:J$532,MATCH(MAX(K491,pr_close),$D$475:J$475,0))</f>
        <v/>
      </c>
      <c r="L493" s="23">
        <f>INDEX($D$532:K$532,MATCH(MAX(L491,pr_close),$D$475:K$475,0))</f>
        <v/>
      </c>
      <c r="M493" s="23">
        <f>INDEX($D$532:L$532,MATCH(MAX(M491,pr_close),$D$475:L$475,0))</f>
        <v/>
      </c>
      <c r="N493" s="23">
        <f>INDEX($D$532:M$532,MATCH(MAX(N491,pr_close),$D$475:M$475,0))</f>
        <v/>
      </c>
    </row>
    <row r="494">
      <c r="B494" s="2" t="inlineStr">
        <is>
          <t>Embedded cost of debt in the test year</t>
        </is>
      </c>
      <c r="C494" s="5" t="inlineStr">
        <is>
          <t>rate</t>
        </is>
      </c>
      <c r="E494" s="27">
        <f>INDEX($D$536:D$536,MATCH(MAX(E491,pr_close),$D$475:D$475,0))</f>
        <v/>
      </c>
      <c r="F494" s="27">
        <f>INDEX($D$536:E$536,MATCH(MAX(F491,pr_close),$D$475:E$475,0))</f>
        <v/>
      </c>
      <c r="G494" s="27">
        <f>INDEX($D$536:F$536,MATCH(MAX(G491,pr_close),$D$475:F$475,0))</f>
        <v/>
      </c>
      <c r="H494" s="27">
        <f>INDEX($D$536:G$536,MATCH(MAX(H491,pr_close),$D$475:G$475,0))</f>
        <v/>
      </c>
      <c r="I494" s="27">
        <f>INDEX($D$536:H$536,MATCH(MAX(I491,pr_close),$D$475:H$475,0))</f>
        <v/>
      </c>
      <c r="J494" s="27">
        <f>INDEX($D$536:I$536,MATCH(MAX(J491,pr_close),$D$475:I$475,0))</f>
        <v/>
      </c>
      <c r="K494" s="27">
        <f>INDEX($D$536:J$536,MATCH(MAX(K491,pr_close),$D$475:J$475,0))</f>
        <v/>
      </c>
      <c r="L494" s="27">
        <f>INDEX($D$536:K$536,MATCH(MAX(L491,pr_close),$D$475:K$475,0))</f>
        <v/>
      </c>
      <c r="M494" s="27">
        <f>INDEX($D$536:L$536,MATCH(MAX(M491,pr_close),$D$475:L$475,0))</f>
        <v/>
      </c>
      <c r="N494" s="27">
        <f>INDEX($D$536:M$536,MATCH(MAX(N491,pr_close),$D$475:M$475,0))</f>
        <v/>
      </c>
    </row>
    <row r="495">
      <c r="B495" s="2" t="inlineStr">
        <is>
          <t>O&amp;M in the test year</t>
        </is>
      </c>
      <c r="C495" s="5" t="inlineStr">
        <is>
          <t>$ million</t>
        </is>
      </c>
      <c r="E495" s="23">
        <f>INDEX($D$517:D$517,MATCH(MAX(E491,pr_close),$D$475:D$475,0))</f>
        <v/>
      </c>
      <c r="F495" s="23">
        <f>INDEX($D$517:E$517,MATCH(MAX(F491,pr_close),$D$475:E$475,0))</f>
        <v/>
      </c>
      <c r="G495" s="23">
        <f>INDEX($D$517:F$517,MATCH(MAX(G491,pr_close),$D$475:F$475,0))</f>
        <v/>
      </c>
      <c r="H495" s="23">
        <f>INDEX($D$517:G$517,MATCH(MAX(H491,pr_close),$D$475:G$475,0))</f>
        <v/>
      </c>
      <c r="I495" s="23">
        <f>INDEX($D$517:H$517,MATCH(MAX(I491,pr_close),$D$475:H$475,0))</f>
        <v/>
      </c>
      <c r="J495" s="23">
        <f>INDEX($D$517:I$517,MATCH(MAX(J491,pr_close),$D$475:I$475,0))</f>
        <v/>
      </c>
      <c r="K495" s="23">
        <f>INDEX($D$517:J$517,MATCH(MAX(K491,pr_close),$D$475:J$475,0))</f>
        <v/>
      </c>
      <c r="L495" s="23">
        <f>INDEX($D$517:K$517,MATCH(MAX(L491,pr_close),$D$475:K$475,0))</f>
        <v/>
      </c>
      <c r="M495" s="23">
        <f>INDEX($D$517:L$517,MATCH(MAX(M491,pr_close),$D$475:L$475,0))</f>
        <v/>
      </c>
      <c r="N495" s="23">
        <f>INDEX($D$517:M$517,MATCH(MAX(N491,pr_close),$D$475:M$475,0))</f>
        <v/>
      </c>
    </row>
    <row r="496">
      <c r="B496" s="2" t="inlineStr">
        <is>
          <t>Authorized return on rate base</t>
        </is>
      </c>
      <c r="C496" s="5" t="inlineStr">
        <is>
          <t>rate</t>
        </is>
      </c>
      <c r="E496" s="27">
        <f>(pr_eq*pr_roe+(1-pr_eq)*E494)</f>
        <v/>
      </c>
      <c r="F496" s="27">
        <f>(pr_eq*pr_roe+(1-pr_eq)*F494)</f>
        <v/>
      </c>
      <c r="G496" s="27">
        <f>(pr_eq*pr_roe+(1-pr_eq)*G494)</f>
        <v/>
      </c>
      <c r="H496" s="27">
        <f>(pr_eq*pr_roe+(1-pr_eq)*H494)</f>
        <v/>
      </c>
      <c r="I496" s="27">
        <f>(pr_eq*pr_roe+(1-pr_eq)*I494)</f>
        <v/>
      </c>
      <c r="J496" s="27">
        <f>(pr_eq*pr_roe+(1-pr_eq)*J494)</f>
        <v/>
      </c>
      <c r="K496" s="27">
        <f>(pr_eq*pr_roe+(1-pr_eq)*K494)</f>
        <v/>
      </c>
      <c r="L496" s="27">
        <f>(pr_eq*pr_roe+(1-pr_eq)*L494)</f>
        <v/>
      </c>
      <c r="M496" s="27">
        <f>(pr_eq*pr_roe+(1-pr_eq)*M494)</f>
        <v/>
      </c>
      <c r="N496" s="27">
        <f>(pr_eq*pr_roe+(1-pr_eq)*N494)</f>
        <v/>
      </c>
    </row>
    <row r="497">
      <c r="B497" s="2" t="inlineStr">
        <is>
          <t>Return</t>
        </is>
      </c>
      <c r="C497" s="5" t="inlineStr">
        <is>
          <t>$ million</t>
        </is>
      </c>
      <c r="E497" s="23">
        <f>E496*E493</f>
        <v/>
      </c>
      <c r="F497" s="23">
        <f>F496*F493</f>
        <v/>
      </c>
      <c r="G497" s="23">
        <f>G496*G493</f>
        <v/>
      </c>
      <c r="H497" s="23">
        <f>H496*H493</f>
        <v/>
      </c>
      <c r="I497" s="23">
        <f>I496*I493</f>
        <v/>
      </c>
      <c r="J497" s="23">
        <f>J496*J493</f>
        <v/>
      </c>
      <c r="K497" s="23">
        <f>K496*K493</f>
        <v/>
      </c>
      <c r="L497" s="23">
        <f>L496*L493</f>
        <v/>
      </c>
      <c r="M497" s="23">
        <f>M496*M493</f>
        <v/>
      </c>
      <c r="N497" s="23">
        <f>N496*N493</f>
        <v/>
      </c>
    </row>
    <row r="498">
      <c r="B498" s="2" t="inlineStr">
        <is>
          <t>Income tax gross-up</t>
        </is>
      </c>
      <c r="C498" s="5" t="inlineStr">
        <is>
          <t>$ million</t>
        </is>
      </c>
      <c r="E498" s="23">
        <f>(pr_eq*pr_roe*pr_tax/(1-pr_tax))*E493</f>
        <v/>
      </c>
      <c r="F498" s="23">
        <f>(pr_eq*pr_roe*pr_tax/(1-pr_tax))*F493</f>
        <v/>
      </c>
      <c r="G498" s="23">
        <f>(pr_eq*pr_roe*pr_tax/(1-pr_tax))*G493</f>
        <v/>
      </c>
      <c r="H498" s="23">
        <f>(pr_eq*pr_roe*pr_tax/(1-pr_tax))*H493</f>
        <v/>
      </c>
      <c r="I498" s="23">
        <f>(pr_eq*pr_roe*pr_tax/(1-pr_tax))*I493</f>
        <v/>
      </c>
      <c r="J498" s="23">
        <f>(pr_eq*pr_roe*pr_tax/(1-pr_tax))*J493</f>
        <v/>
      </c>
      <c r="K498" s="23">
        <f>(pr_eq*pr_roe*pr_tax/(1-pr_tax))*K493</f>
        <v/>
      </c>
      <c r="L498" s="23">
        <f>(pr_eq*pr_roe*pr_tax/(1-pr_tax))*L493</f>
        <v/>
      </c>
      <c r="M498" s="23">
        <f>(pr_eq*pr_roe*pr_tax/(1-pr_tax))*M493</f>
        <v/>
      </c>
      <c r="N498" s="23">
        <f>(pr_eq*pr_roe*pr_tax/(1-pr_tax))*N493</f>
        <v/>
      </c>
    </row>
    <row r="499">
      <c r="B499" s="2" t="inlineStr">
        <is>
          <t>Depreciation</t>
        </is>
      </c>
      <c r="C499" s="5" t="inlineStr">
        <is>
          <t>$ million</t>
        </is>
      </c>
      <c r="E499" s="23">
        <f>pr_dep*E493</f>
        <v/>
      </c>
      <c r="F499" s="23">
        <f>pr_dep*F493</f>
        <v/>
      </c>
      <c r="G499" s="23">
        <f>pr_dep*G493</f>
        <v/>
      </c>
      <c r="H499" s="23">
        <f>pr_dep*H493</f>
        <v/>
      </c>
      <c r="I499" s="23">
        <f>pr_dep*I493</f>
        <v/>
      </c>
      <c r="J499" s="23">
        <f>pr_dep*J493</f>
        <v/>
      </c>
      <c r="K499" s="23">
        <f>pr_dep*K493</f>
        <v/>
      </c>
      <c r="L499" s="23">
        <f>pr_dep*L493</f>
        <v/>
      </c>
      <c r="M499" s="23">
        <f>pr_dep*M493</f>
        <v/>
      </c>
      <c r="N499" s="23">
        <f>pr_dep*N493</f>
        <v/>
      </c>
    </row>
    <row r="500">
      <c r="B500" s="2" t="inlineStr">
        <is>
          <t>Other taxes</t>
        </is>
      </c>
      <c r="C500" s="5" t="inlineStr">
        <is>
          <t>$ million</t>
        </is>
      </c>
      <c r="E500" s="23">
        <f>pr_ptax*E493</f>
        <v/>
      </c>
      <c r="F500" s="23">
        <f>pr_ptax*F493</f>
        <v/>
      </c>
      <c r="G500" s="23">
        <f>pr_ptax*G493</f>
        <v/>
      </c>
      <c r="H500" s="23">
        <f>pr_ptax*H493</f>
        <v/>
      </c>
      <c r="I500" s="23">
        <f>pr_ptax*I493</f>
        <v/>
      </c>
      <c r="J500" s="23">
        <f>pr_ptax*J493</f>
        <v/>
      </c>
      <c r="K500" s="23">
        <f>pr_ptax*K493</f>
        <v/>
      </c>
      <c r="L500" s="23">
        <f>pr_ptax*L493</f>
        <v/>
      </c>
      <c r="M500" s="23">
        <f>pr_ptax*M493</f>
        <v/>
      </c>
      <c r="N500" s="23">
        <f>pr_ptax*N493</f>
        <v/>
      </c>
    </row>
    <row r="501">
      <c r="B501" s="2" t="inlineStr">
        <is>
          <t>O&amp;M (test year, known and measurable)</t>
        </is>
      </c>
      <c r="C501" s="5" t="inlineStr">
        <is>
          <t>$ million</t>
        </is>
      </c>
      <c r="E501" s="23">
        <f>E495*(1+pr_om_infl)*(1+pr_growth)</f>
        <v/>
      </c>
      <c r="F501" s="23">
        <f>F495*(1+pr_om_infl)*(1+pr_growth)</f>
        <v/>
      </c>
      <c r="G501" s="23">
        <f>G495*(1+pr_om_infl)*(1+pr_growth)</f>
        <v/>
      </c>
      <c r="H501" s="23">
        <f>H495*(1+pr_om_infl)*(1+pr_growth)</f>
        <v/>
      </c>
      <c r="I501" s="23">
        <f>I495*(1+pr_om_infl)*(1+pr_growth)</f>
        <v/>
      </c>
      <c r="J501" s="23">
        <f>J495*(1+pr_om_infl)*(1+pr_growth)</f>
        <v/>
      </c>
      <c r="K501" s="23">
        <f>K495*(1+pr_om_infl)*(1+pr_growth)</f>
        <v/>
      </c>
      <c r="L501" s="23">
        <f>L495*(1+pr_om_infl)*(1+pr_growth)</f>
        <v/>
      </c>
      <c r="M501" s="23">
        <f>M495*(1+pr_om_infl)*(1+pr_growth)</f>
        <v/>
      </c>
      <c r="N501" s="23">
        <f>N495*(1+pr_om_infl)*(1+pr_growth)</f>
        <v/>
      </c>
    </row>
    <row r="502">
      <c r="B502" s="2" t="inlineStr">
        <is>
          <t>Revenue requirement (test-year connections)</t>
        </is>
      </c>
      <c r="C502" s="5" t="inlineStr">
        <is>
          <t>$ million</t>
        </is>
      </c>
      <c r="E502" s="23">
        <f>SUM(E497:E501)</f>
        <v/>
      </c>
      <c r="F502" s="23">
        <f>SUM(F497:F501)</f>
        <v/>
      </c>
      <c r="G502" s="23">
        <f>SUM(G497:G501)</f>
        <v/>
      </c>
      <c r="H502" s="23">
        <f>SUM(H497:H501)</f>
        <v/>
      </c>
      <c r="I502" s="23">
        <f>SUM(I497:I501)</f>
        <v/>
      </c>
      <c r="J502" s="23">
        <f>SUM(J497:J501)</f>
        <v/>
      </c>
      <c r="K502" s="23">
        <f>SUM(K497:K501)</f>
        <v/>
      </c>
      <c r="L502" s="23">
        <f>SUM(L497:L501)</f>
        <v/>
      </c>
      <c r="M502" s="23">
        <f>SUM(M497:M501)</f>
        <v/>
      </c>
      <c r="N502" s="23">
        <f>SUM(N497:N501)</f>
        <v/>
      </c>
    </row>
    <row r="503">
      <c r="B503" s="2" t="inlineStr">
        <is>
          <t>Revenue requirement on effective-year connections</t>
        </is>
      </c>
      <c r="C503" s="5" t="inlineStr">
        <is>
          <t>$ million</t>
        </is>
      </c>
      <c r="E503" s="23">
        <f>E502*(1+pr_growth)</f>
        <v/>
      </c>
      <c r="F503" s="23">
        <f>F502*(1+pr_growth)</f>
        <v/>
      </c>
      <c r="G503" s="23">
        <f>G502*(1+pr_growth)</f>
        <v/>
      </c>
      <c r="H503" s="23">
        <f>H502*(1+pr_growth)</f>
        <v/>
      </c>
      <c r="I503" s="23">
        <f>I502*(1+pr_growth)</f>
        <v/>
      </c>
      <c r="J503" s="23">
        <f>J502*(1+pr_growth)</f>
        <v/>
      </c>
      <c r="K503" s="23">
        <f>K502*(1+pr_growth)</f>
        <v/>
      </c>
      <c r="L503" s="23">
        <f>L502*(1+pr_growth)</f>
        <v/>
      </c>
      <c r="M503" s="23">
        <f>M502*(1+pr_growth)</f>
        <v/>
      </c>
      <c r="N503" s="23">
        <f>N502*(1+pr_growth)</f>
        <v/>
      </c>
    </row>
    <row r="504">
      <c r="B504" s="2" t="inlineStr">
        <is>
          <t>Revenue at existing rates</t>
        </is>
      </c>
      <c r="C504" s="5" t="inlineStr">
        <is>
          <t>$ million</t>
        </is>
      </c>
      <c r="E504" s="23">
        <f>IF(E475=(pr_close+1),D510,D510*(1+pr_growth)*(1-pr_vol_share*IF(pr_decoupling=1,0,pr_usage))+D511+D513)</f>
        <v/>
      </c>
      <c r="F504" s="23">
        <f>IF(F475=(pr_close+1),E510,E510*(1+pr_growth)*(1-pr_vol_share*IF(pr_decoupling=1,0,pr_usage))+E511+E513)</f>
        <v/>
      </c>
      <c r="G504" s="23">
        <f>IF(G475=(pr_close+1),F510,F510*(1+pr_growth)*(1-pr_vol_share*IF(pr_decoupling=1,0,pr_usage))+F511+F513)</f>
        <v/>
      </c>
      <c r="H504" s="23">
        <f>IF(H475=(pr_close+1),G510,G510*(1+pr_growth)*(1-pr_vol_share*IF(pr_decoupling=1,0,pr_usage))+G511+G513)</f>
        <v/>
      </c>
      <c r="I504" s="23">
        <f>IF(I475=(pr_close+1),H510,H510*(1+pr_growth)*(1-pr_vol_share*IF(pr_decoupling=1,0,pr_usage))+H511+H513)</f>
        <v/>
      </c>
      <c r="J504" s="23">
        <f>IF(J475=(pr_close+1),I510,I510*(1+pr_growth)*(1-pr_vol_share*IF(pr_decoupling=1,0,pr_usage))+I511+I513)</f>
        <v/>
      </c>
      <c r="K504" s="23">
        <f>IF(K475=(pr_close+1),J510,J510*(1+pr_growth)*(1-pr_vol_share*IF(pr_decoupling=1,0,pr_usage))+J511+J513)</f>
        <v/>
      </c>
      <c r="L504" s="23">
        <f>IF(L475=(pr_close+1),K510,K510*(1+pr_growth)*(1-pr_vol_share*IF(pr_decoupling=1,0,pr_usage))+K511+K513)</f>
        <v/>
      </c>
      <c r="M504" s="23">
        <f>IF(M475=(pr_close+1),L510,L510*(1+pr_growth)*(1-pr_vol_share*IF(pr_decoupling=1,0,pr_usage))+L511+L513)</f>
        <v/>
      </c>
      <c r="N504" s="23">
        <f>IF(N475=(pr_close+1),M510,M510*(1+pr_growth)*(1-pr_vol_share*IF(pr_decoupling=1,0,pr_usage))+M511+M513)</f>
        <v/>
      </c>
    </row>
    <row r="505">
      <c r="B505" s="2" t="inlineStr">
        <is>
          <t>Increase granted</t>
        </is>
      </c>
      <c r="C505" s="5" t="inlineStr">
        <is>
          <t>share</t>
        </is>
      </c>
      <c r="E505" s="20">
        <f>E503/E504-1</f>
        <v/>
      </c>
      <c r="F505" s="20">
        <f>F503/F504-1</f>
        <v/>
      </c>
      <c r="G505" s="20">
        <f>G503/G504-1</f>
        <v/>
      </c>
      <c r="H505" s="20">
        <f>H503/H504-1</f>
        <v/>
      </c>
      <c r="I505" s="20">
        <f>I503/I504-1</f>
        <v/>
      </c>
      <c r="J505" s="20">
        <f>J503/J504-1</f>
        <v/>
      </c>
      <c r="K505" s="20">
        <f>K503/K504-1</f>
        <v/>
      </c>
      <c r="L505" s="20">
        <f>L503/L504-1</f>
        <v/>
      </c>
      <c r="M505" s="20">
        <f>M503/M504-1</f>
        <v/>
      </c>
      <c r="N505" s="20">
        <f>N503/N504-1</f>
        <v/>
      </c>
    </row>
    <row r="506">
      <c r="B506" s="2" t="inlineStr">
        <is>
          <t>Revenue requirement requested (at the requested ROE)</t>
        </is>
      </c>
      <c r="C506" s="5" t="inlineStr">
        <is>
          <t>$ million</t>
        </is>
      </c>
      <c r="E506" s="23">
        <f>(pr_eq*pr_roe_ask+(1-pr_eq)*E494)*E493+pr_eq*pr_roe_ask*E493*pr_tax/(1-pr_tax)+E499+E500+E501</f>
        <v/>
      </c>
      <c r="F506" s="23">
        <f>(pr_eq*pr_roe_ask+(1-pr_eq)*F494)*F493+pr_eq*pr_roe_ask*F493*pr_tax/(1-pr_tax)+F499+F500+F501</f>
        <v/>
      </c>
      <c r="G506" s="23">
        <f>(pr_eq*pr_roe_ask+(1-pr_eq)*G494)*G493+pr_eq*pr_roe_ask*G493*pr_tax/(1-pr_tax)+G499+G500+G501</f>
        <v/>
      </c>
      <c r="H506" s="23">
        <f>(pr_eq*pr_roe_ask+(1-pr_eq)*H494)*H493+pr_eq*pr_roe_ask*H493*pr_tax/(1-pr_tax)+H499+H500+H501</f>
        <v/>
      </c>
      <c r="I506" s="23">
        <f>(pr_eq*pr_roe_ask+(1-pr_eq)*I494)*I493+pr_eq*pr_roe_ask*I493*pr_tax/(1-pr_tax)+I499+I500+I501</f>
        <v/>
      </c>
      <c r="J506" s="23">
        <f>(pr_eq*pr_roe_ask+(1-pr_eq)*J494)*J493+pr_eq*pr_roe_ask*J493*pr_tax/(1-pr_tax)+J499+J500+J501</f>
        <v/>
      </c>
      <c r="K506" s="23">
        <f>(pr_eq*pr_roe_ask+(1-pr_eq)*K494)*K493+pr_eq*pr_roe_ask*K493*pr_tax/(1-pr_tax)+K499+K500+K501</f>
        <v/>
      </c>
      <c r="L506" s="23">
        <f>(pr_eq*pr_roe_ask+(1-pr_eq)*L494)*L493+pr_eq*pr_roe_ask*L493*pr_tax/(1-pr_tax)+L499+L500+L501</f>
        <v/>
      </c>
      <c r="M506" s="23">
        <f>(pr_eq*pr_roe_ask+(1-pr_eq)*M494)*M493+pr_eq*pr_roe_ask*M493*pr_tax/(1-pr_tax)+M499+M500+M501</f>
        <v/>
      </c>
      <c r="N506" s="23">
        <f>(pr_eq*pr_roe_ask+(1-pr_eq)*N494)*N493+pr_eq*pr_roe_ask*N493*pr_tax/(1-pr_tax)+N499+N500+N501</f>
        <v/>
      </c>
    </row>
    <row r="507">
      <c r="B507" s="2" t="inlineStr">
        <is>
          <t>Increase requested</t>
        </is>
      </c>
      <c r="C507" s="5" t="inlineStr">
        <is>
          <t>share</t>
        </is>
      </c>
      <c r="E507" s="20">
        <f>E506*(1+pr_growth)/E504-1</f>
        <v/>
      </c>
      <c r="F507" s="20">
        <f>F506*(1+pr_growth)/F504-1</f>
        <v/>
      </c>
      <c r="G507" s="20">
        <f>G506*(1+pr_growth)/G504-1</f>
        <v/>
      </c>
      <c r="H507" s="20">
        <f>H506*(1+pr_growth)/H504-1</f>
        <v/>
      </c>
      <c r="I507" s="20">
        <f>I506*(1+pr_growth)/I504-1</f>
        <v/>
      </c>
      <c r="J507" s="20">
        <f>J506*(1+pr_growth)/J504-1</f>
        <v/>
      </c>
      <c r="K507" s="20">
        <f>K506*(1+pr_growth)/K504-1</f>
        <v/>
      </c>
      <c r="L507" s="20">
        <f>L506*(1+pr_growth)/L504-1</f>
        <v/>
      </c>
      <c r="M507" s="20">
        <f>M506*(1+pr_growth)/M504-1</f>
        <v/>
      </c>
      <c r="N507" s="20">
        <f>N506*(1+pr_growth)/N504-1</f>
        <v/>
      </c>
    </row>
    <row r="509">
      <c r="B509" s="6" t="inlineStr">
        <is>
          <t>Revenue ($ million)</t>
        </is>
      </c>
      <c r="C509" s="7" t="n"/>
      <c r="D509" s="7" t="n"/>
      <c r="E509" s="7" t="n"/>
      <c r="F509" s="7" t="n"/>
      <c r="G509" s="7" t="n"/>
      <c r="H509" s="7" t="n"/>
      <c r="I509" s="7" t="n"/>
      <c r="J509" s="7" t="n"/>
      <c r="K509" s="7" t="n"/>
      <c r="L509" s="7" t="n"/>
      <c r="M509" s="7" t="n"/>
      <c r="N509" s="7" t="n"/>
    </row>
    <row r="510">
      <c r="B510" s="2" t="inlineStr">
        <is>
          <t>Base revenue (rate case, or prior year x growth x volume erosion)</t>
        </is>
      </c>
      <c r="C510" s="5" t="inlineStr">
        <is>
          <t>$ million</t>
        </is>
      </c>
      <c r="D510" s="23">
        <f>pr_rev_2028/((1+pr_growth)*(1-pr_vol_share*IF(pr_decoupling=1,0,pr_usage)))</f>
        <v/>
      </c>
      <c r="E510" s="23">
        <f>IF(E490=1,E503,D510*(1+pr_growth)*(1-pr_vol_share*IF(pr_decoupling=1,0,pr_usage)))</f>
        <v/>
      </c>
      <c r="F510" s="23">
        <f>IF(F490=1,F503,E510*(1+pr_growth)*(1-pr_vol_share*IF(pr_decoupling=1,0,pr_usage)))</f>
        <v/>
      </c>
      <c r="G510" s="23">
        <f>IF(G490=1,G503,F510*(1+pr_growth)*(1-pr_vol_share*IF(pr_decoupling=1,0,pr_usage)))</f>
        <v/>
      </c>
      <c r="H510" s="23">
        <f>IF(H490=1,H503,G510*(1+pr_growth)*(1-pr_vol_share*IF(pr_decoupling=1,0,pr_usage)))</f>
        <v/>
      </c>
      <c r="I510" s="23">
        <f>IF(I490=1,I503,H510*(1+pr_growth)*(1-pr_vol_share*IF(pr_decoupling=1,0,pr_usage)))</f>
        <v/>
      </c>
      <c r="J510" s="23">
        <f>IF(J490=1,J503,I510*(1+pr_growth)*(1-pr_vol_share*IF(pr_decoupling=1,0,pr_usage)))</f>
        <v/>
      </c>
      <c r="K510" s="23">
        <f>IF(K490=1,K503,J510*(1+pr_growth)*(1-pr_vol_share*IF(pr_decoupling=1,0,pr_usage)))</f>
        <v/>
      </c>
      <c r="L510" s="23">
        <f>IF(L490=1,L503,K510*(1+pr_growth)*(1-pr_vol_share*IF(pr_decoupling=1,0,pr_usage)))</f>
        <v/>
      </c>
      <c r="M510" s="23">
        <f>IF(M490=1,M503,L510*(1+pr_growth)*(1-pr_vol_share*IF(pr_decoupling=1,0,pr_usage)))</f>
        <v/>
      </c>
      <c r="N510" s="23">
        <f>IF(N490=1,N503,M510*(1+pr_growth)*(1-pr_vol_share*IF(pr_decoupling=1,0,pr_usage)))</f>
        <v/>
      </c>
    </row>
    <row r="511">
      <c r="B511" s="2" t="inlineStr">
        <is>
          <t>Fennick revenue at its old rates (until the next rate case)</t>
        </is>
      </c>
      <c r="C511" s="5" t="inlineStr">
        <is>
          <t>$ million</t>
        </is>
      </c>
      <c r="E511" s="23">
        <f>IF(AND(pr_fen_on=1,E475&gt;pr_fen_year,SUMIFS($D$490:E$490,$D$475:E$475,"&gt;"&amp;pr_fen_year)=0),pr_fen_rev,0)</f>
        <v/>
      </c>
      <c r="F511" s="23">
        <f>IF(AND(pr_fen_on=1,F475&gt;pr_fen_year,SUMIFS($D$490:F$490,$D$475:F$475,"&gt;"&amp;pr_fen_year)=0),pr_fen_rev,0)</f>
        <v/>
      </c>
      <c r="G511" s="23">
        <f>IF(AND(pr_fen_on=1,G475&gt;pr_fen_year,SUMIFS($D$490:G$490,$D$475:G$475,"&gt;"&amp;pr_fen_year)=0),pr_fen_rev,0)</f>
        <v/>
      </c>
      <c r="H511" s="23">
        <f>IF(AND(pr_fen_on=1,H475&gt;pr_fen_year,SUMIFS($D$490:H$490,$D$475:H$475,"&gt;"&amp;pr_fen_year)=0),pr_fen_rev,0)</f>
        <v/>
      </c>
      <c r="I511" s="23">
        <f>IF(AND(pr_fen_on=1,I475&gt;pr_fen_year,SUMIFS($D$490:I$490,$D$475:I$475,"&gt;"&amp;pr_fen_year)=0),pr_fen_rev,0)</f>
        <v/>
      </c>
      <c r="J511" s="23">
        <f>IF(AND(pr_fen_on=1,J475&gt;pr_fen_year,SUMIFS($D$490:J$490,$D$475:J$475,"&gt;"&amp;pr_fen_year)=0),pr_fen_rev,0)</f>
        <v/>
      </c>
      <c r="K511" s="23">
        <f>IF(AND(pr_fen_on=1,K475&gt;pr_fen_year,SUMIFS($D$490:K$490,$D$475:K$475,"&gt;"&amp;pr_fen_year)=0),pr_fen_rev,0)</f>
        <v/>
      </c>
      <c r="L511" s="23">
        <f>IF(AND(pr_fen_on=1,L475&gt;pr_fen_year,SUMIFS($D$490:L$490,$D$475:L$475,"&gt;"&amp;pr_fen_year)=0),pr_fen_rev,0)</f>
        <v/>
      </c>
      <c r="M511" s="23">
        <f>IF(AND(pr_fen_on=1,M475&gt;pr_fen_year,SUMIFS($D$490:M$490,$D$475:M$475,"&gt;"&amp;pr_fen_year)=0),pr_fen_rev,0)</f>
        <v/>
      </c>
      <c r="N511" s="23">
        <f>IF(AND(pr_fen_on=1,N475&gt;pr_fen_year,SUMIFS($D$490:N$490,$D$475:N$475,"&gt;"&amp;pr_fen_year)=0),pr_fen_rev,0)</f>
        <v/>
      </c>
    </row>
    <row r="512">
      <c r="B512" s="2" t="inlineStr">
        <is>
          <t>DSIC pool: eligible plant since the latest test year</t>
        </is>
      </c>
      <c r="C512" s="5" t="inlineStr">
        <is>
          <t>$ million</t>
        </is>
      </c>
      <c r="E512" s="23">
        <f>IF(E475=(pr_close+1),0,SUMIFS($D$487:D$487,$D$475:D$475,"&gt;"&amp;E492))</f>
        <v/>
      </c>
      <c r="F512" s="23">
        <f>IF(F475=(pr_close+1),0,SUMIFS($D$487:E$487,$D$475:E$475,"&gt;"&amp;F492))</f>
        <v/>
      </c>
      <c r="G512" s="23">
        <f>IF(G475=(pr_close+1),0,SUMIFS($D$487:F$487,$D$475:F$475,"&gt;"&amp;G492))</f>
        <v/>
      </c>
      <c r="H512" s="23">
        <f>IF(H475=(pr_close+1),0,SUMIFS($D$487:G$487,$D$475:G$475,"&gt;"&amp;H492))</f>
        <v/>
      </c>
      <c r="I512" s="23">
        <f>IF(I475=(pr_close+1),0,SUMIFS($D$487:H$487,$D$475:H$475,"&gt;"&amp;I492))</f>
        <v/>
      </c>
      <c r="J512" s="23">
        <f>IF(J475=(pr_close+1),0,SUMIFS($D$487:I$487,$D$475:I$475,"&gt;"&amp;J492))</f>
        <v/>
      </c>
      <c r="K512" s="23">
        <f>IF(K475=(pr_close+1),0,SUMIFS($D$487:J$487,$D$475:J$475,"&gt;"&amp;K492))</f>
        <v/>
      </c>
      <c r="L512" s="23">
        <f>IF(L475=(pr_close+1),0,SUMIFS($D$487:K$487,$D$475:K$475,"&gt;"&amp;L492))</f>
        <v/>
      </c>
      <c r="M512" s="23">
        <f>IF(M475=(pr_close+1),0,SUMIFS($D$487:L$487,$D$475:L$475,"&gt;"&amp;M492))</f>
        <v/>
      </c>
      <c r="N512" s="23">
        <f>IF(N475=(pr_close+1),0,SUMIFS($D$487:M$487,$D$475:M$475,"&gt;"&amp;N492))</f>
        <v/>
      </c>
    </row>
    <row r="513">
      <c r="B513" s="2" t="inlineStr">
        <is>
          <t>DSIC surcharge (capped)</t>
        </is>
      </c>
      <c r="C513" s="5" t="inlineStr">
        <is>
          <t>$ million</t>
        </is>
      </c>
      <c r="E513" s="23">
        <f>IF(AND(pr_dsic=1,E475&gt;(pr_close+1)),MIN(pr_dsic_cap*E510,E512*((pr_eq*pr_roe+(1-pr_eq)*D536)+(pr_eq*pr_roe*pr_tax/(1-pr_tax))+pr_dep)),0)</f>
        <v/>
      </c>
      <c r="F513" s="23">
        <f>IF(AND(pr_dsic=1,F475&gt;(pr_close+1)),MIN(pr_dsic_cap*F510,F512*((pr_eq*pr_roe+(1-pr_eq)*E536)+(pr_eq*pr_roe*pr_tax/(1-pr_tax))+pr_dep)),0)</f>
        <v/>
      </c>
      <c r="G513" s="23">
        <f>IF(AND(pr_dsic=1,G475&gt;(pr_close+1)),MIN(pr_dsic_cap*G510,G512*((pr_eq*pr_roe+(1-pr_eq)*F536)+(pr_eq*pr_roe*pr_tax/(1-pr_tax))+pr_dep)),0)</f>
        <v/>
      </c>
      <c r="H513" s="23">
        <f>IF(AND(pr_dsic=1,H475&gt;(pr_close+1)),MIN(pr_dsic_cap*H510,H512*((pr_eq*pr_roe+(1-pr_eq)*G536)+(pr_eq*pr_roe*pr_tax/(1-pr_tax))+pr_dep)),0)</f>
        <v/>
      </c>
      <c r="I513" s="23">
        <f>IF(AND(pr_dsic=1,I475&gt;(pr_close+1)),MIN(pr_dsic_cap*I510,I512*((pr_eq*pr_roe+(1-pr_eq)*H536)+(pr_eq*pr_roe*pr_tax/(1-pr_tax))+pr_dep)),0)</f>
        <v/>
      </c>
      <c r="J513" s="23">
        <f>IF(AND(pr_dsic=1,J475&gt;(pr_close+1)),MIN(pr_dsic_cap*J510,J512*((pr_eq*pr_roe+(1-pr_eq)*I536)+(pr_eq*pr_roe*pr_tax/(1-pr_tax))+pr_dep)),0)</f>
        <v/>
      </c>
      <c r="K513" s="23">
        <f>IF(AND(pr_dsic=1,K475&gt;(pr_close+1)),MIN(pr_dsic_cap*K510,K512*((pr_eq*pr_roe+(1-pr_eq)*J536)+(pr_eq*pr_roe*pr_tax/(1-pr_tax))+pr_dep)),0)</f>
        <v/>
      </c>
      <c r="L513" s="23">
        <f>IF(AND(pr_dsic=1,L475&gt;(pr_close+1)),MIN(pr_dsic_cap*L510,L512*((pr_eq*pr_roe+(1-pr_eq)*K536)+(pr_eq*pr_roe*pr_tax/(1-pr_tax))+pr_dep)),0)</f>
        <v/>
      </c>
      <c r="M513" s="23">
        <f>IF(AND(pr_dsic=1,M475&gt;(pr_close+1)),MIN(pr_dsic_cap*M510,M512*((pr_eq*pr_roe+(1-pr_eq)*L536)+(pr_eq*pr_roe*pr_tax/(1-pr_tax))+pr_dep)),0)</f>
        <v/>
      </c>
      <c r="N513" s="23">
        <f>IF(AND(pr_dsic=1,N475&gt;(pr_close+1)),MIN(pr_dsic_cap*N510,N512*((pr_eq*pr_roe+(1-pr_eq)*M536)+(pr_eq*pr_roe*pr_tax/(1-pr_tax))+pr_dep)),0)</f>
        <v/>
      </c>
    </row>
    <row r="514">
      <c r="B514" s="3" t="inlineStr">
        <is>
          <t>Revenue</t>
        </is>
      </c>
      <c r="C514" s="5" t="inlineStr">
        <is>
          <t>$ million</t>
        </is>
      </c>
      <c r="E514" s="23">
        <f>E510+E511+E513</f>
        <v/>
      </c>
      <c r="F514" s="23">
        <f>F510+F511+F513</f>
        <v/>
      </c>
      <c r="G514" s="23">
        <f>G510+G511+G513</f>
        <v/>
      </c>
      <c r="H514" s="23">
        <f>H510+H511+H513</f>
        <v/>
      </c>
      <c r="I514" s="23">
        <f>I510+I511+I513</f>
        <v/>
      </c>
      <c r="J514" s="23">
        <f>J510+J511+J513</f>
        <v/>
      </c>
      <c r="K514" s="23">
        <f>K510+K511+K513</f>
        <v/>
      </c>
      <c r="L514" s="23">
        <f>L510+L511+L513</f>
        <v/>
      </c>
      <c r="M514" s="23">
        <f>M510+M511+M513</f>
        <v/>
      </c>
      <c r="N514" s="23">
        <f>N510+N511+N513</f>
        <v/>
      </c>
    </row>
    <row r="516">
      <c r="B516" s="6" t="inlineStr">
        <is>
          <t>Costs and income ($ million)</t>
        </is>
      </c>
      <c r="C516" s="7" t="n"/>
      <c r="D516" s="7" t="n"/>
      <c r="E516" s="7" t="n"/>
      <c r="F516" s="7" t="n"/>
      <c r="G516" s="7" t="n"/>
      <c r="H516" s="7" t="n"/>
      <c r="I516" s="7" t="n"/>
      <c r="J516" s="7" t="n"/>
      <c r="K516" s="7" t="n"/>
      <c r="L516" s="7" t="n"/>
      <c r="M516" s="7" t="n"/>
      <c r="N516" s="7" t="n"/>
    </row>
    <row r="517">
      <c r="B517" s="2" t="inlineStr">
        <is>
          <t>Operation and maintenance (with PFAS and Fennick)</t>
        </is>
      </c>
      <c r="C517" s="5" t="inlineStr">
        <is>
          <t>$ million</t>
        </is>
      </c>
      <c r="D517" s="23">
        <f>pr_om_2028/((1+pr_om_infl)*(1+pr_growth))</f>
        <v/>
      </c>
      <c r="E517" s="23">
        <f>pr_om_2028*((1+pr_om_infl)*(1+pr_growth))^E476+IF(E475&gt;=pr_pfas_om_y+pr_pfas_delay,pr_pfas_om*(1+pr_pfas_om_esc)^(E475-pr_pfas_om_y),0)+IF(AND(pr_fen_on=1,E475&gt;pr_fen_year),pr_fen_om*(1+pr_fen_esc)^(E475-pr_fen_year-1),0)</f>
        <v/>
      </c>
      <c r="F517" s="23">
        <f>pr_om_2028*((1+pr_om_infl)*(1+pr_growth))^F476+IF(F475&gt;=pr_pfas_om_y+pr_pfas_delay,pr_pfas_om*(1+pr_pfas_om_esc)^(F475-pr_pfas_om_y),0)+IF(AND(pr_fen_on=1,F475&gt;pr_fen_year),pr_fen_om*(1+pr_fen_esc)^(F475-pr_fen_year-1),0)</f>
        <v/>
      </c>
      <c r="G517" s="23">
        <f>pr_om_2028*((1+pr_om_infl)*(1+pr_growth))^G476+IF(G475&gt;=pr_pfas_om_y+pr_pfas_delay,pr_pfas_om*(1+pr_pfas_om_esc)^(G475-pr_pfas_om_y),0)+IF(AND(pr_fen_on=1,G475&gt;pr_fen_year),pr_fen_om*(1+pr_fen_esc)^(G475-pr_fen_year-1),0)</f>
        <v/>
      </c>
      <c r="H517" s="23">
        <f>pr_om_2028*((1+pr_om_infl)*(1+pr_growth))^H476+IF(H475&gt;=pr_pfas_om_y+pr_pfas_delay,pr_pfas_om*(1+pr_pfas_om_esc)^(H475-pr_pfas_om_y),0)+IF(AND(pr_fen_on=1,H475&gt;pr_fen_year),pr_fen_om*(1+pr_fen_esc)^(H475-pr_fen_year-1),0)</f>
        <v/>
      </c>
      <c r="I517" s="23">
        <f>pr_om_2028*((1+pr_om_infl)*(1+pr_growth))^I476+IF(I475&gt;=pr_pfas_om_y+pr_pfas_delay,pr_pfas_om*(1+pr_pfas_om_esc)^(I475-pr_pfas_om_y),0)+IF(AND(pr_fen_on=1,I475&gt;pr_fen_year),pr_fen_om*(1+pr_fen_esc)^(I475-pr_fen_year-1),0)</f>
        <v/>
      </c>
      <c r="J517" s="23">
        <f>pr_om_2028*((1+pr_om_infl)*(1+pr_growth))^J476+IF(J475&gt;=pr_pfas_om_y+pr_pfas_delay,pr_pfas_om*(1+pr_pfas_om_esc)^(J475-pr_pfas_om_y),0)+IF(AND(pr_fen_on=1,J475&gt;pr_fen_year),pr_fen_om*(1+pr_fen_esc)^(J475-pr_fen_year-1),0)</f>
        <v/>
      </c>
      <c r="K517" s="23">
        <f>pr_om_2028*((1+pr_om_infl)*(1+pr_growth))^K476+IF(K475&gt;=pr_pfas_om_y+pr_pfas_delay,pr_pfas_om*(1+pr_pfas_om_esc)^(K475-pr_pfas_om_y),0)+IF(AND(pr_fen_on=1,K475&gt;pr_fen_year),pr_fen_om*(1+pr_fen_esc)^(K475-pr_fen_year-1),0)</f>
        <v/>
      </c>
      <c r="L517" s="23">
        <f>pr_om_2028*((1+pr_om_infl)*(1+pr_growth))^L476+IF(L475&gt;=pr_pfas_om_y+pr_pfas_delay,pr_pfas_om*(1+pr_pfas_om_esc)^(L475-pr_pfas_om_y),0)+IF(AND(pr_fen_on=1,L475&gt;pr_fen_year),pr_fen_om*(1+pr_fen_esc)^(L475-pr_fen_year-1),0)</f>
        <v/>
      </c>
      <c r="M517" s="23">
        <f>pr_om_2028*((1+pr_om_infl)*(1+pr_growth))^M476+IF(M475&gt;=pr_pfas_om_y+pr_pfas_delay,pr_pfas_om*(1+pr_pfas_om_esc)^(M475-pr_pfas_om_y),0)+IF(AND(pr_fen_on=1,M475&gt;pr_fen_year),pr_fen_om*(1+pr_fen_esc)^(M475-pr_fen_year-1),0)</f>
        <v/>
      </c>
      <c r="N517" s="23">
        <f>pr_om_2028*((1+pr_om_infl)*(1+pr_growth))^N476+IF(N475&gt;=pr_pfas_om_y+pr_pfas_delay,pr_pfas_om*(1+pr_pfas_om_esc)^(N475-pr_pfas_om_y),0)+IF(AND(pr_fen_on=1,N475&gt;pr_fen_year),pr_fen_om*(1+pr_fen_esc)^(N475-pr_fen_year-1),0)</f>
        <v/>
      </c>
    </row>
    <row r="518">
      <c r="B518" s="2" t="inlineStr">
        <is>
          <t>Customer-side lead cost expensed</t>
        </is>
      </c>
      <c r="C518" s="5" t="inlineStr">
        <is>
          <t>$ million</t>
        </is>
      </c>
      <c r="E518" s="23">
        <f>pr_lead_exp*E484*pr_lead_cust</f>
        <v/>
      </c>
      <c r="F518" s="23">
        <f>pr_lead_exp*F484*pr_lead_cust</f>
        <v/>
      </c>
      <c r="G518" s="23">
        <f>pr_lead_exp*G484*pr_lead_cust</f>
        <v/>
      </c>
      <c r="H518" s="23">
        <f>pr_lead_exp*H484*pr_lead_cust</f>
        <v/>
      </c>
      <c r="I518" s="23">
        <f>pr_lead_exp*I484*pr_lead_cust</f>
        <v/>
      </c>
      <c r="J518" s="23">
        <f>pr_lead_exp*J484*pr_lead_cust</f>
        <v/>
      </c>
      <c r="K518" s="23">
        <f>pr_lead_exp*K484*pr_lead_cust</f>
        <v/>
      </c>
      <c r="L518" s="23">
        <f>pr_lead_exp*L484*pr_lead_cust</f>
        <v/>
      </c>
      <c r="M518" s="23">
        <f>pr_lead_exp*M484*pr_lead_cust</f>
        <v/>
      </c>
      <c r="N518" s="23">
        <f>pr_lead_exp*N484*pr_lead_cust</f>
        <v/>
      </c>
    </row>
    <row r="519">
      <c r="B519" s="2" t="inlineStr">
        <is>
          <t>Other taxes</t>
        </is>
      </c>
      <c r="C519" s="5" t="inlineStr">
        <is>
          <t>$ million</t>
        </is>
      </c>
      <c r="E519" s="23">
        <f>pr_ptax*E528</f>
        <v/>
      </c>
      <c r="F519" s="23">
        <f>pr_ptax*F528</f>
        <v/>
      </c>
      <c r="G519" s="23">
        <f>pr_ptax*G528</f>
        <v/>
      </c>
      <c r="H519" s="23">
        <f>pr_ptax*H528</f>
        <v/>
      </c>
      <c r="I519" s="23">
        <f>pr_ptax*I528</f>
        <v/>
      </c>
      <c r="J519" s="23">
        <f>pr_ptax*J528</f>
        <v/>
      </c>
      <c r="K519" s="23">
        <f>pr_ptax*K528</f>
        <v/>
      </c>
      <c r="L519" s="23">
        <f>pr_ptax*L528</f>
        <v/>
      </c>
      <c r="M519" s="23">
        <f>pr_ptax*M528</f>
        <v/>
      </c>
      <c r="N519" s="23">
        <f>pr_ptax*N528</f>
        <v/>
      </c>
    </row>
    <row r="520">
      <c r="B520" s="2" t="inlineStr">
        <is>
          <t>EBITDA</t>
        </is>
      </c>
      <c r="C520" s="5" t="inlineStr">
        <is>
          <t>$ million</t>
        </is>
      </c>
      <c r="E520" s="23">
        <f>E514-E517-E519-E518</f>
        <v/>
      </c>
      <c r="F520" s="23">
        <f>F514-F517-F519-F518</f>
        <v/>
      </c>
      <c r="G520" s="23">
        <f>G514-G517-G519-G518</f>
        <v/>
      </c>
      <c r="H520" s="23">
        <f>H514-H517-H519-H518</f>
        <v/>
      </c>
      <c r="I520" s="23">
        <f>I514-I517-I519-I518</f>
        <v/>
      </c>
      <c r="J520" s="23">
        <f>J514-J517-J519-J518</f>
        <v/>
      </c>
      <c r="K520" s="23">
        <f>K514-K517-K519-K518</f>
        <v/>
      </c>
      <c r="L520" s="23">
        <f>L514-L517-L519-L518</f>
        <v/>
      </c>
      <c r="M520" s="23">
        <f>M514-M517-M519-M518</f>
        <v/>
      </c>
      <c r="N520" s="23">
        <f>N514-N517-N519-N518</f>
        <v/>
      </c>
    </row>
    <row r="521">
      <c r="B521" s="2" t="inlineStr">
        <is>
          <t>Depreciation</t>
        </is>
      </c>
      <c r="C521" s="5" t="inlineStr">
        <is>
          <t>$ million</t>
        </is>
      </c>
      <c r="E521" s="23">
        <f>pr_dep*E528</f>
        <v/>
      </c>
      <c r="F521" s="23">
        <f>pr_dep*F528</f>
        <v/>
      </c>
      <c r="G521" s="23">
        <f>pr_dep*G528</f>
        <v/>
      </c>
      <c r="H521" s="23">
        <f>pr_dep*H528</f>
        <v/>
      </c>
      <c r="I521" s="23">
        <f>pr_dep*I528</f>
        <v/>
      </c>
      <c r="J521" s="23">
        <f>pr_dep*J528</f>
        <v/>
      </c>
      <c r="K521" s="23">
        <f>pr_dep*K528</f>
        <v/>
      </c>
      <c r="L521" s="23">
        <f>pr_dep*L528</f>
        <v/>
      </c>
      <c r="M521" s="23">
        <f>pr_dep*M528</f>
        <v/>
      </c>
      <c r="N521" s="23">
        <f>pr_dep*N528</f>
        <v/>
      </c>
    </row>
    <row r="522">
      <c r="B522" s="2" t="inlineStr">
        <is>
          <t>Interest (average of opening and closing debt)</t>
        </is>
      </c>
      <c r="C522" s="5" t="inlineStr">
        <is>
          <t>$ million</t>
        </is>
      </c>
      <c r="E522" s="23">
        <f>0.5*(D534*D536+E534*E536)</f>
        <v/>
      </c>
      <c r="F522" s="23">
        <f>0.5*(E534*E536+F534*F536)</f>
        <v/>
      </c>
      <c r="G522" s="23">
        <f>0.5*(F534*F536+G534*G536)</f>
        <v/>
      </c>
      <c r="H522" s="23">
        <f>0.5*(G534*G536+H534*H536)</f>
        <v/>
      </c>
      <c r="I522" s="23">
        <f>0.5*(H534*H536+I534*I536)</f>
        <v/>
      </c>
      <c r="J522" s="23">
        <f>0.5*(I534*I536+J534*J536)</f>
        <v/>
      </c>
      <c r="K522" s="23">
        <f>0.5*(J534*J536+K534*K536)</f>
        <v/>
      </c>
      <c r="L522" s="23">
        <f>0.5*(K534*K536+L534*L536)</f>
        <v/>
      </c>
      <c r="M522" s="23">
        <f>0.5*(L534*L536+M534*M536)</f>
        <v/>
      </c>
      <c r="N522" s="23">
        <f>0.5*(M534*M536+N534*N536)</f>
        <v/>
      </c>
    </row>
    <row r="523">
      <c r="B523" s="2" t="inlineStr">
        <is>
          <t>Income before tax</t>
        </is>
      </c>
      <c r="C523" s="5" t="inlineStr">
        <is>
          <t>$ million</t>
        </is>
      </c>
      <c r="E523" s="23">
        <f>E520-E521-E522</f>
        <v/>
      </c>
      <c r="F523" s="23">
        <f>F520-F521-F522</f>
        <v/>
      </c>
      <c r="G523" s="23">
        <f>G520-G521-G522</f>
        <v/>
      </c>
      <c r="H523" s="23">
        <f>H520-H521-H522</f>
        <v/>
      </c>
      <c r="I523" s="23">
        <f>I520-I521-I522</f>
        <v/>
      </c>
      <c r="J523" s="23">
        <f>J520-J521-J522</f>
        <v/>
      </c>
      <c r="K523" s="23">
        <f>K520-K521-K522</f>
        <v/>
      </c>
      <c r="L523" s="23">
        <f>L520-L521-L522</f>
        <v/>
      </c>
      <c r="M523" s="23">
        <f>M520-M521-M522</f>
        <v/>
      </c>
      <c r="N523" s="23">
        <f>N520-N521-N522</f>
        <v/>
      </c>
    </row>
    <row r="524">
      <c r="B524" s="2" t="inlineStr">
        <is>
          <t>Income tax</t>
        </is>
      </c>
      <c r="C524" s="5" t="inlineStr">
        <is>
          <t>$ million</t>
        </is>
      </c>
      <c r="E524" s="23">
        <f>pr_tax*E523</f>
        <v/>
      </c>
      <c r="F524" s="23">
        <f>pr_tax*F523</f>
        <v/>
      </c>
      <c r="G524" s="23">
        <f>pr_tax*G523</f>
        <v/>
      </c>
      <c r="H524" s="23">
        <f>pr_tax*H523</f>
        <v/>
      </c>
      <c r="I524" s="23">
        <f>pr_tax*I523</f>
        <v/>
      </c>
      <c r="J524" s="23">
        <f>pr_tax*J523</f>
        <v/>
      </c>
      <c r="K524" s="23">
        <f>pr_tax*K523</f>
        <v/>
      </c>
      <c r="L524" s="23">
        <f>pr_tax*L523</f>
        <v/>
      </c>
      <c r="M524" s="23">
        <f>pr_tax*M523</f>
        <v/>
      </c>
      <c r="N524" s="23">
        <f>pr_tax*N523</f>
        <v/>
      </c>
    </row>
    <row r="525">
      <c r="B525" s="3" t="inlineStr">
        <is>
          <t>Net income</t>
        </is>
      </c>
      <c r="C525" s="5" t="inlineStr">
        <is>
          <t>$ million</t>
        </is>
      </c>
      <c r="E525" s="23">
        <f>E523-E524</f>
        <v/>
      </c>
      <c r="F525" s="23">
        <f>F523-F524</f>
        <v/>
      </c>
      <c r="G525" s="23">
        <f>G523-G524</f>
        <v/>
      </c>
      <c r="H525" s="23">
        <f>H523-H524</f>
        <v/>
      </c>
      <c r="I525" s="23">
        <f>I523-I524</f>
        <v/>
      </c>
      <c r="J525" s="23">
        <f>J523-J524</f>
        <v/>
      </c>
      <c r="K525" s="23">
        <f>K523-K524</f>
        <v/>
      </c>
      <c r="L525" s="23">
        <f>L523-L524</f>
        <v/>
      </c>
      <c r="M525" s="23">
        <f>M523-M524</f>
        <v/>
      </c>
      <c r="N525" s="23">
        <f>N523-N524</f>
        <v/>
      </c>
    </row>
    <row r="527">
      <c r="B527" s="6" t="inlineStr">
        <is>
          <t>Rate base and debt ($ million)</t>
        </is>
      </c>
      <c r="C527" s="7" t="n"/>
      <c r="D527" s="7" t="n"/>
      <c r="E527" s="7" t="n"/>
      <c r="F527" s="7" t="n"/>
      <c r="G527" s="7" t="n"/>
      <c r="H527" s="7" t="n"/>
      <c r="I527" s="7" t="n"/>
      <c r="J527" s="7" t="n"/>
      <c r="K527" s="7" t="n"/>
      <c r="L527" s="7" t="n"/>
      <c r="M527" s="7" t="n"/>
      <c r="N527" s="7" t="n"/>
    </row>
    <row r="528">
      <c r="B528" s="2" t="inlineStr">
        <is>
          <t>Opening rate base</t>
        </is>
      </c>
      <c r="C528" s="5" t="inlineStr">
        <is>
          <t>$ million</t>
        </is>
      </c>
      <c r="E528" s="23">
        <f>D532</f>
        <v/>
      </c>
      <c r="F528" s="23">
        <f>E532</f>
        <v/>
      </c>
      <c r="G528" s="23">
        <f>F532</f>
        <v/>
      </c>
      <c r="H528" s="23">
        <f>G532</f>
        <v/>
      </c>
      <c r="I528" s="23">
        <f>H532</f>
        <v/>
      </c>
      <c r="J528" s="23">
        <f>I532</f>
        <v/>
      </c>
      <c r="K528" s="23">
        <f>J532</f>
        <v/>
      </c>
      <c r="L528" s="23">
        <f>K532</f>
        <v/>
      </c>
      <c r="M528" s="23">
        <f>L532</f>
        <v/>
      </c>
      <c r="N528" s="23">
        <f>M532</f>
        <v/>
      </c>
    </row>
    <row r="529">
      <c r="B529" s="2" t="inlineStr">
        <is>
          <t>Spending disallowed (never in rate base)</t>
        </is>
      </c>
      <c r="C529" s="5" t="inlineStr">
        <is>
          <t>$ million</t>
        </is>
      </c>
      <c r="E529" s="23">
        <f>Inputs!$C$237*(E483+E484-E518)</f>
        <v/>
      </c>
      <c r="F529" s="23">
        <f>Inputs!$C$237*(F483+F484-F518)</f>
        <v/>
      </c>
      <c r="G529" s="23">
        <f>Inputs!$C$237*(G483+G484-G518)</f>
        <v/>
      </c>
      <c r="H529" s="23">
        <f>Inputs!$C$237*(H483+H484-H518)</f>
        <v/>
      </c>
      <c r="I529" s="23">
        <f>Inputs!$C$237*(I483+I484-I518)</f>
        <v/>
      </c>
      <c r="J529" s="23">
        <f>Inputs!$C$237*(J483+J484-J518)</f>
        <v/>
      </c>
      <c r="K529" s="23">
        <f>Inputs!$C$237*(K483+K484-K518)</f>
        <v/>
      </c>
      <c r="L529" s="23">
        <f>Inputs!$C$237*(L483+L484-L518)</f>
        <v/>
      </c>
      <c r="M529" s="23">
        <f>Inputs!$C$237*(M483+M484-M518)</f>
        <v/>
      </c>
      <c r="N529" s="23">
        <f>Inputs!$C$237*(N483+N484-N518)</f>
        <v/>
      </c>
    </row>
    <row r="530">
      <c r="B530" s="2" t="inlineStr">
        <is>
          <t>Acquisitions (Fennick at its price)</t>
        </is>
      </c>
      <c r="C530" s="5" t="inlineStr">
        <is>
          <t>$ million</t>
        </is>
      </c>
      <c r="E530" s="23">
        <f>IF(AND(pr_fen_on=1,E475=pr_fen_year),pr_fen_price,0)</f>
        <v/>
      </c>
      <c r="F530" s="23">
        <f>IF(AND(pr_fen_on=1,F475=pr_fen_year),pr_fen_price,0)</f>
        <v/>
      </c>
      <c r="G530" s="23">
        <f>IF(AND(pr_fen_on=1,G475=pr_fen_year),pr_fen_price,0)</f>
        <v/>
      </c>
      <c r="H530" s="23">
        <f>IF(AND(pr_fen_on=1,H475=pr_fen_year),pr_fen_price,0)</f>
        <v/>
      </c>
      <c r="I530" s="23">
        <f>IF(AND(pr_fen_on=1,I475=pr_fen_year),pr_fen_price,0)</f>
        <v/>
      </c>
      <c r="J530" s="23">
        <f>IF(AND(pr_fen_on=1,J475=pr_fen_year),pr_fen_price,0)</f>
        <v/>
      </c>
      <c r="K530" s="23">
        <f>IF(AND(pr_fen_on=1,K475=pr_fen_year),pr_fen_price,0)</f>
        <v/>
      </c>
      <c r="L530" s="23">
        <f>IF(AND(pr_fen_on=1,L475=pr_fen_year),pr_fen_price,0)</f>
        <v/>
      </c>
      <c r="M530" s="23">
        <f>IF(AND(pr_fen_on=1,M475=pr_fen_year),pr_fen_price,0)</f>
        <v/>
      </c>
      <c r="N530" s="23">
        <f>IF(AND(pr_fen_on=1,N475=pr_fen_year),pr_fen_price,0)</f>
        <v/>
      </c>
    </row>
    <row r="531">
      <c r="B531" s="2" t="inlineStr">
        <is>
          <t>Settlement credited against rate base</t>
        </is>
      </c>
      <c r="C531" s="5" t="inlineStr">
        <is>
          <t>$ million</t>
        </is>
      </c>
      <c r="E531" s="23">
        <f>IF(E475=pr_settle_y,pr_settle,0)</f>
        <v/>
      </c>
      <c r="F531" s="23">
        <f>IF(F475=pr_settle_y,pr_settle,0)</f>
        <v/>
      </c>
      <c r="G531" s="23">
        <f>IF(G475=pr_settle_y,pr_settle,0)</f>
        <v/>
      </c>
      <c r="H531" s="23">
        <f>IF(H475=pr_settle_y,pr_settle,0)</f>
        <v/>
      </c>
      <c r="I531" s="23">
        <f>IF(I475=pr_settle_y,pr_settle,0)</f>
        <v/>
      </c>
      <c r="J531" s="23">
        <f>IF(J475=pr_settle_y,pr_settle,0)</f>
        <v/>
      </c>
      <c r="K531" s="23">
        <f>IF(K475=pr_settle_y,pr_settle,0)</f>
        <v/>
      </c>
      <c r="L531" s="23">
        <f>IF(L475=pr_settle_y,pr_settle,0)</f>
        <v/>
      </c>
      <c r="M531" s="23">
        <f>IF(M475=pr_settle_y,pr_settle,0)</f>
        <v/>
      </c>
      <c r="N531" s="23">
        <f>IF(N475=pr_settle_y,pr_settle,0)</f>
        <v/>
      </c>
    </row>
    <row r="532">
      <c r="B532" s="3" t="inlineStr">
        <is>
          <t>Closing rate base</t>
        </is>
      </c>
      <c r="C532" s="5" t="inlineStr">
        <is>
          <t>$ million</t>
        </is>
      </c>
      <c r="D532" s="23">
        <f>pr_rb0</f>
        <v/>
      </c>
      <c r="E532" s="23">
        <f>E528+E486-E518-E529+E530-E521-E531</f>
        <v/>
      </c>
      <c r="F532" s="23">
        <f>F528+F486-F518-F529+F530-F521-F531</f>
        <v/>
      </c>
      <c r="G532" s="23">
        <f>G528+G486-G518-G529+G530-G521-G531</f>
        <v/>
      </c>
      <c r="H532" s="23">
        <f>H528+H486-H518-H529+H530-H521-H531</f>
        <v/>
      </c>
      <c r="I532" s="23">
        <f>I528+I486-I518-I529+I530-I521-I531</f>
        <v/>
      </c>
      <c r="J532" s="23">
        <f>J528+J486-J518-J529+J530-J521-J531</f>
        <v/>
      </c>
      <c r="K532" s="23">
        <f>K528+K486-K518-K529+K530-K521-K531</f>
        <v/>
      </c>
      <c r="L532" s="23">
        <f>L528+L486-L518-L529+L530-L521-L531</f>
        <v/>
      </c>
      <c r="M532" s="23">
        <f>M528+M486-M518-M529+M530-M521-M531</f>
        <v/>
      </c>
      <c r="N532" s="23">
        <f>N528+N486-N518-N529+N530-N521-N531</f>
        <v/>
      </c>
    </row>
    <row r="533">
      <c r="B533" s="2" t="inlineStr">
        <is>
          <t>Original bonds outstanding</t>
        </is>
      </c>
      <c r="C533" s="5" t="inlineStr">
        <is>
          <t>$ million</t>
        </is>
      </c>
      <c r="D533" s="23">
        <f>(1-pr_eq)*pr_rb0</f>
        <v/>
      </c>
      <c r="E533" s="23">
        <f>MAX(0,D533-pr_amort*(1-pr_eq)*pr_rb0)</f>
        <v/>
      </c>
      <c r="F533" s="23">
        <f>MAX(0,E533-pr_amort*(1-pr_eq)*pr_rb0)</f>
        <v/>
      </c>
      <c r="G533" s="23">
        <f>MAX(0,F533-pr_amort*(1-pr_eq)*pr_rb0)</f>
        <v/>
      </c>
      <c r="H533" s="23">
        <f>MAX(0,G533-pr_amort*(1-pr_eq)*pr_rb0)</f>
        <v/>
      </c>
      <c r="I533" s="23">
        <f>MAX(0,H533-pr_amort*(1-pr_eq)*pr_rb0)</f>
        <v/>
      </c>
      <c r="J533" s="23">
        <f>MAX(0,I533-pr_amort*(1-pr_eq)*pr_rb0)</f>
        <v/>
      </c>
      <c r="K533" s="23">
        <f>MAX(0,J533-pr_amort*(1-pr_eq)*pr_rb0)</f>
        <v/>
      </c>
      <c r="L533" s="23">
        <f>MAX(0,K533-pr_amort*(1-pr_eq)*pr_rb0)</f>
        <v/>
      </c>
      <c r="M533" s="23">
        <f>MAX(0,L533-pr_amort*(1-pr_eq)*pr_rb0)</f>
        <v/>
      </c>
      <c r="N533" s="23">
        <f>MAX(0,M533-pr_amort*(1-pr_eq)*pr_rb0)</f>
        <v/>
      </c>
    </row>
    <row r="534">
      <c r="B534" s="2" t="inlineStr">
        <is>
          <t>Operating company debt (debt share of rate base)</t>
        </is>
      </c>
      <c r="C534" s="5" t="inlineStr">
        <is>
          <t>$ million</t>
        </is>
      </c>
      <c r="D534" s="23">
        <f>(1-pr_eq)*D532</f>
        <v/>
      </c>
      <c r="E534" s="23">
        <f>(1-pr_eq)*E532</f>
        <v/>
      </c>
      <c r="F534" s="23">
        <f>(1-pr_eq)*F532</f>
        <v/>
      </c>
      <c r="G534" s="23">
        <f>(1-pr_eq)*G532</f>
        <v/>
      </c>
      <c r="H534" s="23">
        <f>(1-pr_eq)*H532</f>
        <v/>
      </c>
      <c r="I534" s="23">
        <f>(1-pr_eq)*I532</f>
        <v/>
      </c>
      <c r="J534" s="23">
        <f>(1-pr_eq)*J532</f>
        <v/>
      </c>
      <c r="K534" s="23">
        <f>(1-pr_eq)*K532</f>
        <v/>
      </c>
      <c r="L534" s="23">
        <f>(1-pr_eq)*L532</f>
        <v/>
      </c>
      <c r="M534" s="23">
        <f>(1-pr_eq)*M532</f>
        <v/>
      </c>
      <c r="N534" s="23">
        <f>(1-pr_eq)*N532</f>
        <v/>
      </c>
    </row>
    <row r="535">
      <c r="B535" s="2" t="inlineStr">
        <is>
          <t>New bonds outstanding</t>
        </is>
      </c>
      <c r="C535" s="5" t="inlineStr">
        <is>
          <t>$ million</t>
        </is>
      </c>
      <c r="D535" s="23">
        <f>D534-D533</f>
        <v/>
      </c>
      <c r="E535" s="23">
        <f>E534-E533</f>
        <v/>
      </c>
      <c r="F535" s="23">
        <f>F534-F533</f>
        <v/>
      </c>
      <c r="G535" s="23">
        <f>G534-G533</f>
        <v/>
      </c>
      <c r="H535" s="23">
        <f>H534-H533</f>
        <v/>
      </c>
      <c r="I535" s="23">
        <f>I534-I533</f>
        <v/>
      </c>
      <c r="J535" s="23">
        <f>J534-J533</f>
        <v/>
      </c>
      <c r="K535" s="23">
        <f>K534-K533</f>
        <v/>
      </c>
      <c r="L535" s="23">
        <f>L534-L533</f>
        <v/>
      </c>
      <c r="M535" s="23">
        <f>M534-M533</f>
        <v/>
      </c>
      <c r="N535" s="23">
        <f>N534-N533</f>
        <v/>
      </c>
    </row>
    <row r="536">
      <c r="B536" s="2" t="inlineStr">
        <is>
          <t>Embedded cost of debt at year end</t>
        </is>
      </c>
      <c r="C536" s="5" t="inlineStr">
        <is>
          <t>rate</t>
        </is>
      </c>
      <c r="D536" s="27">
        <f>pr_kd_old</f>
        <v/>
      </c>
      <c r="E536" s="27">
        <f>(E533*pr_kd_old+E535*pr_kd_new)/E534</f>
        <v/>
      </c>
      <c r="F536" s="27">
        <f>(F533*pr_kd_old+F535*pr_kd_new)/F534</f>
        <v/>
      </c>
      <c r="G536" s="27">
        <f>(G533*pr_kd_old+G535*pr_kd_new)/G534</f>
        <v/>
      </c>
      <c r="H536" s="27">
        <f>(H533*pr_kd_old+H535*pr_kd_new)/H534</f>
        <v/>
      </c>
      <c r="I536" s="27">
        <f>(I533*pr_kd_old+I535*pr_kd_new)/I534</f>
        <v/>
      </c>
      <c r="J536" s="27">
        <f>(J533*pr_kd_old+J535*pr_kd_new)/J534</f>
        <v/>
      </c>
      <c r="K536" s="27">
        <f>(K533*pr_kd_old+K535*pr_kd_new)/K534</f>
        <v/>
      </c>
      <c r="L536" s="27">
        <f>(L533*pr_kd_old+L535*pr_kd_new)/L534</f>
        <v/>
      </c>
      <c r="M536" s="27">
        <f>(M533*pr_kd_old+M535*pr_kd_new)/M534</f>
        <v/>
      </c>
      <c r="N536" s="27">
        <f>(N533*pr_kd_old+N535*pr_kd_new)/N534</f>
        <v/>
      </c>
    </row>
    <row r="538">
      <c r="B538" s="6" t="inlineStr">
        <is>
          <t>Returns and cash ($ million)</t>
        </is>
      </c>
      <c r="C538" s="7" t="n"/>
      <c r="D538" s="7" t="n"/>
      <c r="E538" s="7" t="n"/>
      <c r="F538" s="7" t="n"/>
      <c r="G538" s="7" t="n"/>
      <c r="H538" s="7" t="n"/>
      <c r="I538" s="7" t="n"/>
      <c r="J538" s="7" t="n"/>
      <c r="K538" s="7" t="n"/>
      <c r="L538" s="7" t="n"/>
      <c r="M538" s="7" t="n"/>
      <c r="N538" s="7" t="n"/>
    </row>
    <row r="539">
      <c r="B539" s="2" t="inlineStr">
        <is>
          <t>Average equity share of rate base</t>
        </is>
      </c>
      <c r="C539" s="5" t="inlineStr">
        <is>
          <t>$ million</t>
        </is>
      </c>
      <c r="E539" s="23">
        <f>pr_eq*0.5*(E528+E532)</f>
        <v/>
      </c>
      <c r="F539" s="23">
        <f>pr_eq*0.5*(F528+F532)</f>
        <v/>
      </c>
      <c r="G539" s="23">
        <f>pr_eq*0.5*(G528+G532)</f>
        <v/>
      </c>
      <c r="H539" s="23">
        <f>pr_eq*0.5*(H528+H532)</f>
        <v/>
      </c>
      <c r="I539" s="23">
        <f>pr_eq*0.5*(I528+I532)</f>
        <v/>
      </c>
      <c r="J539" s="23">
        <f>pr_eq*0.5*(J528+J532)</f>
        <v/>
      </c>
      <c r="K539" s="23">
        <f>pr_eq*0.5*(K528+K532)</f>
        <v/>
      </c>
      <c r="L539" s="23">
        <f>pr_eq*0.5*(L528+L532)</f>
        <v/>
      </c>
      <c r="M539" s="23">
        <f>pr_eq*0.5*(M528+M532)</f>
        <v/>
      </c>
      <c r="N539" s="23">
        <f>pr_eq*0.5*(N528+N532)</f>
        <v/>
      </c>
    </row>
    <row r="540">
      <c r="B540" s="2" t="inlineStr">
        <is>
          <t>Earned return on equity</t>
        </is>
      </c>
      <c r="C540" s="5" t="inlineStr">
        <is>
          <t>rate</t>
        </is>
      </c>
      <c r="E540" s="27">
        <f>E525/E539</f>
        <v/>
      </c>
      <c r="F540" s="27">
        <f>F525/F539</f>
        <v/>
      </c>
      <c r="G540" s="27">
        <f>G525/G539</f>
        <v/>
      </c>
      <c r="H540" s="27">
        <f>H525/H539</f>
        <v/>
      </c>
      <c r="I540" s="27">
        <f>I525/I539</f>
        <v/>
      </c>
      <c r="J540" s="27">
        <f>J525/J539</f>
        <v/>
      </c>
      <c r="K540" s="27">
        <f>K525/K539</f>
        <v/>
      </c>
      <c r="L540" s="27">
        <f>L525/L539</f>
        <v/>
      </c>
      <c r="M540" s="27">
        <f>M525/M539</f>
        <v/>
      </c>
      <c r="N540" s="27">
        <f>N525/N539</f>
        <v/>
      </c>
    </row>
    <row r="541">
      <c r="B541" s="2" t="inlineStr">
        <is>
          <t>Authorized return on equity</t>
        </is>
      </c>
      <c r="C541" s="5" t="inlineStr">
        <is>
          <t>rate</t>
        </is>
      </c>
      <c r="E541" s="27">
        <f>pr_roe</f>
        <v/>
      </c>
      <c r="F541" s="27">
        <f>pr_roe</f>
        <v/>
      </c>
      <c r="G541" s="27">
        <f>pr_roe</f>
        <v/>
      </c>
      <c r="H541" s="27">
        <f>pr_roe</f>
        <v/>
      </c>
      <c r="I541" s="27">
        <f>pr_roe</f>
        <v/>
      </c>
      <c r="J541" s="27">
        <f>pr_roe</f>
        <v/>
      </c>
      <c r="K541" s="27">
        <f>pr_roe</f>
        <v/>
      </c>
      <c r="L541" s="27">
        <f>pr_roe</f>
        <v/>
      </c>
      <c r="M541" s="27">
        <f>pr_roe</f>
        <v/>
      </c>
      <c r="N541" s="27">
        <f>pr_roe</f>
        <v/>
      </c>
    </row>
    <row r="542">
      <c r="B542" s="3" t="inlineStr">
        <is>
          <t>Cash to the shareholder (FCFE)</t>
        </is>
      </c>
      <c r="C542" s="5" t="inlineStr">
        <is>
          <t>$ million</t>
        </is>
      </c>
      <c r="E542" s="23">
        <f>E525+E521-E486-E530+E531+E534-D534</f>
        <v/>
      </c>
      <c r="F542" s="23">
        <f>F525+F521-F486-F530+F531+F534-E534</f>
        <v/>
      </c>
      <c r="G542" s="23">
        <f>G525+G521-G486-G530+G531+G534-F534</f>
        <v/>
      </c>
      <c r="H542" s="23">
        <f>H525+H521-H486-H530+H531+H534-G534</f>
        <v/>
      </c>
      <c r="I542" s="23">
        <f>I525+I521-I486-I530+I531+I534-H534</f>
        <v/>
      </c>
      <c r="J542" s="23">
        <f>J525+J521-J486-J530+J531+J534-I534</f>
        <v/>
      </c>
      <c r="K542" s="23">
        <f>K525+K521-K486-K530+K531+K534-J534</f>
        <v/>
      </c>
      <c r="L542" s="23">
        <f>L525+L521-L486-L530+L531+L534-K534</f>
        <v/>
      </c>
      <c r="M542" s="23">
        <f>M525+M521-M486-M530+M531+M534-L534</f>
        <v/>
      </c>
      <c r="N542" s="23">
        <f>N525+N521-N486-N530+N531+N534-M534</f>
        <v/>
      </c>
    </row>
    <row r="543">
      <c r="B543" s="2" t="inlineStr">
        <is>
          <t>Funds from operations (net income + depreciation)</t>
        </is>
      </c>
      <c r="C543" s="5" t="inlineStr">
        <is>
          <t>$ million</t>
        </is>
      </c>
      <c r="E543" s="23">
        <f>E525+E521</f>
        <v/>
      </c>
      <c r="F543" s="23">
        <f>F525+F521</f>
        <v/>
      </c>
      <c r="G543" s="23">
        <f>G525+G521</f>
        <v/>
      </c>
      <c r="H543" s="23">
        <f>H525+H521</f>
        <v/>
      </c>
      <c r="I543" s="23">
        <f>I525+I521</f>
        <v/>
      </c>
      <c r="J543" s="23">
        <f>J525+J521</f>
        <v/>
      </c>
      <c r="K543" s="23">
        <f>K525+K521</f>
        <v/>
      </c>
      <c r="L543" s="23">
        <f>L525+L521</f>
        <v/>
      </c>
      <c r="M543" s="23">
        <f>M525+M521</f>
        <v/>
      </c>
      <c r="N543" s="23">
        <f>N525+N521</f>
        <v/>
      </c>
    </row>
    <row r="544">
      <c r="B544" s="3" t="inlineStr">
        <is>
          <t>Brannock's net flows (exit at the exit multiple)</t>
        </is>
      </c>
      <c r="C544" s="5" t="inlineStr">
        <is>
          <t>$ million</t>
        </is>
      </c>
      <c r="D544" s="23">
        <f>-(pr_ev_mult*pr_rb0-(1-pr_eq)*pr_rb0+pr_costs-pr_holdco)</f>
        <v/>
      </c>
      <c r="E544" s="23">
        <f>E542-pr_holdco*pr_kd_holdco*(1-pr_tax)</f>
        <v/>
      </c>
      <c r="F544" s="23">
        <f>F542-pr_holdco*pr_kd_holdco*(1-pr_tax)</f>
        <v/>
      </c>
      <c r="G544" s="23">
        <f>G542-pr_holdco*pr_kd_holdco*(1-pr_tax)</f>
        <v/>
      </c>
      <c r="H544" s="23">
        <f>H542-pr_holdco*pr_kd_holdco*(1-pr_tax)</f>
        <v/>
      </c>
      <c r="I544" s="23">
        <f>I542-pr_holdco*pr_kd_holdco*(1-pr_tax)</f>
        <v/>
      </c>
      <c r="J544" s="23">
        <f>J542-pr_holdco*pr_kd_holdco*(1-pr_tax)</f>
        <v/>
      </c>
      <c r="K544" s="23">
        <f>K542-pr_holdco*pr_kd_holdco*(1-pr_tax)</f>
        <v/>
      </c>
      <c r="L544" s="23">
        <f>L542-pr_holdco*pr_kd_holdco*(1-pr_tax)</f>
        <v/>
      </c>
      <c r="M544" s="23">
        <f>M542-pr_holdco*pr_kd_holdco*(1-pr_tax)</f>
        <v/>
      </c>
      <c r="N544" s="23">
        <f>N542-pr_holdco*pr_kd_holdco*(1-pr_tax)+pr_exit_mult*N532-N534-pr_holdco</f>
        <v/>
      </c>
    </row>
    <row r="545">
      <c r="B545" s="2" t="inlineStr">
        <is>
          <t>Levered IRR</t>
        </is>
      </c>
      <c r="C545" s="5" t="inlineStr">
        <is>
          <t>rate</t>
        </is>
      </c>
      <c r="D545" s="27">
        <f>IRR($D$544:N$544,0.08)</f>
        <v/>
      </c>
    </row>
    <row r="546">
      <c r="B546" s="2" t="inlineStr">
        <is>
          <t>Average earned return on equity 2028 to 2037</t>
        </is>
      </c>
      <c r="C546" s="5" t="inlineStr">
        <is>
          <t>rate</t>
        </is>
      </c>
      <c r="D546" s="27">
        <f>AVERAGE($E$540:N$540)</f>
        <v/>
      </c>
    </row>
    <row r="547">
      <c r="B547" s="2" t="inlineStr">
        <is>
          <t>Price at the target return (enterprise value)</t>
        </is>
      </c>
      <c r="C547" s="5" t="inlineStr">
        <is>
          <t>$ million</t>
        </is>
      </c>
      <c r="D547" s="23">
        <f>NPV(pr_target,$E$544:N$544)+(1-pr_eq)*pr_rb0-pr_costs+pr_holdco</f>
        <v/>
      </c>
    </row>
    <row r="548">
      <c r="B548" s="2" t="inlineStr">
        <is>
          <t>Exit equity</t>
        </is>
      </c>
      <c r="C548" s="5" t="inlineStr">
        <is>
          <t>$ million</t>
        </is>
      </c>
      <c r="D548" s="23">
        <f>pr_exit_mult*N532-N534-pr_holdco</f>
        <v/>
      </c>
    </row>
    <row r="549">
      <c r="B549" s="2" t="inlineStr">
        <is>
          <t>Rate base at exit</t>
        </is>
      </c>
      <c r="C549" s="5" t="inlineStr">
        <is>
          <t>$ million</t>
        </is>
      </c>
      <c r="D549" s="23">
        <f>N532</f>
        <v/>
      </c>
    </row>
    <row r="552">
      <c r="B552" s="6" t="inlineStr">
        <is>
          <t>S8: Customer-side lead cost expensed (Pell River, after tax)</t>
        </is>
      </c>
      <c r="C552" s="7" t="n"/>
      <c r="D552" s="7" t="n"/>
      <c r="E552" s="7" t="n"/>
      <c r="F552" s="7" t="n"/>
      <c r="G552" s="7" t="n"/>
      <c r="H552" s="7" t="n"/>
      <c r="I552" s="7" t="n"/>
      <c r="J552" s="7" t="n"/>
      <c r="K552" s="7" t="n"/>
      <c r="L552" s="7" t="n"/>
      <c r="M552" s="7" t="n"/>
      <c r="N552" s="7" t="n"/>
    </row>
    <row r="553">
      <c r="B553" s="2" t="inlineStr">
        <is>
          <t>Year (31 December)</t>
        </is>
      </c>
      <c r="D553" s="26">
        <f>pr_close</f>
        <v/>
      </c>
      <c r="E553" s="26">
        <f>D553+1</f>
        <v/>
      </c>
      <c r="F553" s="26">
        <f>E553+1</f>
        <v/>
      </c>
      <c r="G553" s="26">
        <f>F553+1</f>
        <v/>
      </c>
      <c r="H553" s="26">
        <f>G553+1</f>
        <v/>
      </c>
      <c r="I553" s="26">
        <f>H553+1</f>
        <v/>
      </c>
      <c r="J553" s="26">
        <f>I553+1</f>
        <v/>
      </c>
      <c r="K553" s="26">
        <f>J553+1</f>
        <v/>
      </c>
      <c r="L553" s="26">
        <f>K553+1</f>
        <v/>
      </c>
      <c r="M553" s="26">
        <f>L553+1</f>
        <v/>
      </c>
      <c r="N553" s="26">
        <f>M553+1</f>
        <v/>
      </c>
    </row>
    <row r="554">
      <c r="B554" s="2" t="inlineStr">
        <is>
          <t>Years after the first year of the hold (2028 = 0)</t>
        </is>
      </c>
      <c r="D554" s="26">
        <f>D553-(pr_close+1)</f>
        <v/>
      </c>
      <c r="E554" s="26">
        <f>E553-(pr_close+1)</f>
        <v/>
      </c>
      <c r="F554" s="26">
        <f>F553-(pr_close+1)</f>
        <v/>
      </c>
      <c r="G554" s="26">
        <f>G553-(pr_close+1)</f>
        <v/>
      </c>
      <c r="H554" s="26">
        <f>H553-(pr_close+1)</f>
        <v/>
      </c>
      <c r="I554" s="26">
        <f>I553-(pr_close+1)</f>
        <v/>
      </c>
      <c r="J554" s="26">
        <f>J553-(pr_close+1)</f>
        <v/>
      </c>
      <c r="K554" s="26">
        <f>K553-(pr_close+1)</f>
        <v/>
      </c>
      <c r="L554" s="26">
        <f>L553-(pr_close+1)</f>
        <v/>
      </c>
      <c r="M554" s="26">
        <f>M553-(pr_close+1)</f>
        <v/>
      </c>
      <c r="N554" s="26">
        <f>N553-(pr_close+1)</f>
        <v/>
      </c>
    </row>
    <row r="555">
      <c r="B555" s="2" t="inlineStr">
        <is>
          <t>Connections (water and wastewater), year end</t>
        </is>
      </c>
      <c r="C555" s="5" t="inlineStr">
        <is>
          <t>number</t>
        </is>
      </c>
      <c r="D555" s="19">
        <f>pr_water_conn+pr_ww_conn</f>
        <v/>
      </c>
      <c r="E555" s="19">
        <f>D555*(1+pr_growth)+IF(AND(pr_fen_on=1,E553=pr_fen_year+1),pr_fen_conn,0)</f>
        <v/>
      </c>
      <c r="F555" s="19">
        <f>E555*(1+pr_growth)+IF(AND(pr_fen_on=1,F553=pr_fen_year+1),pr_fen_conn,0)</f>
        <v/>
      </c>
      <c r="G555" s="19">
        <f>F555*(1+pr_growth)+IF(AND(pr_fen_on=1,G553=pr_fen_year+1),pr_fen_conn,0)</f>
        <v/>
      </c>
      <c r="H555" s="19">
        <f>G555*(1+pr_growth)+IF(AND(pr_fen_on=1,H553=pr_fen_year+1),pr_fen_conn,0)</f>
        <v/>
      </c>
      <c r="I555" s="19">
        <f>H555*(1+pr_growth)+IF(AND(pr_fen_on=1,I553=pr_fen_year+1),pr_fen_conn,0)</f>
        <v/>
      </c>
      <c r="J555" s="19">
        <f>I555*(1+pr_growth)+IF(AND(pr_fen_on=1,J553=pr_fen_year+1),pr_fen_conn,0)</f>
        <v/>
      </c>
      <c r="K555" s="19">
        <f>J555*(1+pr_growth)+IF(AND(pr_fen_on=1,K553=pr_fen_year+1),pr_fen_conn,0)</f>
        <v/>
      </c>
      <c r="L555" s="19">
        <f>K555*(1+pr_growth)+IF(AND(pr_fen_on=1,L553=pr_fen_year+1),pr_fen_conn,0)</f>
        <v/>
      </c>
      <c r="M555" s="19">
        <f>L555*(1+pr_growth)+IF(AND(pr_fen_on=1,M553=pr_fen_year+1),pr_fen_conn,0)</f>
        <v/>
      </c>
      <c r="N555" s="19">
        <f>M555*(1+pr_growth)+IF(AND(pr_fen_on=1,N553=pr_fen_year+1),pr_fen_conn,0)</f>
        <v/>
      </c>
    </row>
    <row r="557">
      <c r="B557" s="6" t="inlineStr">
        <is>
          <t>Capital spending ($ million)</t>
        </is>
      </c>
      <c r="C557" s="7" t="n"/>
      <c r="D557" s="7" t="n"/>
      <c r="E557" s="7" t="n"/>
      <c r="F557" s="7" t="n"/>
      <c r="G557" s="7" t="n"/>
      <c r="H557" s="7" t="n"/>
      <c r="I557" s="7" t="n"/>
      <c r="J557" s="7" t="n"/>
      <c r="K557" s="7" t="n"/>
      <c r="L557" s="7" t="n"/>
      <c r="M557" s="7" t="n"/>
      <c r="N557" s="7" t="n"/>
    </row>
    <row r="558">
      <c r="B558" s="2" t="inlineStr">
        <is>
          <t>Cost escalation index (2028 = 1)</t>
        </is>
      </c>
      <c r="E558" s="28">
        <f>(1+pr_capex_esc)^(E553-(pr_close+1))</f>
        <v/>
      </c>
      <c r="F558" s="28">
        <f>(1+pr_capex_esc)^(F553-(pr_close+1))</f>
        <v/>
      </c>
      <c r="G558" s="28">
        <f>(1+pr_capex_esc)^(G553-(pr_close+1))</f>
        <v/>
      </c>
      <c r="H558" s="28">
        <f>(1+pr_capex_esc)^(H553-(pr_close+1))</f>
        <v/>
      </c>
      <c r="I558" s="28">
        <f>(1+pr_capex_esc)^(I553-(pr_close+1))</f>
        <v/>
      </c>
      <c r="J558" s="28">
        <f>(1+pr_capex_esc)^(J553-(pr_close+1))</f>
        <v/>
      </c>
      <c r="K558" s="28">
        <f>(1+pr_capex_esc)^(K553-(pr_close+1))</f>
        <v/>
      </c>
      <c r="L558" s="28">
        <f>(1+pr_capex_esc)^(L553-(pr_close+1))</f>
        <v/>
      </c>
      <c r="M558" s="28">
        <f>(1+pr_capex_esc)^(M553-(pr_close+1))</f>
        <v/>
      </c>
      <c r="N558" s="28">
        <f>(1+pr_capex_esc)^(N553-(pr_close+1))</f>
        <v/>
      </c>
    </row>
    <row r="559">
      <c r="B559" s="2" t="inlineStr">
        <is>
          <t>Main renewal</t>
        </is>
      </c>
      <c r="C559" s="5" t="inlineStr">
        <is>
          <t>$ million</t>
        </is>
      </c>
      <c r="E559" s="23">
        <f>pr_renewal*pr_mains_miles*pr_cost_mile*E558*(1+pr_capex_shift)</f>
        <v/>
      </c>
      <c r="F559" s="23">
        <f>pr_renewal*pr_mains_miles*pr_cost_mile*F558*(1+pr_capex_shift)</f>
        <v/>
      </c>
      <c r="G559" s="23">
        <f>pr_renewal*pr_mains_miles*pr_cost_mile*G558*(1+pr_capex_shift)</f>
        <v/>
      </c>
      <c r="H559" s="23">
        <f>pr_renewal*pr_mains_miles*pr_cost_mile*H558*(1+pr_capex_shift)</f>
        <v/>
      </c>
      <c r="I559" s="23">
        <f>pr_renewal*pr_mains_miles*pr_cost_mile*I558*(1+pr_capex_shift)</f>
        <v/>
      </c>
      <c r="J559" s="23">
        <f>pr_renewal*pr_mains_miles*pr_cost_mile*J558*(1+pr_capex_shift)</f>
        <v/>
      </c>
      <c r="K559" s="23">
        <f>pr_renewal*pr_mains_miles*pr_cost_mile*K558*(1+pr_capex_shift)</f>
        <v/>
      </c>
      <c r="L559" s="23">
        <f>pr_renewal*pr_mains_miles*pr_cost_mile*L558*(1+pr_capex_shift)</f>
        <v/>
      </c>
      <c r="M559" s="23">
        <f>pr_renewal*pr_mains_miles*pr_cost_mile*M558*(1+pr_capex_shift)</f>
        <v/>
      </c>
      <c r="N559" s="23">
        <f>pr_renewal*pr_mains_miles*pr_cost_mile*N558*(1+pr_capex_shift)</f>
        <v/>
      </c>
    </row>
    <row r="560">
      <c r="B560" s="2" t="inlineStr">
        <is>
          <t>Treatment, storage, meters, IT and growth</t>
        </is>
      </c>
      <c r="C560" s="5" t="inlineStr">
        <is>
          <t>$ million</t>
        </is>
      </c>
      <c r="E560" s="23">
        <f>pr_other_capex*E558*(1+pr_capex_shift)</f>
        <v/>
      </c>
      <c r="F560" s="23">
        <f>pr_other_capex*F558*(1+pr_capex_shift)</f>
        <v/>
      </c>
      <c r="G560" s="23">
        <f>pr_other_capex*G558*(1+pr_capex_shift)</f>
        <v/>
      </c>
      <c r="H560" s="23">
        <f>pr_other_capex*H558*(1+pr_capex_shift)</f>
        <v/>
      </c>
      <c r="I560" s="23">
        <f>pr_other_capex*I558*(1+pr_capex_shift)</f>
        <v/>
      </c>
      <c r="J560" s="23">
        <f>pr_other_capex*J558*(1+pr_capex_shift)</f>
        <v/>
      </c>
      <c r="K560" s="23">
        <f>pr_other_capex*K558*(1+pr_capex_shift)</f>
        <v/>
      </c>
      <c r="L560" s="23">
        <f>pr_other_capex*L558*(1+pr_capex_shift)</f>
        <v/>
      </c>
      <c r="M560" s="23">
        <f>pr_other_capex*M558*(1+pr_capex_shift)</f>
        <v/>
      </c>
      <c r="N560" s="23">
        <f>pr_other_capex*N558*(1+pr_capex_shift)</f>
        <v/>
      </c>
    </row>
    <row r="561">
      <c r="B561" s="2" t="inlineStr">
        <is>
          <t>PFAS treatment</t>
        </is>
      </c>
      <c r="C561" s="5" t="inlineStr">
        <is>
          <t>$ million</t>
        </is>
      </c>
      <c r="E561" s="23">
        <f>(IF(E553-pr_pfas_delay=pr_pfas_y1,pr_pfas_1,0)+IF(E553-pr_pfas_delay=pr_pfas_y1+1,pr_pfas_2,0)+IF(E553-pr_pfas_delay=pr_pfas_y1+2,pr_pfas_3,0))*(1+pr_capex_esc)^pr_pfas_delay*(1+pr_capex_shift)</f>
        <v/>
      </c>
      <c r="F561" s="23">
        <f>(IF(F553-pr_pfas_delay=pr_pfas_y1,pr_pfas_1,0)+IF(F553-pr_pfas_delay=pr_pfas_y1+1,pr_pfas_2,0)+IF(F553-pr_pfas_delay=pr_pfas_y1+2,pr_pfas_3,0))*(1+pr_capex_esc)^pr_pfas_delay*(1+pr_capex_shift)</f>
        <v/>
      </c>
      <c r="G561" s="23">
        <f>(IF(G553-pr_pfas_delay=pr_pfas_y1,pr_pfas_1,0)+IF(G553-pr_pfas_delay=pr_pfas_y1+1,pr_pfas_2,0)+IF(G553-pr_pfas_delay=pr_pfas_y1+2,pr_pfas_3,0))*(1+pr_capex_esc)^pr_pfas_delay*(1+pr_capex_shift)</f>
        <v/>
      </c>
      <c r="H561" s="23">
        <f>(IF(H553-pr_pfas_delay=pr_pfas_y1,pr_pfas_1,0)+IF(H553-pr_pfas_delay=pr_pfas_y1+1,pr_pfas_2,0)+IF(H553-pr_pfas_delay=pr_pfas_y1+2,pr_pfas_3,0))*(1+pr_capex_esc)^pr_pfas_delay*(1+pr_capex_shift)</f>
        <v/>
      </c>
      <c r="I561" s="23">
        <f>(IF(I553-pr_pfas_delay=pr_pfas_y1,pr_pfas_1,0)+IF(I553-pr_pfas_delay=pr_pfas_y1+1,pr_pfas_2,0)+IF(I553-pr_pfas_delay=pr_pfas_y1+2,pr_pfas_3,0))*(1+pr_capex_esc)^pr_pfas_delay*(1+pr_capex_shift)</f>
        <v/>
      </c>
      <c r="J561" s="23">
        <f>(IF(J553-pr_pfas_delay=pr_pfas_y1,pr_pfas_1,0)+IF(J553-pr_pfas_delay=pr_pfas_y1+1,pr_pfas_2,0)+IF(J553-pr_pfas_delay=pr_pfas_y1+2,pr_pfas_3,0))*(1+pr_capex_esc)^pr_pfas_delay*(1+pr_capex_shift)</f>
        <v/>
      </c>
      <c r="K561" s="23">
        <f>(IF(K553-pr_pfas_delay=pr_pfas_y1,pr_pfas_1,0)+IF(K553-pr_pfas_delay=pr_pfas_y1+1,pr_pfas_2,0)+IF(K553-pr_pfas_delay=pr_pfas_y1+2,pr_pfas_3,0))*(1+pr_capex_esc)^pr_pfas_delay*(1+pr_capex_shift)</f>
        <v/>
      </c>
      <c r="L561" s="23">
        <f>(IF(L553-pr_pfas_delay=pr_pfas_y1,pr_pfas_1,0)+IF(L553-pr_pfas_delay=pr_pfas_y1+1,pr_pfas_2,0)+IF(L553-pr_pfas_delay=pr_pfas_y1+2,pr_pfas_3,0))*(1+pr_capex_esc)^pr_pfas_delay*(1+pr_capex_shift)</f>
        <v/>
      </c>
      <c r="M561" s="23">
        <f>(IF(M553-pr_pfas_delay=pr_pfas_y1,pr_pfas_1,0)+IF(M553-pr_pfas_delay=pr_pfas_y1+1,pr_pfas_2,0)+IF(M553-pr_pfas_delay=pr_pfas_y1+2,pr_pfas_3,0))*(1+pr_capex_esc)^pr_pfas_delay*(1+pr_capex_shift)</f>
        <v/>
      </c>
      <c r="N561" s="23">
        <f>(IF(N553-pr_pfas_delay=pr_pfas_y1,pr_pfas_1,0)+IF(N553-pr_pfas_delay=pr_pfas_y1+1,pr_pfas_2,0)+IF(N553-pr_pfas_delay=pr_pfas_y1+2,pr_pfas_3,0))*(1+pr_capex_esc)^pr_pfas_delay*(1+pr_capex_shift)</f>
        <v/>
      </c>
    </row>
    <row r="562">
      <c r="B562" s="2" t="inlineStr">
        <is>
          <t>Lead service lines</t>
        </is>
      </c>
      <c r="C562" s="5" t="inlineStr">
        <is>
          <t>$ million</t>
        </is>
      </c>
      <c r="E562" s="23">
        <f>IF(AND(E553&gt;=(pr_close+1),E553&lt;(pr_close+1)+pr_lead_years),pr_lead_lines/pr_lead_years*pr_lead_cost/1000000*E558,0)*(1+pr_capex_shift)</f>
        <v/>
      </c>
      <c r="F562" s="23">
        <f>IF(AND(F553&gt;=(pr_close+1),F553&lt;(pr_close+1)+pr_lead_years),pr_lead_lines/pr_lead_years*pr_lead_cost/1000000*F558,0)*(1+pr_capex_shift)</f>
        <v/>
      </c>
      <c r="G562" s="23">
        <f>IF(AND(G553&gt;=(pr_close+1),G553&lt;(pr_close+1)+pr_lead_years),pr_lead_lines/pr_lead_years*pr_lead_cost/1000000*G558,0)*(1+pr_capex_shift)</f>
        <v/>
      </c>
      <c r="H562" s="23">
        <f>IF(AND(H553&gt;=(pr_close+1),H553&lt;(pr_close+1)+pr_lead_years),pr_lead_lines/pr_lead_years*pr_lead_cost/1000000*H558,0)*(1+pr_capex_shift)</f>
        <v/>
      </c>
      <c r="I562" s="23">
        <f>IF(AND(I553&gt;=(pr_close+1),I553&lt;(pr_close+1)+pr_lead_years),pr_lead_lines/pr_lead_years*pr_lead_cost/1000000*I558,0)*(1+pr_capex_shift)</f>
        <v/>
      </c>
      <c r="J562" s="23">
        <f>IF(AND(J553&gt;=(pr_close+1),J553&lt;(pr_close+1)+pr_lead_years),pr_lead_lines/pr_lead_years*pr_lead_cost/1000000*J558,0)*(1+pr_capex_shift)</f>
        <v/>
      </c>
      <c r="K562" s="23">
        <f>IF(AND(K553&gt;=(pr_close+1),K553&lt;(pr_close+1)+pr_lead_years),pr_lead_lines/pr_lead_years*pr_lead_cost/1000000*K558,0)*(1+pr_capex_shift)</f>
        <v/>
      </c>
      <c r="L562" s="23">
        <f>IF(AND(L553&gt;=(pr_close+1),L553&lt;(pr_close+1)+pr_lead_years),pr_lead_lines/pr_lead_years*pr_lead_cost/1000000*L558,0)*(1+pr_capex_shift)</f>
        <v/>
      </c>
      <c r="M562" s="23">
        <f>IF(AND(M553&gt;=(pr_close+1),M553&lt;(pr_close+1)+pr_lead_years),pr_lead_lines/pr_lead_years*pr_lead_cost/1000000*M558,0)*(1+pr_capex_shift)</f>
        <v/>
      </c>
      <c r="N562" s="23">
        <f>IF(AND(N553&gt;=(pr_close+1),N553&lt;(pr_close+1)+pr_lead_years),pr_lead_lines/pr_lead_years*pr_lead_cost/1000000*N558,0)*(1+pr_capex_shift)</f>
        <v/>
      </c>
    </row>
    <row r="563">
      <c r="B563" s="2" t="inlineStr">
        <is>
          <t>Fennick system</t>
        </is>
      </c>
      <c r="C563" s="5" t="inlineStr">
        <is>
          <t>$ million</t>
        </is>
      </c>
      <c r="E563" s="23">
        <f>IF(AND(pr_fen_on=1,E553&gt;pr_fen_year),pr_fen_capex*(1+pr_capex_esc)^(E553-pr_fen_year-1),0)*(1+pr_capex_shift)</f>
        <v/>
      </c>
      <c r="F563" s="23">
        <f>IF(AND(pr_fen_on=1,F553&gt;pr_fen_year),pr_fen_capex*(1+pr_capex_esc)^(F553-pr_fen_year-1),0)*(1+pr_capex_shift)</f>
        <v/>
      </c>
      <c r="G563" s="23">
        <f>IF(AND(pr_fen_on=1,G553&gt;pr_fen_year),pr_fen_capex*(1+pr_capex_esc)^(G553-pr_fen_year-1),0)*(1+pr_capex_shift)</f>
        <v/>
      </c>
      <c r="H563" s="23">
        <f>IF(AND(pr_fen_on=1,H553&gt;pr_fen_year),pr_fen_capex*(1+pr_capex_esc)^(H553-pr_fen_year-1),0)*(1+pr_capex_shift)</f>
        <v/>
      </c>
      <c r="I563" s="23">
        <f>IF(AND(pr_fen_on=1,I553&gt;pr_fen_year),pr_fen_capex*(1+pr_capex_esc)^(I553-pr_fen_year-1),0)*(1+pr_capex_shift)</f>
        <v/>
      </c>
      <c r="J563" s="23">
        <f>IF(AND(pr_fen_on=1,J553&gt;pr_fen_year),pr_fen_capex*(1+pr_capex_esc)^(J553-pr_fen_year-1),0)*(1+pr_capex_shift)</f>
        <v/>
      </c>
      <c r="K563" s="23">
        <f>IF(AND(pr_fen_on=1,K553&gt;pr_fen_year),pr_fen_capex*(1+pr_capex_esc)^(K553-pr_fen_year-1),0)*(1+pr_capex_shift)</f>
        <v/>
      </c>
      <c r="L563" s="23">
        <f>IF(AND(pr_fen_on=1,L553&gt;pr_fen_year),pr_fen_capex*(1+pr_capex_esc)^(L553-pr_fen_year-1),0)*(1+pr_capex_shift)</f>
        <v/>
      </c>
      <c r="M563" s="23">
        <f>IF(AND(pr_fen_on=1,M553&gt;pr_fen_year),pr_fen_capex*(1+pr_capex_esc)^(M553-pr_fen_year-1),0)*(1+pr_capex_shift)</f>
        <v/>
      </c>
      <c r="N563" s="23">
        <f>IF(AND(pr_fen_on=1,N553&gt;pr_fen_year),pr_fen_capex*(1+pr_capex_esc)^(N553-pr_fen_year-1),0)*(1+pr_capex_shift)</f>
        <v/>
      </c>
    </row>
    <row r="564">
      <c r="B564" s="2" t="inlineStr">
        <is>
          <t>Total capital spending</t>
        </is>
      </c>
      <c r="C564" s="5" t="inlineStr">
        <is>
          <t>$ million</t>
        </is>
      </c>
      <c r="E564" s="23">
        <f>SUM(E559:E563)</f>
        <v/>
      </c>
      <c r="F564" s="23">
        <f>SUM(F559:F563)</f>
        <v/>
      </c>
      <c r="G564" s="23">
        <f>SUM(G559:G563)</f>
        <v/>
      </c>
      <c r="H564" s="23">
        <f>SUM(H559:H563)</f>
        <v/>
      </c>
      <c r="I564" s="23">
        <f>SUM(I559:I563)</f>
        <v/>
      </c>
      <c r="J564" s="23">
        <f>SUM(J559:J563)</f>
        <v/>
      </c>
      <c r="K564" s="23">
        <f>SUM(K559:K563)</f>
        <v/>
      </c>
      <c r="L564" s="23">
        <f>SUM(L559:L563)</f>
        <v/>
      </c>
      <c r="M564" s="23">
        <f>SUM(M559:M563)</f>
        <v/>
      </c>
      <c r="N564" s="23">
        <f>SUM(N559:N563)</f>
        <v/>
      </c>
    </row>
    <row r="565">
      <c r="B565" s="2" t="inlineStr">
        <is>
          <t>DSIC-eligible (mains and lead lines)</t>
        </is>
      </c>
      <c r="C565" s="5" t="inlineStr">
        <is>
          <t>$ million</t>
        </is>
      </c>
      <c r="E565" s="23">
        <f>E559+E562</f>
        <v/>
      </c>
      <c r="F565" s="23">
        <f>F559+F562</f>
        <v/>
      </c>
      <c r="G565" s="23">
        <f>G559+G562</f>
        <v/>
      </c>
      <c r="H565" s="23">
        <f>H559+H562</f>
        <v/>
      </c>
      <c r="I565" s="23">
        <f>I559+I562</f>
        <v/>
      </c>
      <c r="J565" s="23">
        <f>J559+J562</f>
        <v/>
      </c>
      <c r="K565" s="23">
        <f>K559+K562</f>
        <v/>
      </c>
      <c r="L565" s="23">
        <f>L559+L562</f>
        <v/>
      </c>
      <c r="M565" s="23">
        <f>M559+M562</f>
        <v/>
      </c>
      <c r="N565" s="23">
        <f>N559+N562</f>
        <v/>
      </c>
    </row>
    <row r="567">
      <c r="B567" s="6" t="inlineStr">
        <is>
          <t>Rate case (rates effective 1 January of the year; test-year values looked up to the left)</t>
        </is>
      </c>
      <c r="C567" s="7" t="n"/>
      <c r="D567" s="7" t="n"/>
      <c r="E567" s="7" t="n"/>
      <c r="F567" s="7" t="n"/>
      <c r="G567" s="7" t="n"/>
      <c r="H567" s="7" t="n"/>
      <c r="I567" s="7" t="n"/>
      <c r="J567" s="7" t="n"/>
      <c r="K567" s="7" t="n"/>
      <c r="L567" s="7" t="n"/>
      <c r="M567" s="7" t="n"/>
      <c r="N567" s="7" t="n"/>
    </row>
    <row r="568">
      <c r="B568" s="2" t="inlineStr">
        <is>
          <t>Rate case this year (1 = yes)</t>
        </is>
      </c>
      <c r="E568" s="26">
        <f>IF(AND(E553&gt;=pr_rc_first,MOD(E553-pr_rc_first,pr_rc_cycle)=0),1,0)</f>
        <v/>
      </c>
      <c r="F568" s="26">
        <f>IF(AND(F553&gt;=pr_rc_first,MOD(F553-pr_rc_first,pr_rc_cycle)=0),1,0)</f>
        <v/>
      </c>
      <c r="G568" s="26">
        <f>IF(AND(G553&gt;=pr_rc_first,MOD(G553-pr_rc_first,pr_rc_cycle)=0),1,0)</f>
        <v/>
      </c>
      <c r="H568" s="26">
        <f>IF(AND(H553&gt;=pr_rc_first,MOD(H553-pr_rc_first,pr_rc_cycle)=0),1,0)</f>
        <v/>
      </c>
      <c r="I568" s="26">
        <f>IF(AND(I553&gt;=pr_rc_first,MOD(I553-pr_rc_first,pr_rc_cycle)=0),1,0)</f>
        <v/>
      </c>
      <c r="J568" s="26">
        <f>IF(AND(J553&gt;=pr_rc_first,MOD(J553-pr_rc_first,pr_rc_cycle)=0),1,0)</f>
        <v/>
      </c>
      <c r="K568" s="26">
        <f>IF(AND(K553&gt;=pr_rc_first,MOD(K553-pr_rc_first,pr_rc_cycle)=0),1,0)</f>
        <v/>
      </c>
      <c r="L568" s="26">
        <f>IF(AND(L553&gt;=pr_rc_first,MOD(L553-pr_rc_first,pr_rc_cycle)=0),1,0)</f>
        <v/>
      </c>
      <c r="M568" s="26">
        <f>IF(AND(M553&gt;=pr_rc_first,MOD(M553-pr_rc_first,pr_rc_cycle)=0),1,0)</f>
        <v/>
      </c>
      <c r="N568" s="26">
        <f>IF(AND(N553&gt;=pr_rc_first,MOD(N553-pr_rc_first,pr_rc_cycle)=0),1,0)</f>
        <v/>
      </c>
    </row>
    <row r="569">
      <c r="B569" s="2" t="inlineStr">
        <is>
          <t>Test year</t>
        </is>
      </c>
      <c r="E569" s="26">
        <f>E553-pr_test_lag</f>
        <v/>
      </c>
      <c r="F569" s="26">
        <f>F553-pr_test_lag</f>
        <v/>
      </c>
      <c r="G569" s="26">
        <f>G553-pr_test_lag</f>
        <v/>
      </c>
      <c r="H569" s="26">
        <f>H553-pr_test_lag</f>
        <v/>
      </c>
      <c r="I569" s="26">
        <f>I553-pr_test_lag</f>
        <v/>
      </c>
      <c r="J569" s="26">
        <f>J553-pr_test_lag</f>
        <v/>
      </c>
      <c r="K569" s="26">
        <f>K553-pr_test_lag</f>
        <v/>
      </c>
      <c r="L569" s="26">
        <f>L553-pr_test_lag</f>
        <v/>
      </c>
      <c r="M569" s="26">
        <f>M553-pr_test_lag</f>
        <v/>
      </c>
      <c r="N569" s="26">
        <f>N553-pr_test_lag</f>
        <v/>
      </c>
    </row>
    <row r="570">
      <c r="B570" s="2" t="inlineStr">
        <is>
          <t>Test year of the latest rate case</t>
        </is>
      </c>
      <c r="D570" s="26">
        <f>pr_close</f>
        <v/>
      </c>
      <c r="E570" s="26">
        <f>IF(E568=1,E569,D570)</f>
        <v/>
      </c>
      <c r="F570" s="26">
        <f>IF(F568=1,F569,E570)</f>
        <v/>
      </c>
      <c r="G570" s="26">
        <f>IF(G568=1,G569,F570)</f>
        <v/>
      </c>
      <c r="H570" s="26">
        <f>IF(H568=1,H569,G570)</f>
        <v/>
      </c>
      <c r="I570" s="26">
        <f>IF(I568=1,I569,H570)</f>
        <v/>
      </c>
      <c r="J570" s="26">
        <f>IF(J568=1,J569,I570)</f>
        <v/>
      </c>
      <c r="K570" s="26">
        <f>IF(K568=1,K569,J570)</f>
        <v/>
      </c>
      <c r="L570" s="26">
        <f>IF(L568=1,L569,K570)</f>
        <v/>
      </c>
      <c r="M570" s="26">
        <f>IF(M568=1,M569,L570)</f>
        <v/>
      </c>
      <c r="N570" s="26">
        <f>IF(N568=1,N569,M570)</f>
        <v/>
      </c>
    </row>
    <row r="571">
      <c r="B571" s="2" t="inlineStr">
        <is>
          <t>Rate base at the end of the test year</t>
        </is>
      </c>
      <c r="C571" s="5" t="inlineStr">
        <is>
          <t>$ million</t>
        </is>
      </c>
      <c r="E571" s="23">
        <f>INDEX($D$610:D$610,MATCH(MAX(E569,pr_close),$D$553:D$553,0))</f>
        <v/>
      </c>
      <c r="F571" s="23">
        <f>INDEX($D$610:E$610,MATCH(MAX(F569,pr_close),$D$553:E$553,0))</f>
        <v/>
      </c>
      <c r="G571" s="23">
        <f>INDEX($D$610:F$610,MATCH(MAX(G569,pr_close),$D$553:F$553,0))</f>
        <v/>
      </c>
      <c r="H571" s="23">
        <f>INDEX($D$610:G$610,MATCH(MAX(H569,pr_close),$D$553:G$553,0))</f>
        <v/>
      </c>
      <c r="I571" s="23">
        <f>INDEX($D$610:H$610,MATCH(MAX(I569,pr_close),$D$553:H$553,0))</f>
        <v/>
      </c>
      <c r="J571" s="23">
        <f>INDEX($D$610:I$610,MATCH(MAX(J569,pr_close),$D$553:I$553,0))</f>
        <v/>
      </c>
      <c r="K571" s="23">
        <f>INDEX($D$610:J$610,MATCH(MAX(K569,pr_close),$D$553:J$553,0))</f>
        <v/>
      </c>
      <c r="L571" s="23">
        <f>INDEX($D$610:K$610,MATCH(MAX(L569,pr_close),$D$553:K$553,0))</f>
        <v/>
      </c>
      <c r="M571" s="23">
        <f>INDEX($D$610:L$610,MATCH(MAX(M569,pr_close),$D$553:L$553,0))</f>
        <v/>
      </c>
      <c r="N571" s="23">
        <f>INDEX($D$610:M$610,MATCH(MAX(N569,pr_close),$D$553:M$553,0))</f>
        <v/>
      </c>
    </row>
    <row r="572">
      <c r="B572" s="2" t="inlineStr">
        <is>
          <t>Embedded cost of debt in the test year</t>
        </is>
      </c>
      <c r="C572" s="5" t="inlineStr">
        <is>
          <t>rate</t>
        </is>
      </c>
      <c r="E572" s="27">
        <f>INDEX($D$614:D$614,MATCH(MAX(E569,pr_close),$D$553:D$553,0))</f>
        <v/>
      </c>
      <c r="F572" s="27">
        <f>INDEX($D$614:E$614,MATCH(MAX(F569,pr_close),$D$553:E$553,0))</f>
        <v/>
      </c>
      <c r="G572" s="27">
        <f>INDEX($D$614:F$614,MATCH(MAX(G569,pr_close),$D$553:F$553,0))</f>
        <v/>
      </c>
      <c r="H572" s="27">
        <f>INDEX($D$614:G$614,MATCH(MAX(H569,pr_close),$D$553:G$553,0))</f>
        <v/>
      </c>
      <c r="I572" s="27">
        <f>INDEX($D$614:H$614,MATCH(MAX(I569,pr_close),$D$553:H$553,0))</f>
        <v/>
      </c>
      <c r="J572" s="27">
        <f>INDEX($D$614:I$614,MATCH(MAX(J569,pr_close),$D$553:I$553,0))</f>
        <v/>
      </c>
      <c r="K572" s="27">
        <f>INDEX($D$614:J$614,MATCH(MAX(K569,pr_close),$D$553:J$553,0))</f>
        <v/>
      </c>
      <c r="L572" s="27">
        <f>INDEX($D$614:K$614,MATCH(MAX(L569,pr_close),$D$553:K$553,0))</f>
        <v/>
      </c>
      <c r="M572" s="27">
        <f>INDEX($D$614:L$614,MATCH(MAX(M569,pr_close),$D$553:L$553,0))</f>
        <v/>
      </c>
      <c r="N572" s="27">
        <f>INDEX($D$614:M$614,MATCH(MAX(N569,pr_close),$D$553:M$553,0))</f>
        <v/>
      </c>
    </row>
    <row r="573">
      <c r="B573" s="2" t="inlineStr">
        <is>
          <t>O&amp;M in the test year</t>
        </is>
      </c>
      <c r="C573" s="5" t="inlineStr">
        <is>
          <t>$ million</t>
        </is>
      </c>
      <c r="E573" s="23">
        <f>INDEX($D$595:D$595,MATCH(MAX(E569,pr_close),$D$553:D$553,0))</f>
        <v/>
      </c>
      <c r="F573" s="23">
        <f>INDEX($D$595:E$595,MATCH(MAX(F569,pr_close),$D$553:E$553,0))</f>
        <v/>
      </c>
      <c r="G573" s="23">
        <f>INDEX($D$595:F$595,MATCH(MAX(G569,pr_close),$D$553:F$553,0))</f>
        <v/>
      </c>
      <c r="H573" s="23">
        <f>INDEX($D$595:G$595,MATCH(MAX(H569,pr_close),$D$553:G$553,0))</f>
        <v/>
      </c>
      <c r="I573" s="23">
        <f>INDEX($D$595:H$595,MATCH(MAX(I569,pr_close),$D$553:H$553,0))</f>
        <v/>
      </c>
      <c r="J573" s="23">
        <f>INDEX($D$595:I$595,MATCH(MAX(J569,pr_close),$D$553:I$553,0))</f>
        <v/>
      </c>
      <c r="K573" s="23">
        <f>INDEX($D$595:J$595,MATCH(MAX(K569,pr_close),$D$553:J$553,0))</f>
        <v/>
      </c>
      <c r="L573" s="23">
        <f>INDEX($D$595:K$595,MATCH(MAX(L569,pr_close),$D$553:K$553,0))</f>
        <v/>
      </c>
      <c r="M573" s="23">
        <f>INDEX($D$595:L$595,MATCH(MAX(M569,pr_close),$D$553:L$553,0))</f>
        <v/>
      </c>
      <c r="N573" s="23">
        <f>INDEX($D$595:M$595,MATCH(MAX(N569,pr_close),$D$553:M$553,0))</f>
        <v/>
      </c>
    </row>
    <row r="574">
      <c r="B574" s="2" t="inlineStr">
        <is>
          <t>Authorized return on rate base</t>
        </is>
      </c>
      <c r="C574" s="5" t="inlineStr">
        <is>
          <t>rate</t>
        </is>
      </c>
      <c r="E574" s="27">
        <f>(pr_eq*pr_roe+(1-pr_eq)*E572)</f>
        <v/>
      </c>
      <c r="F574" s="27">
        <f>(pr_eq*pr_roe+(1-pr_eq)*F572)</f>
        <v/>
      </c>
      <c r="G574" s="27">
        <f>(pr_eq*pr_roe+(1-pr_eq)*G572)</f>
        <v/>
      </c>
      <c r="H574" s="27">
        <f>(pr_eq*pr_roe+(1-pr_eq)*H572)</f>
        <v/>
      </c>
      <c r="I574" s="27">
        <f>(pr_eq*pr_roe+(1-pr_eq)*I572)</f>
        <v/>
      </c>
      <c r="J574" s="27">
        <f>(pr_eq*pr_roe+(1-pr_eq)*J572)</f>
        <v/>
      </c>
      <c r="K574" s="27">
        <f>(pr_eq*pr_roe+(1-pr_eq)*K572)</f>
        <v/>
      </c>
      <c r="L574" s="27">
        <f>(pr_eq*pr_roe+(1-pr_eq)*L572)</f>
        <v/>
      </c>
      <c r="M574" s="27">
        <f>(pr_eq*pr_roe+(1-pr_eq)*M572)</f>
        <v/>
      </c>
      <c r="N574" s="27">
        <f>(pr_eq*pr_roe+(1-pr_eq)*N572)</f>
        <v/>
      </c>
    </row>
    <row r="575">
      <c r="B575" s="2" t="inlineStr">
        <is>
          <t>Return</t>
        </is>
      </c>
      <c r="C575" s="5" t="inlineStr">
        <is>
          <t>$ million</t>
        </is>
      </c>
      <c r="E575" s="23">
        <f>E574*E571</f>
        <v/>
      </c>
      <c r="F575" s="23">
        <f>F574*F571</f>
        <v/>
      </c>
      <c r="G575" s="23">
        <f>G574*G571</f>
        <v/>
      </c>
      <c r="H575" s="23">
        <f>H574*H571</f>
        <v/>
      </c>
      <c r="I575" s="23">
        <f>I574*I571</f>
        <v/>
      </c>
      <c r="J575" s="23">
        <f>J574*J571</f>
        <v/>
      </c>
      <c r="K575" s="23">
        <f>K574*K571</f>
        <v/>
      </c>
      <c r="L575" s="23">
        <f>L574*L571</f>
        <v/>
      </c>
      <c r="M575" s="23">
        <f>M574*M571</f>
        <v/>
      </c>
      <c r="N575" s="23">
        <f>N574*N571</f>
        <v/>
      </c>
    </row>
    <row r="576">
      <c r="B576" s="2" t="inlineStr">
        <is>
          <t>Income tax gross-up</t>
        </is>
      </c>
      <c r="C576" s="5" t="inlineStr">
        <is>
          <t>$ million</t>
        </is>
      </c>
      <c r="E576" s="23">
        <f>(pr_eq*pr_roe*pr_tax/(1-pr_tax))*E571</f>
        <v/>
      </c>
      <c r="F576" s="23">
        <f>(pr_eq*pr_roe*pr_tax/(1-pr_tax))*F571</f>
        <v/>
      </c>
      <c r="G576" s="23">
        <f>(pr_eq*pr_roe*pr_tax/(1-pr_tax))*G571</f>
        <v/>
      </c>
      <c r="H576" s="23">
        <f>(pr_eq*pr_roe*pr_tax/(1-pr_tax))*H571</f>
        <v/>
      </c>
      <c r="I576" s="23">
        <f>(pr_eq*pr_roe*pr_tax/(1-pr_tax))*I571</f>
        <v/>
      </c>
      <c r="J576" s="23">
        <f>(pr_eq*pr_roe*pr_tax/(1-pr_tax))*J571</f>
        <v/>
      </c>
      <c r="K576" s="23">
        <f>(pr_eq*pr_roe*pr_tax/(1-pr_tax))*K571</f>
        <v/>
      </c>
      <c r="L576" s="23">
        <f>(pr_eq*pr_roe*pr_tax/(1-pr_tax))*L571</f>
        <v/>
      </c>
      <c r="M576" s="23">
        <f>(pr_eq*pr_roe*pr_tax/(1-pr_tax))*M571</f>
        <v/>
      </c>
      <c r="N576" s="23">
        <f>(pr_eq*pr_roe*pr_tax/(1-pr_tax))*N571</f>
        <v/>
      </c>
    </row>
    <row r="577">
      <c r="B577" s="2" t="inlineStr">
        <is>
          <t>Depreciation</t>
        </is>
      </c>
      <c r="C577" s="5" t="inlineStr">
        <is>
          <t>$ million</t>
        </is>
      </c>
      <c r="E577" s="23">
        <f>pr_dep*E571</f>
        <v/>
      </c>
      <c r="F577" s="23">
        <f>pr_dep*F571</f>
        <v/>
      </c>
      <c r="G577" s="23">
        <f>pr_dep*G571</f>
        <v/>
      </c>
      <c r="H577" s="23">
        <f>pr_dep*H571</f>
        <v/>
      </c>
      <c r="I577" s="23">
        <f>pr_dep*I571</f>
        <v/>
      </c>
      <c r="J577" s="23">
        <f>pr_dep*J571</f>
        <v/>
      </c>
      <c r="K577" s="23">
        <f>pr_dep*K571</f>
        <v/>
      </c>
      <c r="L577" s="23">
        <f>pr_dep*L571</f>
        <v/>
      </c>
      <c r="M577" s="23">
        <f>pr_dep*M571</f>
        <v/>
      </c>
      <c r="N577" s="23">
        <f>pr_dep*N571</f>
        <v/>
      </c>
    </row>
    <row r="578">
      <c r="B578" s="2" t="inlineStr">
        <is>
          <t>Other taxes</t>
        </is>
      </c>
      <c r="C578" s="5" t="inlineStr">
        <is>
          <t>$ million</t>
        </is>
      </c>
      <c r="E578" s="23">
        <f>pr_ptax*E571</f>
        <v/>
      </c>
      <c r="F578" s="23">
        <f>pr_ptax*F571</f>
        <v/>
      </c>
      <c r="G578" s="23">
        <f>pr_ptax*G571</f>
        <v/>
      </c>
      <c r="H578" s="23">
        <f>pr_ptax*H571</f>
        <v/>
      </c>
      <c r="I578" s="23">
        <f>pr_ptax*I571</f>
        <v/>
      </c>
      <c r="J578" s="23">
        <f>pr_ptax*J571</f>
        <v/>
      </c>
      <c r="K578" s="23">
        <f>pr_ptax*K571</f>
        <v/>
      </c>
      <c r="L578" s="23">
        <f>pr_ptax*L571</f>
        <v/>
      </c>
      <c r="M578" s="23">
        <f>pr_ptax*M571</f>
        <v/>
      </c>
      <c r="N578" s="23">
        <f>pr_ptax*N571</f>
        <v/>
      </c>
    </row>
    <row r="579">
      <c r="B579" s="2" t="inlineStr">
        <is>
          <t>O&amp;M (test year, known and measurable)</t>
        </is>
      </c>
      <c r="C579" s="5" t="inlineStr">
        <is>
          <t>$ million</t>
        </is>
      </c>
      <c r="E579" s="23">
        <f>E573*(1+pr_om_infl)*(1+pr_growth)</f>
        <v/>
      </c>
      <c r="F579" s="23">
        <f>F573*(1+pr_om_infl)*(1+pr_growth)</f>
        <v/>
      </c>
      <c r="G579" s="23">
        <f>G573*(1+pr_om_infl)*(1+pr_growth)</f>
        <v/>
      </c>
      <c r="H579" s="23">
        <f>H573*(1+pr_om_infl)*(1+pr_growth)</f>
        <v/>
      </c>
      <c r="I579" s="23">
        <f>I573*(1+pr_om_infl)*(1+pr_growth)</f>
        <v/>
      </c>
      <c r="J579" s="23">
        <f>J573*(1+pr_om_infl)*(1+pr_growth)</f>
        <v/>
      </c>
      <c r="K579" s="23">
        <f>K573*(1+pr_om_infl)*(1+pr_growth)</f>
        <v/>
      </c>
      <c r="L579" s="23">
        <f>L573*(1+pr_om_infl)*(1+pr_growth)</f>
        <v/>
      </c>
      <c r="M579" s="23">
        <f>M573*(1+pr_om_infl)*(1+pr_growth)</f>
        <v/>
      </c>
      <c r="N579" s="23">
        <f>N573*(1+pr_om_infl)*(1+pr_growth)</f>
        <v/>
      </c>
    </row>
    <row r="580">
      <c r="B580" s="2" t="inlineStr">
        <is>
          <t>Revenue requirement (test-year connections)</t>
        </is>
      </c>
      <c r="C580" s="5" t="inlineStr">
        <is>
          <t>$ million</t>
        </is>
      </c>
      <c r="E580" s="23">
        <f>SUM(E575:E579)</f>
        <v/>
      </c>
      <c r="F580" s="23">
        <f>SUM(F575:F579)</f>
        <v/>
      </c>
      <c r="G580" s="23">
        <f>SUM(G575:G579)</f>
        <v/>
      </c>
      <c r="H580" s="23">
        <f>SUM(H575:H579)</f>
        <v/>
      </c>
      <c r="I580" s="23">
        <f>SUM(I575:I579)</f>
        <v/>
      </c>
      <c r="J580" s="23">
        <f>SUM(J575:J579)</f>
        <v/>
      </c>
      <c r="K580" s="23">
        <f>SUM(K575:K579)</f>
        <v/>
      </c>
      <c r="L580" s="23">
        <f>SUM(L575:L579)</f>
        <v/>
      </c>
      <c r="M580" s="23">
        <f>SUM(M575:M579)</f>
        <v/>
      </c>
      <c r="N580" s="23">
        <f>SUM(N575:N579)</f>
        <v/>
      </c>
    </row>
    <row r="581">
      <c r="B581" s="2" t="inlineStr">
        <is>
          <t>Revenue requirement on effective-year connections</t>
        </is>
      </c>
      <c r="C581" s="5" t="inlineStr">
        <is>
          <t>$ million</t>
        </is>
      </c>
      <c r="E581" s="23">
        <f>E580*(1+pr_growth)</f>
        <v/>
      </c>
      <c r="F581" s="23">
        <f>F580*(1+pr_growth)</f>
        <v/>
      </c>
      <c r="G581" s="23">
        <f>G580*(1+pr_growth)</f>
        <v/>
      </c>
      <c r="H581" s="23">
        <f>H580*(1+pr_growth)</f>
        <v/>
      </c>
      <c r="I581" s="23">
        <f>I580*(1+pr_growth)</f>
        <v/>
      </c>
      <c r="J581" s="23">
        <f>J580*(1+pr_growth)</f>
        <v/>
      </c>
      <c r="K581" s="23">
        <f>K580*(1+pr_growth)</f>
        <v/>
      </c>
      <c r="L581" s="23">
        <f>L580*(1+pr_growth)</f>
        <v/>
      </c>
      <c r="M581" s="23">
        <f>M580*(1+pr_growth)</f>
        <v/>
      </c>
      <c r="N581" s="23">
        <f>N580*(1+pr_growth)</f>
        <v/>
      </c>
    </row>
    <row r="582">
      <c r="B582" s="2" t="inlineStr">
        <is>
          <t>Revenue at existing rates</t>
        </is>
      </c>
      <c r="C582" s="5" t="inlineStr">
        <is>
          <t>$ million</t>
        </is>
      </c>
      <c r="E582" s="23">
        <f>IF(E553=(pr_close+1),D588,D588*(1+pr_growth)*(1-pr_vol_share*IF(pr_decoupling=1,0,pr_usage))+D589+D591)</f>
        <v/>
      </c>
      <c r="F582" s="23">
        <f>IF(F553=(pr_close+1),E588,E588*(1+pr_growth)*(1-pr_vol_share*IF(pr_decoupling=1,0,pr_usage))+E589+E591)</f>
        <v/>
      </c>
      <c r="G582" s="23">
        <f>IF(G553=(pr_close+1),F588,F588*(1+pr_growth)*(1-pr_vol_share*IF(pr_decoupling=1,0,pr_usage))+F589+F591)</f>
        <v/>
      </c>
      <c r="H582" s="23">
        <f>IF(H553=(pr_close+1),G588,G588*(1+pr_growth)*(1-pr_vol_share*IF(pr_decoupling=1,0,pr_usage))+G589+G591)</f>
        <v/>
      </c>
      <c r="I582" s="23">
        <f>IF(I553=(pr_close+1),H588,H588*(1+pr_growth)*(1-pr_vol_share*IF(pr_decoupling=1,0,pr_usage))+H589+H591)</f>
        <v/>
      </c>
      <c r="J582" s="23">
        <f>IF(J553=(pr_close+1),I588,I588*(1+pr_growth)*(1-pr_vol_share*IF(pr_decoupling=1,0,pr_usage))+I589+I591)</f>
        <v/>
      </c>
      <c r="K582" s="23">
        <f>IF(K553=(pr_close+1),J588,J588*(1+pr_growth)*(1-pr_vol_share*IF(pr_decoupling=1,0,pr_usage))+J589+J591)</f>
        <v/>
      </c>
      <c r="L582" s="23">
        <f>IF(L553=(pr_close+1),K588,K588*(1+pr_growth)*(1-pr_vol_share*IF(pr_decoupling=1,0,pr_usage))+K589+K591)</f>
        <v/>
      </c>
      <c r="M582" s="23">
        <f>IF(M553=(pr_close+1),L588,L588*(1+pr_growth)*(1-pr_vol_share*IF(pr_decoupling=1,0,pr_usage))+L589+L591)</f>
        <v/>
      </c>
      <c r="N582" s="23">
        <f>IF(N553=(pr_close+1),M588,M588*(1+pr_growth)*(1-pr_vol_share*IF(pr_decoupling=1,0,pr_usage))+M589+M591)</f>
        <v/>
      </c>
    </row>
    <row r="583">
      <c r="B583" s="2" t="inlineStr">
        <is>
          <t>Increase granted</t>
        </is>
      </c>
      <c r="C583" s="5" t="inlineStr">
        <is>
          <t>share</t>
        </is>
      </c>
      <c r="E583" s="20">
        <f>E581/E582-1</f>
        <v/>
      </c>
      <c r="F583" s="20">
        <f>F581/F582-1</f>
        <v/>
      </c>
      <c r="G583" s="20">
        <f>G581/G582-1</f>
        <v/>
      </c>
      <c r="H583" s="20">
        <f>H581/H582-1</f>
        <v/>
      </c>
      <c r="I583" s="20">
        <f>I581/I582-1</f>
        <v/>
      </c>
      <c r="J583" s="20">
        <f>J581/J582-1</f>
        <v/>
      </c>
      <c r="K583" s="20">
        <f>K581/K582-1</f>
        <v/>
      </c>
      <c r="L583" s="20">
        <f>L581/L582-1</f>
        <v/>
      </c>
      <c r="M583" s="20">
        <f>M581/M582-1</f>
        <v/>
      </c>
      <c r="N583" s="20">
        <f>N581/N582-1</f>
        <v/>
      </c>
    </row>
    <row r="584">
      <c r="B584" s="2" t="inlineStr">
        <is>
          <t>Revenue requirement requested (at the requested ROE)</t>
        </is>
      </c>
      <c r="C584" s="5" t="inlineStr">
        <is>
          <t>$ million</t>
        </is>
      </c>
      <c r="E584" s="23">
        <f>(pr_eq*pr_roe_ask+(1-pr_eq)*E572)*E571+pr_eq*pr_roe_ask*E571*pr_tax/(1-pr_tax)+E577+E578+E579</f>
        <v/>
      </c>
      <c r="F584" s="23">
        <f>(pr_eq*pr_roe_ask+(1-pr_eq)*F572)*F571+pr_eq*pr_roe_ask*F571*pr_tax/(1-pr_tax)+F577+F578+F579</f>
        <v/>
      </c>
      <c r="G584" s="23">
        <f>(pr_eq*pr_roe_ask+(1-pr_eq)*G572)*G571+pr_eq*pr_roe_ask*G571*pr_tax/(1-pr_tax)+G577+G578+G579</f>
        <v/>
      </c>
      <c r="H584" s="23">
        <f>(pr_eq*pr_roe_ask+(1-pr_eq)*H572)*H571+pr_eq*pr_roe_ask*H571*pr_tax/(1-pr_tax)+H577+H578+H579</f>
        <v/>
      </c>
      <c r="I584" s="23">
        <f>(pr_eq*pr_roe_ask+(1-pr_eq)*I572)*I571+pr_eq*pr_roe_ask*I571*pr_tax/(1-pr_tax)+I577+I578+I579</f>
        <v/>
      </c>
      <c r="J584" s="23">
        <f>(pr_eq*pr_roe_ask+(1-pr_eq)*J572)*J571+pr_eq*pr_roe_ask*J571*pr_tax/(1-pr_tax)+J577+J578+J579</f>
        <v/>
      </c>
      <c r="K584" s="23">
        <f>(pr_eq*pr_roe_ask+(1-pr_eq)*K572)*K571+pr_eq*pr_roe_ask*K571*pr_tax/(1-pr_tax)+K577+K578+K579</f>
        <v/>
      </c>
      <c r="L584" s="23">
        <f>(pr_eq*pr_roe_ask+(1-pr_eq)*L572)*L571+pr_eq*pr_roe_ask*L571*pr_tax/(1-pr_tax)+L577+L578+L579</f>
        <v/>
      </c>
      <c r="M584" s="23">
        <f>(pr_eq*pr_roe_ask+(1-pr_eq)*M572)*M571+pr_eq*pr_roe_ask*M571*pr_tax/(1-pr_tax)+M577+M578+M579</f>
        <v/>
      </c>
      <c r="N584" s="23">
        <f>(pr_eq*pr_roe_ask+(1-pr_eq)*N572)*N571+pr_eq*pr_roe_ask*N571*pr_tax/(1-pr_tax)+N577+N578+N579</f>
        <v/>
      </c>
    </row>
    <row r="585">
      <c r="B585" s="2" t="inlineStr">
        <is>
          <t>Increase requested</t>
        </is>
      </c>
      <c r="C585" s="5" t="inlineStr">
        <is>
          <t>share</t>
        </is>
      </c>
      <c r="E585" s="20">
        <f>E584*(1+pr_growth)/E582-1</f>
        <v/>
      </c>
      <c r="F585" s="20">
        <f>F584*(1+pr_growth)/F582-1</f>
        <v/>
      </c>
      <c r="G585" s="20">
        <f>G584*(1+pr_growth)/G582-1</f>
        <v/>
      </c>
      <c r="H585" s="20">
        <f>H584*(1+pr_growth)/H582-1</f>
        <v/>
      </c>
      <c r="I585" s="20">
        <f>I584*(1+pr_growth)/I582-1</f>
        <v/>
      </c>
      <c r="J585" s="20">
        <f>J584*(1+pr_growth)/J582-1</f>
        <v/>
      </c>
      <c r="K585" s="20">
        <f>K584*(1+pr_growth)/K582-1</f>
        <v/>
      </c>
      <c r="L585" s="20">
        <f>L584*(1+pr_growth)/L582-1</f>
        <v/>
      </c>
      <c r="M585" s="20">
        <f>M584*(1+pr_growth)/M582-1</f>
        <v/>
      </c>
      <c r="N585" s="20">
        <f>N584*(1+pr_growth)/N582-1</f>
        <v/>
      </c>
    </row>
    <row r="587">
      <c r="B587" s="6" t="inlineStr">
        <is>
          <t>Revenue ($ million)</t>
        </is>
      </c>
      <c r="C587" s="7" t="n"/>
      <c r="D587" s="7" t="n"/>
      <c r="E587" s="7" t="n"/>
      <c r="F587" s="7" t="n"/>
      <c r="G587" s="7" t="n"/>
      <c r="H587" s="7" t="n"/>
      <c r="I587" s="7" t="n"/>
      <c r="J587" s="7" t="n"/>
      <c r="K587" s="7" t="n"/>
      <c r="L587" s="7" t="n"/>
      <c r="M587" s="7" t="n"/>
      <c r="N587" s="7" t="n"/>
    </row>
    <row r="588">
      <c r="B588" s="2" t="inlineStr">
        <is>
          <t>Base revenue (rate case, or prior year x growth x volume erosion)</t>
        </is>
      </c>
      <c r="C588" s="5" t="inlineStr">
        <is>
          <t>$ million</t>
        </is>
      </c>
      <c r="D588" s="23">
        <f>pr_rev_2028/((1+pr_growth)*(1-pr_vol_share*IF(pr_decoupling=1,0,pr_usage)))</f>
        <v/>
      </c>
      <c r="E588" s="23">
        <f>IF(E568=1,E581,D588*(1+pr_growth)*(1-pr_vol_share*IF(pr_decoupling=1,0,pr_usage)))</f>
        <v/>
      </c>
      <c r="F588" s="23">
        <f>IF(F568=1,F581,E588*(1+pr_growth)*(1-pr_vol_share*IF(pr_decoupling=1,0,pr_usage)))</f>
        <v/>
      </c>
      <c r="G588" s="23">
        <f>IF(G568=1,G581,F588*(1+pr_growth)*(1-pr_vol_share*IF(pr_decoupling=1,0,pr_usage)))</f>
        <v/>
      </c>
      <c r="H588" s="23">
        <f>IF(H568=1,H581,G588*(1+pr_growth)*(1-pr_vol_share*IF(pr_decoupling=1,0,pr_usage)))</f>
        <v/>
      </c>
      <c r="I588" s="23">
        <f>IF(I568=1,I581,H588*(1+pr_growth)*(1-pr_vol_share*IF(pr_decoupling=1,0,pr_usage)))</f>
        <v/>
      </c>
      <c r="J588" s="23">
        <f>IF(J568=1,J581,I588*(1+pr_growth)*(1-pr_vol_share*IF(pr_decoupling=1,0,pr_usage)))</f>
        <v/>
      </c>
      <c r="K588" s="23">
        <f>IF(K568=1,K581,J588*(1+pr_growth)*(1-pr_vol_share*IF(pr_decoupling=1,0,pr_usage)))</f>
        <v/>
      </c>
      <c r="L588" s="23">
        <f>IF(L568=1,L581,K588*(1+pr_growth)*(1-pr_vol_share*IF(pr_decoupling=1,0,pr_usage)))</f>
        <v/>
      </c>
      <c r="M588" s="23">
        <f>IF(M568=1,M581,L588*(1+pr_growth)*(1-pr_vol_share*IF(pr_decoupling=1,0,pr_usage)))</f>
        <v/>
      </c>
      <c r="N588" s="23">
        <f>IF(N568=1,N581,M588*(1+pr_growth)*(1-pr_vol_share*IF(pr_decoupling=1,0,pr_usage)))</f>
        <v/>
      </c>
    </row>
    <row r="589">
      <c r="B589" s="2" t="inlineStr">
        <is>
          <t>Fennick revenue at its old rates (until the next rate case)</t>
        </is>
      </c>
      <c r="C589" s="5" t="inlineStr">
        <is>
          <t>$ million</t>
        </is>
      </c>
      <c r="E589" s="23">
        <f>IF(AND(pr_fen_on=1,E553&gt;pr_fen_year,SUMIFS($D$568:E$568,$D$553:E$553,"&gt;"&amp;pr_fen_year)=0),pr_fen_rev,0)</f>
        <v/>
      </c>
      <c r="F589" s="23">
        <f>IF(AND(pr_fen_on=1,F553&gt;pr_fen_year,SUMIFS($D$568:F$568,$D$553:F$553,"&gt;"&amp;pr_fen_year)=0),pr_fen_rev,0)</f>
        <v/>
      </c>
      <c r="G589" s="23">
        <f>IF(AND(pr_fen_on=1,G553&gt;pr_fen_year,SUMIFS($D$568:G$568,$D$553:G$553,"&gt;"&amp;pr_fen_year)=0),pr_fen_rev,0)</f>
        <v/>
      </c>
      <c r="H589" s="23">
        <f>IF(AND(pr_fen_on=1,H553&gt;pr_fen_year,SUMIFS($D$568:H$568,$D$553:H$553,"&gt;"&amp;pr_fen_year)=0),pr_fen_rev,0)</f>
        <v/>
      </c>
      <c r="I589" s="23">
        <f>IF(AND(pr_fen_on=1,I553&gt;pr_fen_year,SUMIFS($D$568:I$568,$D$553:I$553,"&gt;"&amp;pr_fen_year)=0),pr_fen_rev,0)</f>
        <v/>
      </c>
      <c r="J589" s="23">
        <f>IF(AND(pr_fen_on=1,J553&gt;pr_fen_year,SUMIFS($D$568:J$568,$D$553:J$553,"&gt;"&amp;pr_fen_year)=0),pr_fen_rev,0)</f>
        <v/>
      </c>
      <c r="K589" s="23">
        <f>IF(AND(pr_fen_on=1,K553&gt;pr_fen_year,SUMIFS($D$568:K$568,$D$553:K$553,"&gt;"&amp;pr_fen_year)=0),pr_fen_rev,0)</f>
        <v/>
      </c>
      <c r="L589" s="23">
        <f>IF(AND(pr_fen_on=1,L553&gt;pr_fen_year,SUMIFS($D$568:L$568,$D$553:L$553,"&gt;"&amp;pr_fen_year)=0),pr_fen_rev,0)</f>
        <v/>
      </c>
      <c r="M589" s="23">
        <f>IF(AND(pr_fen_on=1,M553&gt;pr_fen_year,SUMIFS($D$568:M$568,$D$553:M$553,"&gt;"&amp;pr_fen_year)=0),pr_fen_rev,0)</f>
        <v/>
      </c>
      <c r="N589" s="23">
        <f>IF(AND(pr_fen_on=1,N553&gt;pr_fen_year,SUMIFS($D$568:N$568,$D$553:N$553,"&gt;"&amp;pr_fen_year)=0),pr_fen_rev,0)</f>
        <v/>
      </c>
    </row>
    <row r="590">
      <c r="B590" s="2" t="inlineStr">
        <is>
          <t>DSIC pool: eligible plant since the latest test year</t>
        </is>
      </c>
      <c r="C590" s="5" t="inlineStr">
        <is>
          <t>$ million</t>
        </is>
      </c>
      <c r="E590" s="23">
        <f>IF(E553=(pr_close+1),0,SUMIFS($D$565:D$565,$D$553:D$553,"&gt;"&amp;E570))</f>
        <v/>
      </c>
      <c r="F590" s="23">
        <f>IF(F553=(pr_close+1),0,SUMIFS($D$565:E$565,$D$553:E$553,"&gt;"&amp;F570))</f>
        <v/>
      </c>
      <c r="G590" s="23">
        <f>IF(G553=(pr_close+1),0,SUMIFS($D$565:F$565,$D$553:F$553,"&gt;"&amp;G570))</f>
        <v/>
      </c>
      <c r="H590" s="23">
        <f>IF(H553=(pr_close+1),0,SUMIFS($D$565:G$565,$D$553:G$553,"&gt;"&amp;H570))</f>
        <v/>
      </c>
      <c r="I590" s="23">
        <f>IF(I553=(pr_close+1),0,SUMIFS($D$565:H$565,$D$553:H$553,"&gt;"&amp;I570))</f>
        <v/>
      </c>
      <c r="J590" s="23">
        <f>IF(J553=(pr_close+1),0,SUMIFS($D$565:I$565,$D$553:I$553,"&gt;"&amp;J570))</f>
        <v/>
      </c>
      <c r="K590" s="23">
        <f>IF(K553=(pr_close+1),0,SUMIFS($D$565:J$565,$D$553:J$553,"&gt;"&amp;K570))</f>
        <v/>
      </c>
      <c r="L590" s="23">
        <f>IF(L553=(pr_close+1),0,SUMIFS($D$565:K$565,$D$553:K$553,"&gt;"&amp;L570))</f>
        <v/>
      </c>
      <c r="M590" s="23">
        <f>IF(M553=(pr_close+1),0,SUMIFS($D$565:L$565,$D$553:L$553,"&gt;"&amp;M570))</f>
        <v/>
      </c>
      <c r="N590" s="23">
        <f>IF(N553=(pr_close+1),0,SUMIFS($D$565:M$565,$D$553:M$553,"&gt;"&amp;N570))</f>
        <v/>
      </c>
    </row>
    <row r="591">
      <c r="B591" s="2" t="inlineStr">
        <is>
          <t>DSIC surcharge (capped)</t>
        </is>
      </c>
      <c r="C591" s="5" t="inlineStr">
        <is>
          <t>$ million</t>
        </is>
      </c>
      <c r="E591" s="23">
        <f>IF(AND(pr_dsic=1,E553&gt;(pr_close+1)),MIN(pr_dsic_cap*E588,E590*((pr_eq*pr_roe+(1-pr_eq)*D614)+(pr_eq*pr_roe*pr_tax/(1-pr_tax))+pr_dep)),0)</f>
        <v/>
      </c>
      <c r="F591" s="23">
        <f>IF(AND(pr_dsic=1,F553&gt;(pr_close+1)),MIN(pr_dsic_cap*F588,F590*((pr_eq*pr_roe+(1-pr_eq)*E614)+(pr_eq*pr_roe*pr_tax/(1-pr_tax))+pr_dep)),0)</f>
        <v/>
      </c>
      <c r="G591" s="23">
        <f>IF(AND(pr_dsic=1,G553&gt;(pr_close+1)),MIN(pr_dsic_cap*G588,G590*((pr_eq*pr_roe+(1-pr_eq)*F614)+(pr_eq*pr_roe*pr_tax/(1-pr_tax))+pr_dep)),0)</f>
        <v/>
      </c>
      <c r="H591" s="23">
        <f>IF(AND(pr_dsic=1,H553&gt;(pr_close+1)),MIN(pr_dsic_cap*H588,H590*((pr_eq*pr_roe+(1-pr_eq)*G614)+(pr_eq*pr_roe*pr_tax/(1-pr_tax))+pr_dep)),0)</f>
        <v/>
      </c>
      <c r="I591" s="23">
        <f>IF(AND(pr_dsic=1,I553&gt;(pr_close+1)),MIN(pr_dsic_cap*I588,I590*((pr_eq*pr_roe+(1-pr_eq)*H614)+(pr_eq*pr_roe*pr_tax/(1-pr_tax))+pr_dep)),0)</f>
        <v/>
      </c>
      <c r="J591" s="23">
        <f>IF(AND(pr_dsic=1,J553&gt;(pr_close+1)),MIN(pr_dsic_cap*J588,J590*((pr_eq*pr_roe+(1-pr_eq)*I614)+(pr_eq*pr_roe*pr_tax/(1-pr_tax))+pr_dep)),0)</f>
        <v/>
      </c>
      <c r="K591" s="23">
        <f>IF(AND(pr_dsic=1,K553&gt;(pr_close+1)),MIN(pr_dsic_cap*K588,K590*((pr_eq*pr_roe+(1-pr_eq)*J614)+(pr_eq*pr_roe*pr_tax/(1-pr_tax))+pr_dep)),0)</f>
        <v/>
      </c>
      <c r="L591" s="23">
        <f>IF(AND(pr_dsic=1,L553&gt;(pr_close+1)),MIN(pr_dsic_cap*L588,L590*((pr_eq*pr_roe+(1-pr_eq)*K614)+(pr_eq*pr_roe*pr_tax/(1-pr_tax))+pr_dep)),0)</f>
        <v/>
      </c>
      <c r="M591" s="23">
        <f>IF(AND(pr_dsic=1,M553&gt;(pr_close+1)),MIN(pr_dsic_cap*M588,M590*((pr_eq*pr_roe+(1-pr_eq)*L614)+(pr_eq*pr_roe*pr_tax/(1-pr_tax))+pr_dep)),0)</f>
        <v/>
      </c>
      <c r="N591" s="23">
        <f>IF(AND(pr_dsic=1,N553&gt;(pr_close+1)),MIN(pr_dsic_cap*N588,N590*((pr_eq*pr_roe+(1-pr_eq)*M614)+(pr_eq*pr_roe*pr_tax/(1-pr_tax))+pr_dep)),0)</f>
        <v/>
      </c>
    </row>
    <row r="592">
      <c r="B592" s="3" t="inlineStr">
        <is>
          <t>Revenue</t>
        </is>
      </c>
      <c r="C592" s="5" t="inlineStr">
        <is>
          <t>$ million</t>
        </is>
      </c>
      <c r="E592" s="23">
        <f>E588+E589+E591</f>
        <v/>
      </c>
      <c r="F592" s="23">
        <f>F588+F589+F591</f>
        <v/>
      </c>
      <c r="G592" s="23">
        <f>G588+G589+G591</f>
        <v/>
      </c>
      <c r="H592" s="23">
        <f>H588+H589+H591</f>
        <v/>
      </c>
      <c r="I592" s="23">
        <f>I588+I589+I591</f>
        <v/>
      </c>
      <c r="J592" s="23">
        <f>J588+J589+J591</f>
        <v/>
      </c>
      <c r="K592" s="23">
        <f>K588+K589+K591</f>
        <v/>
      </c>
      <c r="L592" s="23">
        <f>L588+L589+L591</f>
        <v/>
      </c>
      <c r="M592" s="23">
        <f>M588+M589+M591</f>
        <v/>
      </c>
      <c r="N592" s="23">
        <f>N588+N589+N591</f>
        <v/>
      </c>
    </row>
    <row r="594">
      <c r="B594" s="6" t="inlineStr">
        <is>
          <t>Costs and income ($ million)</t>
        </is>
      </c>
      <c r="C594" s="7" t="n"/>
      <c r="D594" s="7" t="n"/>
      <c r="E594" s="7" t="n"/>
      <c r="F594" s="7" t="n"/>
      <c r="G594" s="7" t="n"/>
      <c r="H594" s="7" t="n"/>
      <c r="I594" s="7" t="n"/>
      <c r="J594" s="7" t="n"/>
      <c r="K594" s="7" t="n"/>
      <c r="L594" s="7" t="n"/>
      <c r="M594" s="7" t="n"/>
      <c r="N594" s="7" t="n"/>
    </row>
    <row r="595">
      <c r="B595" s="2" t="inlineStr">
        <is>
          <t>Operation and maintenance (with PFAS and Fennick)</t>
        </is>
      </c>
      <c r="C595" s="5" t="inlineStr">
        <is>
          <t>$ million</t>
        </is>
      </c>
      <c r="D595" s="23">
        <f>pr_om_2028/((1+pr_om_infl)*(1+pr_growth))</f>
        <v/>
      </c>
      <c r="E595" s="23">
        <f>pr_om_2028*((1+pr_om_infl)*(1+pr_growth))^E554+IF(E553&gt;=pr_pfas_om_y+pr_pfas_delay,pr_pfas_om*(1+pr_pfas_om_esc)^(E553-pr_pfas_om_y),0)+IF(AND(pr_fen_on=1,E553&gt;pr_fen_year),pr_fen_om*(1+pr_fen_esc)^(E553-pr_fen_year-1),0)</f>
        <v/>
      </c>
      <c r="F595" s="23">
        <f>pr_om_2028*((1+pr_om_infl)*(1+pr_growth))^F554+IF(F553&gt;=pr_pfas_om_y+pr_pfas_delay,pr_pfas_om*(1+pr_pfas_om_esc)^(F553-pr_pfas_om_y),0)+IF(AND(pr_fen_on=1,F553&gt;pr_fen_year),pr_fen_om*(1+pr_fen_esc)^(F553-pr_fen_year-1),0)</f>
        <v/>
      </c>
      <c r="G595" s="23">
        <f>pr_om_2028*((1+pr_om_infl)*(1+pr_growth))^G554+IF(G553&gt;=pr_pfas_om_y+pr_pfas_delay,pr_pfas_om*(1+pr_pfas_om_esc)^(G553-pr_pfas_om_y),0)+IF(AND(pr_fen_on=1,G553&gt;pr_fen_year),pr_fen_om*(1+pr_fen_esc)^(G553-pr_fen_year-1),0)</f>
        <v/>
      </c>
      <c r="H595" s="23">
        <f>pr_om_2028*((1+pr_om_infl)*(1+pr_growth))^H554+IF(H553&gt;=pr_pfas_om_y+pr_pfas_delay,pr_pfas_om*(1+pr_pfas_om_esc)^(H553-pr_pfas_om_y),0)+IF(AND(pr_fen_on=1,H553&gt;pr_fen_year),pr_fen_om*(1+pr_fen_esc)^(H553-pr_fen_year-1),0)</f>
        <v/>
      </c>
      <c r="I595" s="23">
        <f>pr_om_2028*((1+pr_om_infl)*(1+pr_growth))^I554+IF(I553&gt;=pr_pfas_om_y+pr_pfas_delay,pr_pfas_om*(1+pr_pfas_om_esc)^(I553-pr_pfas_om_y),0)+IF(AND(pr_fen_on=1,I553&gt;pr_fen_year),pr_fen_om*(1+pr_fen_esc)^(I553-pr_fen_year-1),0)</f>
        <v/>
      </c>
      <c r="J595" s="23">
        <f>pr_om_2028*((1+pr_om_infl)*(1+pr_growth))^J554+IF(J553&gt;=pr_pfas_om_y+pr_pfas_delay,pr_pfas_om*(1+pr_pfas_om_esc)^(J553-pr_pfas_om_y),0)+IF(AND(pr_fen_on=1,J553&gt;pr_fen_year),pr_fen_om*(1+pr_fen_esc)^(J553-pr_fen_year-1),0)</f>
        <v/>
      </c>
      <c r="K595" s="23">
        <f>pr_om_2028*((1+pr_om_infl)*(1+pr_growth))^K554+IF(K553&gt;=pr_pfas_om_y+pr_pfas_delay,pr_pfas_om*(1+pr_pfas_om_esc)^(K553-pr_pfas_om_y),0)+IF(AND(pr_fen_on=1,K553&gt;pr_fen_year),pr_fen_om*(1+pr_fen_esc)^(K553-pr_fen_year-1),0)</f>
        <v/>
      </c>
      <c r="L595" s="23">
        <f>pr_om_2028*((1+pr_om_infl)*(1+pr_growth))^L554+IF(L553&gt;=pr_pfas_om_y+pr_pfas_delay,pr_pfas_om*(1+pr_pfas_om_esc)^(L553-pr_pfas_om_y),0)+IF(AND(pr_fen_on=1,L553&gt;pr_fen_year),pr_fen_om*(1+pr_fen_esc)^(L553-pr_fen_year-1),0)</f>
        <v/>
      </c>
      <c r="M595" s="23">
        <f>pr_om_2028*((1+pr_om_infl)*(1+pr_growth))^M554+IF(M553&gt;=pr_pfas_om_y+pr_pfas_delay,pr_pfas_om*(1+pr_pfas_om_esc)^(M553-pr_pfas_om_y),0)+IF(AND(pr_fen_on=1,M553&gt;pr_fen_year),pr_fen_om*(1+pr_fen_esc)^(M553-pr_fen_year-1),0)</f>
        <v/>
      </c>
      <c r="N595" s="23">
        <f>pr_om_2028*((1+pr_om_infl)*(1+pr_growth))^N554+IF(N553&gt;=pr_pfas_om_y+pr_pfas_delay,pr_pfas_om*(1+pr_pfas_om_esc)^(N553-pr_pfas_om_y),0)+IF(AND(pr_fen_on=1,N553&gt;pr_fen_year),pr_fen_om*(1+pr_fen_esc)^(N553-pr_fen_year-1),0)</f>
        <v/>
      </c>
    </row>
    <row r="596">
      <c r="B596" s="2" t="inlineStr">
        <is>
          <t>Customer-side lead cost expensed</t>
        </is>
      </c>
      <c r="C596" s="5" t="inlineStr">
        <is>
          <t>$ million</t>
        </is>
      </c>
      <c r="E596" s="23">
        <f>Inputs!$C$238*E562*pr_lead_cust</f>
        <v/>
      </c>
      <c r="F596" s="23">
        <f>Inputs!$C$238*F562*pr_lead_cust</f>
        <v/>
      </c>
      <c r="G596" s="23">
        <f>Inputs!$C$238*G562*pr_lead_cust</f>
        <v/>
      </c>
      <c r="H596" s="23">
        <f>Inputs!$C$238*H562*pr_lead_cust</f>
        <v/>
      </c>
      <c r="I596" s="23">
        <f>Inputs!$C$238*I562*pr_lead_cust</f>
        <v/>
      </c>
      <c r="J596" s="23">
        <f>Inputs!$C$238*J562*pr_lead_cust</f>
        <v/>
      </c>
      <c r="K596" s="23">
        <f>Inputs!$C$238*K562*pr_lead_cust</f>
        <v/>
      </c>
      <c r="L596" s="23">
        <f>Inputs!$C$238*L562*pr_lead_cust</f>
        <v/>
      </c>
      <c r="M596" s="23">
        <f>Inputs!$C$238*M562*pr_lead_cust</f>
        <v/>
      </c>
      <c r="N596" s="23">
        <f>Inputs!$C$238*N562*pr_lead_cust</f>
        <v/>
      </c>
    </row>
    <row r="597">
      <c r="B597" s="2" t="inlineStr">
        <is>
          <t>Other taxes</t>
        </is>
      </c>
      <c r="C597" s="5" t="inlineStr">
        <is>
          <t>$ million</t>
        </is>
      </c>
      <c r="E597" s="23">
        <f>pr_ptax*E606</f>
        <v/>
      </c>
      <c r="F597" s="23">
        <f>pr_ptax*F606</f>
        <v/>
      </c>
      <c r="G597" s="23">
        <f>pr_ptax*G606</f>
        <v/>
      </c>
      <c r="H597" s="23">
        <f>pr_ptax*H606</f>
        <v/>
      </c>
      <c r="I597" s="23">
        <f>pr_ptax*I606</f>
        <v/>
      </c>
      <c r="J597" s="23">
        <f>pr_ptax*J606</f>
        <v/>
      </c>
      <c r="K597" s="23">
        <f>pr_ptax*K606</f>
        <v/>
      </c>
      <c r="L597" s="23">
        <f>pr_ptax*L606</f>
        <v/>
      </c>
      <c r="M597" s="23">
        <f>pr_ptax*M606</f>
        <v/>
      </c>
      <c r="N597" s="23">
        <f>pr_ptax*N606</f>
        <v/>
      </c>
    </row>
    <row r="598">
      <c r="B598" s="2" t="inlineStr">
        <is>
          <t>EBITDA</t>
        </is>
      </c>
      <c r="C598" s="5" t="inlineStr">
        <is>
          <t>$ million</t>
        </is>
      </c>
      <c r="E598" s="23">
        <f>E592-E595-E597-E596</f>
        <v/>
      </c>
      <c r="F598" s="23">
        <f>F592-F595-F597-F596</f>
        <v/>
      </c>
      <c r="G598" s="23">
        <f>G592-G595-G597-G596</f>
        <v/>
      </c>
      <c r="H598" s="23">
        <f>H592-H595-H597-H596</f>
        <v/>
      </c>
      <c r="I598" s="23">
        <f>I592-I595-I597-I596</f>
        <v/>
      </c>
      <c r="J598" s="23">
        <f>J592-J595-J597-J596</f>
        <v/>
      </c>
      <c r="K598" s="23">
        <f>K592-K595-K597-K596</f>
        <v/>
      </c>
      <c r="L598" s="23">
        <f>L592-L595-L597-L596</f>
        <v/>
      </c>
      <c r="M598" s="23">
        <f>M592-M595-M597-M596</f>
        <v/>
      </c>
      <c r="N598" s="23">
        <f>N592-N595-N597-N596</f>
        <v/>
      </c>
    </row>
    <row r="599">
      <c r="B599" s="2" t="inlineStr">
        <is>
          <t>Depreciation</t>
        </is>
      </c>
      <c r="C599" s="5" t="inlineStr">
        <is>
          <t>$ million</t>
        </is>
      </c>
      <c r="E599" s="23">
        <f>pr_dep*E606</f>
        <v/>
      </c>
      <c r="F599" s="23">
        <f>pr_dep*F606</f>
        <v/>
      </c>
      <c r="G599" s="23">
        <f>pr_dep*G606</f>
        <v/>
      </c>
      <c r="H599" s="23">
        <f>pr_dep*H606</f>
        <v/>
      </c>
      <c r="I599" s="23">
        <f>pr_dep*I606</f>
        <v/>
      </c>
      <c r="J599" s="23">
        <f>pr_dep*J606</f>
        <v/>
      </c>
      <c r="K599" s="23">
        <f>pr_dep*K606</f>
        <v/>
      </c>
      <c r="L599" s="23">
        <f>pr_dep*L606</f>
        <v/>
      </c>
      <c r="M599" s="23">
        <f>pr_dep*M606</f>
        <v/>
      </c>
      <c r="N599" s="23">
        <f>pr_dep*N606</f>
        <v/>
      </c>
    </row>
    <row r="600">
      <c r="B600" s="2" t="inlineStr">
        <is>
          <t>Interest (average of opening and closing debt)</t>
        </is>
      </c>
      <c r="C600" s="5" t="inlineStr">
        <is>
          <t>$ million</t>
        </is>
      </c>
      <c r="E600" s="23">
        <f>0.5*(D612*D614+E612*E614)</f>
        <v/>
      </c>
      <c r="F600" s="23">
        <f>0.5*(E612*E614+F612*F614)</f>
        <v/>
      </c>
      <c r="G600" s="23">
        <f>0.5*(F612*F614+G612*G614)</f>
        <v/>
      </c>
      <c r="H600" s="23">
        <f>0.5*(G612*G614+H612*H614)</f>
        <v/>
      </c>
      <c r="I600" s="23">
        <f>0.5*(H612*H614+I612*I614)</f>
        <v/>
      </c>
      <c r="J600" s="23">
        <f>0.5*(I612*I614+J612*J614)</f>
        <v/>
      </c>
      <c r="K600" s="23">
        <f>0.5*(J612*J614+K612*K614)</f>
        <v/>
      </c>
      <c r="L600" s="23">
        <f>0.5*(K612*K614+L612*L614)</f>
        <v/>
      </c>
      <c r="M600" s="23">
        <f>0.5*(L612*L614+M612*M614)</f>
        <v/>
      </c>
      <c r="N600" s="23">
        <f>0.5*(M612*M614+N612*N614)</f>
        <v/>
      </c>
    </row>
    <row r="601">
      <c r="B601" s="2" t="inlineStr">
        <is>
          <t>Income before tax</t>
        </is>
      </c>
      <c r="C601" s="5" t="inlineStr">
        <is>
          <t>$ million</t>
        </is>
      </c>
      <c r="E601" s="23">
        <f>E598-E599-E600</f>
        <v/>
      </c>
      <c r="F601" s="23">
        <f>F598-F599-F600</f>
        <v/>
      </c>
      <c r="G601" s="23">
        <f>G598-G599-G600</f>
        <v/>
      </c>
      <c r="H601" s="23">
        <f>H598-H599-H600</f>
        <v/>
      </c>
      <c r="I601" s="23">
        <f>I598-I599-I600</f>
        <v/>
      </c>
      <c r="J601" s="23">
        <f>J598-J599-J600</f>
        <v/>
      </c>
      <c r="K601" s="23">
        <f>K598-K599-K600</f>
        <v/>
      </c>
      <c r="L601" s="23">
        <f>L598-L599-L600</f>
        <v/>
      </c>
      <c r="M601" s="23">
        <f>M598-M599-M600</f>
        <v/>
      </c>
      <c r="N601" s="23">
        <f>N598-N599-N600</f>
        <v/>
      </c>
    </row>
    <row r="602">
      <c r="B602" s="2" t="inlineStr">
        <is>
          <t>Income tax</t>
        </is>
      </c>
      <c r="C602" s="5" t="inlineStr">
        <is>
          <t>$ million</t>
        </is>
      </c>
      <c r="E602" s="23">
        <f>pr_tax*E601</f>
        <v/>
      </c>
      <c r="F602" s="23">
        <f>pr_tax*F601</f>
        <v/>
      </c>
      <c r="G602" s="23">
        <f>pr_tax*G601</f>
        <v/>
      </c>
      <c r="H602" s="23">
        <f>pr_tax*H601</f>
        <v/>
      </c>
      <c r="I602" s="23">
        <f>pr_tax*I601</f>
        <v/>
      </c>
      <c r="J602" s="23">
        <f>pr_tax*J601</f>
        <v/>
      </c>
      <c r="K602" s="23">
        <f>pr_tax*K601</f>
        <v/>
      </c>
      <c r="L602" s="23">
        <f>pr_tax*L601</f>
        <v/>
      </c>
      <c r="M602" s="23">
        <f>pr_tax*M601</f>
        <v/>
      </c>
      <c r="N602" s="23">
        <f>pr_tax*N601</f>
        <v/>
      </c>
    </row>
    <row r="603">
      <c r="B603" s="3" t="inlineStr">
        <is>
          <t>Net income</t>
        </is>
      </c>
      <c r="C603" s="5" t="inlineStr">
        <is>
          <t>$ million</t>
        </is>
      </c>
      <c r="E603" s="23">
        <f>E601-E602</f>
        <v/>
      </c>
      <c r="F603" s="23">
        <f>F601-F602</f>
        <v/>
      </c>
      <c r="G603" s="23">
        <f>G601-G602</f>
        <v/>
      </c>
      <c r="H603" s="23">
        <f>H601-H602</f>
        <v/>
      </c>
      <c r="I603" s="23">
        <f>I601-I602</f>
        <v/>
      </c>
      <c r="J603" s="23">
        <f>J601-J602</f>
        <v/>
      </c>
      <c r="K603" s="23">
        <f>K601-K602</f>
        <v/>
      </c>
      <c r="L603" s="23">
        <f>L601-L602</f>
        <v/>
      </c>
      <c r="M603" s="23">
        <f>M601-M602</f>
        <v/>
      </c>
      <c r="N603" s="23">
        <f>N601-N602</f>
        <v/>
      </c>
    </row>
    <row r="605">
      <c r="B605" s="6" t="inlineStr">
        <is>
          <t>Rate base and debt ($ million)</t>
        </is>
      </c>
      <c r="C605" s="7" t="n"/>
      <c r="D605" s="7" t="n"/>
      <c r="E605" s="7" t="n"/>
      <c r="F605" s="7" t="n"/>
      <c r="G605" s="7" t="n"/>
      <c r="H605" s="7" t="n"/>
      <c r="I605" s="7" t="n"/>
      <c r="J605" s="7" t="n"/>
      <c r="K605" s="7" t="n"/>
      <c r="L605" s="7" t="n"/>
      <c r="M605" s="7" t="n"/>
      <c r="N605" s="7" t="n"/>
    </row>
    <row r="606">
      <c r="B606" s="2" t="inlineStr">
        <is>
          <t>Opening rate base</t>
        </is>
      </c>
      <c r="C606" s="5" t="inlineStr">
        <is>
          <t>$ million</t>
        </is>
      </c>
      <c r="E606" s="23">
        <f>D610</f>
        <v/>
      </c>
      <c r="F606" s="23">
        <f>E610</f>
        <v/>
      </c>
      <c r="G606" s="23">
        <f>F610</f>
        <v/>
      </c>
      <c r="H606" s="23">
        <f>G610</f>
        <v/>
      </c>
      <c r="I606" s="23">
        <f>H610</f>
        <v/>
      </c>
      <c r="J606" s="23">
        <f>I610</f>
        <v/>
      </c>
      <c r="K606" s="23">
        <f>J610</f>
        <v/>
      </c>
      <c r="L606" s="23">
        <f>K610</f>
        <v/>
      </c>
      <c r="M606" s="23">
        <f>L610</f>
        <v/>
      </c>
      <c r="N606" s="23">
        <f>M610</f>
        <v/>
      </c>
    </row>
    <row r="607">
      <c r="B607" s="2" t="inlineStr">
        <is>
          <t>Spending disallowed (never in rate base)</t>
        </is>
      </c>
      <c r="C607" s="5" t="inlineStr">
        <is>
          <t>$ million</t>
        </is>
      </c>
      <c r="E607" s="23">
        <f>pr_disallow*(E561+E562-E596)</f>
        <v/>
      </c>
      <c r="F607" s="23">
        <f>pr_disallow*(F561+F562-F596)</f>
        <v/>
      </c>
      <c r="G607" s="23">
        <f>pr_disallow*(G561+G562-G596)</f>
        <v/>
      </c>
      <c r="H607" s="23">
        <f>pr_disallow*(H561+H562-H596)</f>
        <v/>
      </c>
      <c r="I607" s="23">
        <f>pr_disallow*(I561+I562-I596)</f>
        <v/>
      </c>
      <c r="J607" s="23">
        <f>pr_disallow*(J561+J562-J596)</f>
        <v/>
      </c>
      <c r="K607" s="23">
        <f>pr_disallow*(K561+K562-K596)</f>
        <v/>
      </c>
      <c r="L607" s="23">
        <f>pr_disallow*(L561+L562-L596)</f>
        <v/>
      </c>
      <c r="M607" s="23">
        <f>pr_disallow*(M561+M562-M596)</f>
        <v/>
      </c>
      <c r="N607" s="23">
        <f>pr_disallow*(N561+N562-N596)</f>
        <v/>
      </c>
    </row>
    <row r="608">
      <c r="B608" s="2" t="inlineStr">
        <is>
          <t>Acquisitions (Fennick at its price)</t>
        </is>
      </c>
      <c r="C608" s="5" t="inlineStr">
        <is>
          <t>$ million</t>
        </is>
      </c>
      <c r="E608" s="23">
        <f>IF(AND(pr_fen_on=1,E553=pr_fen_year),pr_fen_price,0)</f>
        <v/>
      </c>
      <c r="F608" s="23">
        <f>IF(AND(pr_fen_on=1,F553=pr_fen_year),pr_fen_price,0)</f>
        <v/>
      </c>
      <c r="G608" s="23">
        <f>IF(AND(pr_fen_on=1,G553=pr_fen_year),pr_fen_price,0)</f>
        <v/>
      </c>
      <c r="H608" s="23">
        <f>IF(AND(pr_fen_on=1,H553=pr_fen_year),pr_fen_price,0)</f>
        <v/>
      </c>
      <c r="I608" s="23">
        <f>IF(AND(pr_fen_on=1,I553=pr_fen_year),pr_fen_price,0)</f>
        <v/>
      </c>
      <c r="J608" s="23">
        <f>IF(AND(pr_fen_on=1,J553=pr_fen_year),pr_fen_price,0)</f>
        <v/>
      </c>
      <c r="K608" s="23">
        <f>IF(AND(pr_fen_on=1,K553=pr_fen_year),pr_fen_price,0)</f>
        <v/>
      </c>
      <c r="L608" s="23">
        <f>IF(AND(pr_fen_on=1,L553=pr_fen_year),pr_fen_price,0)</f>
        <v/>
      </c>
      <c r="M608" s="23">
        <f>IF(AND(pr_fen_on=1,M553=pr_fen_year),pr_fen_price,0)</f>
        <v/>
      </c>
      <c r="N608" s="23">
        <f>IF(AND(pr_fen_on=1,N553=pr_fen_year),pr_fen_price,0)</f>
        <v/>
      </c>
    </row>
    <row r="609">
      <c r="B609" s="2" t="inlineStr">
        <is>
          <t>Settlement credited against rate base</t>
        </is>
      </c>
      <c r="C609" s="5" t="inlineStr">
        <is>
          <t>$ million</t>
        </is>
      </c>
      <c r="E609" s="23">
        <f>IF(E553=pr_settle_y,pr_settle,0)</f>
        <v/>
      </c>
      <c r="F609" s="23">
        <f>IF(F553=pr_settle_y,pr_settle,0)</f>
        <v/>
      </c>
      <c r="G609" s="23">
        <f>IF(G553=pr_settle_y,pr_settle,0)</f>
        <v/>
      </c>
      <c r="H609" s="23">
        <f>IF(H553=pr_settle_y,pr_settle,0)</f>
        <v/>
      </c>
      <c r="I609" s="23">
        <f>IF(I553=pr_settle_y,pr_settle,0)</f>
        <v/>
      </c>
      <c r="J609" s="23">
        <f>IF(J553=pr_settle_y,pr_settle,0)</f>
        <v/>
      </c>
      <c r="K609" s="23">
        <f>IF(K553=pr_settle_y,pr_settle,0)</f>
        <v/>
      </c>
      <c r="L609" s="23">
        <f>IF(L553=pr_settle_y,pr_settle,0)</f>
        <v/>
      </c>
      <c r="M609" s="23">
        <f>IF(M553=pr_settle_y,pr_settle,0)</f>
        <v/>
      </c>
      <c r="N609" s="23">
        <f>IF(N553=pr_settle_y,pr_settle,0)</f>
        <v/>
      </c>
    </row>
    <row r="610">
      <c r="B610" s="3" t="inlineStr">
        <is>
          <t>Closing rate base</t>
        </is>
      </c>
      <c r="C610" s="5" t="inlineStr">
        <is>
          <t>$ million</t>
        </is>
      </c>
      <c r="D610" s="23">
        <f>pr_rb0</f>
        <v/>
      </c>
      <c r="E610" s="23">
        <f>E606+E564-E596-E607+E608-E599-E609</f>
        <v/>
      </c>
      <c r="F610" s="23">
        <f>F606+F564-F596-F607+F608-F599-F609</f>
        <v/>
      </c>
      <c r="G610" s="23">
        <f>G606+G564-G596-G607+G608-G599-G609</f>
        <v/>
      </c>
      <c r="H610" s="23">
        <f>H606+H564-H596-H607+H608-H599-H609</f>
        <v/>
      </c>
      <c r="I610" s="23">
        <f>I606+I564-I596-I607+I608-I599-I609</f>
        <v/>
      </c>
      <c r="J610" s="23">
        <f>J606+J564-J596-J607+J608-J599-J609</f>
        <v/>
      </c>
      <c r="K610" s="23">
        <f>K606+K564-K596-K607+K608-K599-K609</f>
        <v/>
      </c>
      <c r="L610" s="23">
        <f>L606+L564-L596-L607+L608-L599-L609</f>
        <v/>
      </c>
      <c r="M610" s="23">
        <f>M606+M564-M596-M607+M608-M599-M609</f>
        <v/>
      </c>
      <c r="N610" s="23">
        <f>N606+N564-N596-N607+N608-N599-N609</f>
        <v/>
      </c>
    </row>
    <row r="611">
      <c r="B611" s="2" t="inlineStr">
        <is>
          <t>Original bonds outstanding</t>
        </is>
      </c>
      <c r="C611" s="5" t="inlineStr">
        <is>
          <t>$ million</t>
        </is>
      </c>
      <c r="D611" s="23">
        <f>(1-pr_eq)*pr_rb0</f>
        <v/>
      </c>
      <c r="E611" s="23">
        <f>MAX(0,D611-pr_amort*(1-pr_eq)*pr_rb0)</f>
        <v/>
      </c>
      <c r="F611" s="23">
        <f>MAX(0,E611-pr_amort*(1-pr_eq)*pr_rb0)</f>
        <v/>
      </c>
      <c r="G611" s="23">
        <f>MAX(0,F611-pr_amort*(1-pr_eq)*pr_rb0)</f>
        <v/>
      </c>
      <c r="H611" s="23">
        <f>MAX(0,G611-pr_amort*(1-pr_eq)*pr_rb0)</f>
        <v/>
      </c>
      <c r="I611" s="23">
        <f>MAX(0,H611-pr_amort*(1-pr_eq)*pr_rb0)</f>
        <v/>
      </c>
      <c r="J611" s="23">
        <f>MAX(0,I611-pr_amort*(1-pr_eq)*pr_rb0)</f>
        <v/>
      </c>
      <c r="K611" s="23">
        <f>MAX(0,J611-pr_amort*(1-pr_eq)*pr_rb0)</f>
        <v/>
      </c>
      <c r="L611" s="23">
        <f>MAX(0,K611-pr_amort*(1-pr_eq)*pr_rb0)</f>
        <v/>
      </c>
      <c r="M611" s="23">
        <f>MAX(0,L611-pr_amort*(1-pr_eq)*pr_rb0)</f>
        <v/>
      </c>
      <c r="N611" s="23">
        <f>MAX(0,M611-pr_amort*(1-pr_eq)*pr_rb0)</f>
        <v/>
      </c>
    </row>
    <row r="612">
      <c r="B612" s="2" t="inlineStr">
        <is>
          <t>Operating company debt (debt share of rate base)</t>
        </is>
      </c>
      <c r="C612" s="5" t="inlineStr">
        <is>
          <t>$ million</t>
        </is>
      </c>
      <c r="D612" s="23">
        <f>(1-pr_eq)*D610</f>
        <v/>
      </c>
      <c r="E612" s="23">
        <f>(1-pr_eq)*E610</f>
        <v/>
      </c>
      <c r="F612" s="23">
        <f>(1-pr_eq)*F610</f>
        <v/>
      </c>
      <c r="G612" s="23">
        <f>(1-pr_eq)*G610</f>
        <v/>
      </c>
      <c r="H612" s="23">
        <f>(1-pr_eq)*H610</f>
        <v/>
      </c>
      <c r="I612" s="23">
        <f>(1-pr_eq)*I610</f>
        <v/>
      </c>
      <c r="J612" s="23">
        <f>(1-pr_eq)*J610</f>
        <v/>
      </c>
      <c r="K612" s="23">
        <f>(1-pr_eq)*K610</f>
        <v/>
      </c>
      <c r="L612" s="23">
        <f>(1-pr_eq)*L610</f>
        <v/>
      </c>
      <c r="M612" s="23">
        <f>(1-pr_eq)*M610</f>
        <v/>
      </c>
      <c r="N612" s="23">
        <f>(1-pr_eq)*N610</f>
        <v/>
      </c>
    </row>
    <row r="613">
      <c r="B613" s="2" t="inlineStr">
        <is>
          <t>New bonds outstanding</t>
        </is>
      </c>
      <c r="C613" s="5" t="inlineStr">
        <is>
          <t>$ million</t>
        </is>
      </c>
      <c r="D613" s="23">
        <f>D612-D611</f>
        <v/>
      </c>
      <c r="E613" s="23">
        <f>E612-E611</f>
        <v/>
      </c>
      <c r="F613" s="23">
        <f>F612-F611</f>
        <v/>
      </c>
      <c r="G613" s="23">
        <f>G612-G611</f>
        <v/>
      </c>
      <c r="H613" s="23">
        <f>H612-H611</f>
        <v/>
      </c>
      <c r="I613" s="23">
        <f>I612-I611</f>
        <v/>
      </c>
      <c r="J613" s="23">
        <f>J612-J611</f>
        <v/>
      </c>
      <c r="K613" s="23">
        <f>K612-K611</f>
        <v/>
      </c>
      <c r="L613" s="23">
        <f>L612-L611</f>
        <v/>
      </c>
      <c r="M613" s="23">
        <f>M612-M611</f>
        <v/>
      </c>
      <c r="N613" s="23">
        <f>N612-N611</f>
        <v/>
      </c>
    </row>
    <row r="614">
      <c r="B614" s="2" t="inlineStr">
        <is>
          <t>Embedded cost of debt at year end</t>
        </is>
      </c>
      <c r="C614" s="5" t="inlineStr">
        <is>
          <t>rate</t>
        </is>
      </c>
      <c r="D614" s="27">
        <f>pr_kd_old</f>
        <v/>
      </c>
      <c r="E614" s="27">
        <f>(E611*pr_kd_old+E613*pr_kd_new)/E612</f>
        <v/>
      </c>
      <c r="F614" s="27">
        <f>(F611*pr_kd_old+F613*pr_kd_new)/F612</f>
        <v/>
      </c>
      <c r="G614" s="27">
        <f>(G611*pr_kd_old+G613*pr_kd_new)/G612</f>
        <v/>
      </c>
      <c r="H614" s="27">
        <f>(H611*pr_kd_old+H613*pr_kd_new)/H612</f>
        <v/>
      </c>
      <c r="I614" s="27">
        <f>(I611*pr_kd_old+I613*pr_kd_new)/I612</f>
        <v/>
      </c>
      <c r="J614" s="27">
        <f>(J611*pr_kd_old+J613*pr_kd_new)/J612</f>
        <v/>
      </c>
      <c r="K614" s="27">
        <f>(K611*pr_kd_old+K613*pr_kd_new)/K612</f>
        <v/>
      </c>
      <c r="L614" s="27">
        <f>(L611*pr_kd_old+L613*pr_kd_new)/L612</f>
        <v/>
      </c>
      <c r="M614" s="27">
        <f>(M611*pr_kd_old+M613*pr_kd_new)/M612</f>
        <v/>
      </c>
      <c r="N614" s="27">
        <f>(N611*pr_kd_old+N613*pr_kd_new)/N612</f>
        <v/>
      </c>
    </row>
    <row r="616">
      <c r="B616" s="6" t="inlineStr">
        <is>
          <t>Returns and cash ($ million)</t>
        </is>
      </c>
      <c r="C616" s="7" t="n"/>
      <c r="D616" s="7" t="n"/>
      <c r="E616" s="7" t="n"/>
      <c r="F616" s="7" t="n"/>
      <c r="G616" s="7" t="n"/>
      <c r="H616" s="7" t="n"/>
      <c r="I616" s="7" t="n"/>
      <c r="J616" s="7" t="n"/>
      <c r="K616" s="7" t="n"/>
      <c r="L616" s="7" t="n"/>
      <c r="M616" s="7" t="n"/>
      <c r="N616" s="7" t="n"/>
    </row>
    <row r="617">
      <c r="B617" s="2" t="inlineStr">
        <is>
          <t>Average equity share of rate base</t>
        </is>
      </c>
      <c r="C617" s="5" t="inlineStr">
        <is>
          <t>$ million</t>
        </is>
      </c>
      <c r="E617" s="23">
        <f>pr_eq*0.5*(E606+E610)</f>
        <v/>
      </c>
      <c r="F617" s="23">
        <f>pr_eq*0.5*(F606+F610)</f>
        <v/>
      </c>
      <c r="G617" s="23">
        <f>pr_eq*0.5*(G606+G610)</f>
        <v/>
      </c>
      <c r="H617" s="23">
        <f>pr_eq*0.5*(H606+H610)</f>
        <v/>
      </c>
      <c r="I617" s="23">
        <f>pr_eq*0.5*(I606+I610)</f>
        <v/>
      </c>
      <c r="J617" s="23">
        <f>pr_eq*0.5*(J606+J610)</f>
        <v/>
      </c>
      <c r="K617" s="23">
        <f>pr_eq*0.5*(K606+K610)</f>
        <v/>
      </c>
      <c r="L617" s="23">
        <f>pr_eq*0.5*(L606+L610)</f>
        <v/>
      </c>
      <c r="M617" s="23">
        <f>pr_eq*0.5*(M606+M610)</f>
        <v/>
      </c>
      <c r="N617" s="23">
        <f>pr_eq*0.5*(N606+N610)</f>
        <v/>
      </c>
    </row>
    <row r="618">
      <c r="B618" s="2" t="inlineStr">
        <is>
          <t>Earned return on equity</t>
        </is>
      </c>
      <c r="C618" s="5" t="inlineStr">
        <is>
          <t>rate</t>
        </is>
      </c>
      <c r="E618" s="27">
        <f>E603/E617</f>
        <v/>
      </c>
      <c r="F618" s="27">
        <f>F603/F617</f>
        <v/>
      </c>
      <c r="G618" s="27">
        <f>G603/G617</f>
        <v/>
      </c>
      <c r="H618" s="27">
        <f>H603/H617</f>
        <v/>
      </c>
      <c r="I618" s="27">
        <f>I603/I617</f>
        <v/>
      </c>
      <c r="J618" s="27">
        <f>J603/J617</f>
        <v/>
      </c>
      <c r="K618" s="27">
        <f>K603/K617</f>
        <v/>
      </c>
      <c r="L618" s="27">
        <f>L603/L617</f>
        <v/>
      </c>
      <c r="M618" s="27">
        <f>M603/M617</f>
        <v/>
      </c>
      <c r="N618" s="27">
        <f>N603/N617</f>
        <v/>
      </c>
    </row>
    <row r="619">
      <c r="B619" s="2" t="inlineStr">
        <is>
          <t>Authorized return on equity</t>
        </is>
      </c>
      <c r="C619" s="5" t="inlineStr">
        <is>
          <t>rate</t>
        </is>
      </c>
      <c r="E619" s="27">
        <f>pr_roe</f>
        <v/>
      </c>
      <c r="F619" s="27">
        <f>pr_roe</f>
        <v/>
      </c>
      <c r="G619" s="27">
        <f>pr_roe</f>
        <v/>
      </c>
      <c r="H619" s="27">
        <f>pr_roe</f>
        <v/>
      </c>
      <c r="I619" s="27">
        <f>pr_roe</f>
        <v/>
      </c>
      <c r="J619" s="27">
        <f>pr_roe</f>
        <v/>
      </c>
      <c r="K619" s="27">
        <f>pr_roe</f>
        <v/>
      </c>
      <c r="L619" s="27">
        <f>pr_roe</f>
        <v/>
      </c>
      <c r="M619" s="27">
        <f>pr_roe</f>
        <v/>
      </c>
      <c r="N619" s="27">
        <f>pr_roe</f>
        <v/>
      </c>
    </row>
    <row r="620">
      <c r="B620" s="3" t="inlineStr">
        <is>
          <t>Cash to the shareholder (FCFE)</t>
        </is>
      </c>
      <c r="C620" s="5" t="inlineStr">
        <is>
          <t>$ million</t>
        </is>
      </c>
      <c r="E620" s="23">
        <f>E603+E599-E564-E608+E609+E612-D612</f>
        <v/>
      </c>
      <c r="F620" s="23">
        <f>F603+F599-F564-F608+F609+F612-E612</f>
        <v/>
      </c>
      <c r="G620" s="23">
        <f>G603+G599-G564-G608+G609+G612-F612</f>
        <v/>
      </c>
      <c r="H620" s="23">
        <f>H603+H599-H564-H608+H609+H612-G612</f>
        <v/>
      </c>
      <c r="I620" s="23">
        <f>I603+I599-I564-I608+I609+I612-H612</f>
        <v/>
      </c>
      <c r="J620" s="23">
        <f>J603+J599-J564-J608+J609+J612-I612</f>
        <v/>
      </c>
      <c r="K620" s="23">
        <f>K603+K599-K564-K608+K609+K612-J612</f>
        <v/>
      </c>
      <c r="L620" s="23">
        <f>L603+L599-L564-L608+L609+L612-K612</f>
        <v/>
      </c>
      <c r="M620" s="23">
        <f>M603+M599-M564-M608+M609+M612-L612</f>
        <v/>
      </c>
      <c r="N620" s="23">
        <f>N603+N599-N564-N608+N609+N612-M612</f>
        <v/>
      </c>
    </row>
    <row r="621">
      <c r="B621" s="2" t="inlineStr">
        <is>
          <t>Funds from operations (net income + depreciation)</t>
        </is>
      </c>
      <c r="C621" s="5" t="inlineStr">
        <is>
          <t>$ million</t>
        </is>
      </c>
      <c r="E621" s="23">
        <f>E603+E599</f>
        <v/>
      </c>
      <c r="F621" s="23">
        <f>F603+F599</f>
        <v/>
      </c>
      <c r="G621" s="23">
        <f>G603+G599</f>
        <v/>
      </c>
      <c r="H621" s="23">
        <f>H603+H599</f>
        <v/>
      </c>
      <c r="I621" s="23">
        <f>I603+I599</f>
        <v/>
      </c>
      <c r="J621" s="23">
        <f>J603+J599</f>
        <v/>
      </c>
      <c r="K621" s="23">
        <f>K603+K599</f>
        <v/>
      </c>
      <c r="L621" s="23">
        <f>L603+L599</f>
        <v/>
      </c>
      <c r="M621" s="23">
        <f>M603+M599</f>
        <v/>
      </c>
      <c r="N621" s="23">
        <f>N603+N599</f>
        <v/>
      </c>
    </row>
    <row r="622">
      <c r="B622" s="3" t="inlineStr">
        <is>
          <t>Brannock's net flows (exit at the exit multiple)</t>
        </is>
      </c>
      <c r="C622" s="5" t="inlineStr">
        <is>
          <t>$ million</t>
        </is>
      </c>
      <c r="D622" s="23">
        <f>-(pr_ev_mult*pr_rb0-(1-pr_eq)*pr_rb0+pr_costs-pr_holdco)</f>
        <v/>
      </c>
      <c r="E622" s="23">
        <f>E620-pr_holdco*pr_kd_holdco*(1-pr_tax)</f>
        <v/>
      </c>
      <c r="F622" s="23">
        <f>F620-pr_holdco*pr_kd_holdco*(1-pr_tax)</f>
        <v/>
      </c>
      <c r="G622" s="23">
        <f>G620-pr_holdco*pr_kd_holdco*(1-pr_tax)</f>
        <v/>
      </c>
      <c r="H622" s="23">
        <f>H620-pr_holdco*pr_kd_holdco*(1-pr_tax)</f>
        <v/>
      </c>
      <c r="I622" s="23">
        <f>I620-pr_holdco*pr_kd_holdco*(1-pr_tax)</f>
        <v/>
      </c>
      <c r="J622" s="23">
        <f>J620-pr_holdco*pr_kd_holdco*(1-pr_tax)</f>
        <v/>
      </c>
      <c r="K622" s="23">
        <f>K620-pr_holdco*pr_kd_holdco*(1-pr_tax)</f>
        <v/>
      </c>
      <c r="L622" s="23">
        <f>L620-pr_holdco*pr_kd_holdco*(1-pr_tax)</f>
        <v/>
      </c>
      <c r="M622" s="23">
        <f>M620-pr_holdco*pr_kd_holdco*(1-pr_tax)</f>
        <v/>
      </c>
      <c r="N622" s="23">
        <f>N620-pr_holdco*pr_kd_holdco*(1-pr_tax)+pr_exit_mult*N610-N612-pr_holdco</f>
        <v/>
      </c>
    </row>
    <row r="623">
      <c r="B623" s="2" t="inlineStr">
        <is>
          <t>Levered IRR</t>
        </is>
      </c>
      <c r="C623" s="5" t="inlineStr">
        <is>
          <t>rate</t>
        </is>
      </c>
      <c r="D623" s="27">
        <f>IRR($D$622:N$622,0.08)</f>
        <v/>
      </c>
    </row>
    <row r="624">
      <c r="B624" s="2" t="inlineStr">
        <is>
          <t>Average earned return on equity 2028 to 2037</t>
        </is>
      </c>
      <c r="C624" s="5" t="inlineStr">
        <is>
          <t>rate</t>
        </is>
      </c>
      <c r="D624" s="27">
        <f>AVERAGE($E$618:N$618)</f>
        <v/>
      </c>
    </row>
    <row r="625">
      <c r="B625" s="2" t="inlineStr">
        <is>
          <t>Price at the target return (enterprise value)</t>
        </is>
      </c>
      <c r="C625" s="5" t="inlineStr">
        <is>
          <t>$ million</t>
        </is>
      </c>
      <c r="D625" s="23">
        <f>NPV(pr_target,$E$622:N$622)+(1-pr_eq)*pr_rb0-pr_costs+pr_holdco</f>
        <v/>
      </c>
    </row>
    <row r="626">
      <c r="B626" s="2" t="inlineStr">
        <is>
          <t>Exit equity</t>
        </is>
      </c>
      <c r="C626" s="5" t="inlineStr">
        <is>
          <t>$ million</t>
        </is>
      </c>
      <c r="D626" s="23">
        <f>pr_exit_mult*N610-N612-pr_holdco</f>
        <v/>
      </c>
    </row>
    <row r="627">
      <c r="B627" s="2" t="inlineStr">
        <is>
          <t>Rate base at exit</t>
        </is>
      </c>
      <c r="C627" s="5" t="inlineStr">
        <is>
          <t>$ million</t>
        </is>
      </c>
      <c r="D627" s="23">
        <f>N610</f>
        <v/>
      </c>
    </row>
    <row r="630">
      <c r="B630" s="6" t="inlineStr">
        <is>
          <t>S9: New bond coupon 6.60 percent (Pell River, after tax)</t>
        </is>
      </c>
      <c r="C630" s="7" t="n"/>
      <c r="D630" s="7" t="n"/>
      <c r="E630" s="7" t="n"/>
      <c r="F630" s="7" t="n"/>
      <c r="G630" s="7" t="n"/>
      <c r="H630" s="7" t="n"/>
      <c r="I630" s="7" t="n"/>
      <c r="J630" s="7" t="n"/>
      <c r="K630" s="7" t="n"/>
      <c r="L630" s="7" t="n"/>
      <c r="M630" s="7" t="n"/>
      <c r="N630" s="7" t="n"/>
    </row>
    <row r="631">
      <c r="B631" s="2" t="inlineStr">
        <is>
          <t>Year (31 December)</t>
        </is>
      </c>
      <c r="D631" s="26">
        <f>pr_close</f>
        <v/>
      </c>
      <c r="E631" s="26">
        <f>D631+1</f>
        <v/>
      </c>
      <c r="F631" s="26">
        <f>E631+1</f>
        <v/>
      </c>
      <c r="G631" s="26">
        <f>F631+1</f>
        <v/>
      </c>
      <c r="H631" s="26">
        <f>G631+1</f>
        <v/>
      </c>
      <c r="I631" s="26">
        <f>H631+1</f>
        <v/>
      </c>
      <c r="J631" s="26">
        <f>I631+1</f>
        <v/>
      </c>
      <c r="K631" s="26">
        <f>J631+1</f>
        <v/>
      </c>
      <c r="L631" s="26">
        <f>K631+1</f>
        <v/>
      </c>
      <c r="M631" s="26">
        <f>L631+1</f>
        <v/>
      </c>
      <c r="N631" s="26">
        <f>M631+1</f>
        <v/>
      </c>
    </row>
    <row r="632">
      <c r="B632" s="2" t="inlineStr">
        <is>
          <t>Years after the first year of the hold (2028 = 0)</t>
        </is>
      </c>
      <c r="D632" s="26">
        <f>D631-(pr_close+1)</f>
        <v/>
      </c>
      <c r="E632" s="26">
        <f>E631-(pr_close+1)</f>
        <v/>
      </c>
      <c r="F632" s="26">
        <f>F631-(pr_close+1)</f>
        <v/>
      </c>
      <c r="G632" s="26">
        <f>G631-(pr_close+1)</f>
        <v/>
      </c>
      <c r="H632" s="26">
        <f>H631-(pr_close+1)</f>
        <v/>
      </c>
      <c r="I632" s="26">
        <f>I631-(pr_close+1)</f>
        <v/>
      </c>
      <c r="J632" s="26">
        <f>J631-(pr_close+1)</f>
        <v/>
      </c>
      <c r="K632" s="26">
        <f>K631-(pr_close+1)</f>
        <v/>
      </c>
      <c r="L632" s="26">
        <f>L631-(pr_close+1)</f>
        <v/>
      </c>
      <c r="M632" s="26">
        <f>M631-(pr_close+1)</f>
        <v/>
      </c>
      <c r="N632" s="26">
        <f>N631-(pr_close+1)</f>
        <v/>
      </c>
    </row>
    <row r="633">
      <c r="B633" s="2" t="inlineStr">
        <is>
          <t>Connections (water and wastewater), year end</t>
        </is>
      </c>
      <c r="C633" s="5" t="inlineStr">
        <is>
          <t>number</t>
        </is>
      </c>
      <c r="D633" s="19">
        <f>pr_water_conn+pr_ww_conn</f>
        <v/>
      </c>
      <c r="E633" s="19">
        <f>D633*(1+pr_growth)+IF(AND(pr_fen_on=1,E631=pr_fen_year+1),pr_fen_conn,0)</f>
        <v/>
      </c>
      <c r="F633" s="19">
        <f>E633*(1+pr_growth)+IF(AND(pr_fen_on=1,F631=pr_fen_year+1),pr_fen_conn,0)</f>
        <v/>
      </c>
      <c r="G633" s="19">
        <f>F633*(1+pr_growth)+IF(AND(pr_fen_on=1,G631=pr_fen_year+1),pr_fen_conn,0)</f>
        <v/>
      </c>
      <c r="H633" s="19">
        <f>G633*(1+pr_growth)+IF(AND(pr_fen_on=1,H631=pr_fen_year+1),pr_fen_conn,0)</f>
        <v/>
      </c>
      <c r="I633" s="19">
        <f>H633*(1+pr_growth)+IF(AND(pr_fen_on=1,I631=pr_fen_year+1),pr_fen_conn,0)</f>
        <v/>
      </c>
      <c r="J633" s="19">
        <f>I633*(1+pr_growth)+IF(AND(pr_fen_on=1,J631=pr_fen_year+1),pr_fen_conn,0)</f>
        <v/>
      </c>
      <c r="K633" s="19">
        <f>J633*(1+pr_growth)+IF(AND(pr_fen_on=1,K631=pr_fen_year+1),pr_fen_conn,0)</f>
        <v/>
      </c>
      <c r="L633" s="19">
        <f>K633*(1+pr_growth)+IF(AND(pr_fen_on=1,L631=pr_fen_year+1),pr_fen_conn,0)</f>
        <v/>
      </c>
      <c r="M633" s="19">
        <f>L633*(1+pr_growth)+IF(AND(pr_fen_on=1,M631=pr_fen_year+1),pr_fen_conn,0)</f>
        <v/>
      </c>
      <c r="N633" s="19">
        <f>M633*(1+pr_growth)+IF(AND(pr_fen_on=1,N631=pr_fen_year+1),pr_fen_conn,0)</f>
        <v/>
      </c>
    </row>
    <row r="635">
      <c r="B635" s="6" t="inlineStr">
        <is>
          <t>Capital spending ($ million)</t>
        </is>
      </c>
      <c r="C635" s="7" t="n"/>
      <c r="D635" s="7" t="n"/>
      <c r="E635" s="7" t="n"/>
      <c r="F635" s="7" t="n"/>
      <c r="G635" s="7" t="n"/>
      <c r="H635" s="7" t="n"/>
      <c r="I635" s="7" t="n"/>
      <c r="J635" s="7" t="n"/>
      <c r="K635" s="7" t="n"/>
      <c r="L635" s="7" t="n"/>
      <c r="M635" s="7" t="n"/>
      <c r="N635" s="7" t="n"/>
    </row>
    <row r="636">
      <c r="B636" s="2" t="inlineStr">
        <is>
          <t>Cost escalation index (2028 = 1)</t>
        </is>
      </c>
      <c r="E636" s="28">
        <f>(1+pr_capex_esc)^(E631-(pr_close+1))</f>
        <v/>
      </c>
      <c r="F636" s="28">
        <f>(1+pr_capex_esc)^(F631-(pr_close+1))</f>
        <v/>
      </c>
      <c r="G636" s="28">
        <f>(1+pr_capex_esc)^(G631-(pr_close+1))</f>
        <v/>
      </c>
      <c r="H636" s="28">
        <f>(1+pr_capex_esc)^(H631-(pr_close+1))</f>
        <v/>
      </c>
      <c r="I636" s="28">
        <f>(1+pr_capex_esc)^(I631-(pr_close+1))</f>
        <v/>
      </c>
      <c r="J636" s="28">
        <f>(1+pr_capex_esc)^(J631-(pr_close+1))</f>
        <v/>
      </c>
      <c r="K636" s="28">
        <f>(1+pr_capex_esc)^(K631-(pr_close+1))</f>
        <v/>
      </c>
      <c r="L636" s="28">
        <f>(1+pr_capex_esc)^(L631-(pr_close+1))</f>
        <v/>
      </c>
      <c r="M636" s="28">
        <f>(1+pr_capex_esc)^(M631-(pr_close+1))</f>
        <v/>
      </c>
      <c r="N636" s="28">
        <f>(1+pr_capex_esc)^(N631-(pr_close+1))</f>
        <v/>
      </c>
    </row>
    <row r="637">
      <c r="B637" s="2" t="inlineStr">
        <is>
          <t>Main renewal</t>
        </is>
      </c>
      <c r="C637" s="5" t="inlineStr">
        <is>
          <t>$ million</t>
        </is>
      </c>
      <c r="E637" s="23">
        <f>pr_renewal*pr_mains_miles*pr_cost_mile*E636*(1+pr_capex_shift)</f>
        <v/>
      </c>
      <c r="F637" s="23">
        <f>pr_renewal*pr_mains_miles*pr_cost_mile*F636*(1+pr_capex_shift)</f>
        <v/>
      </c>
      <c r="G637" s="23">
        <f>pr_renewal*pr_mains_miles*pr_cost_mile*G636*(1+pr_capex_shift)</f>
        <v/>
      </c>
      <c r="H637" s="23">
        <f>pr_renewal*pr_mains_miles*pr_cost_mile*H636*(1+pr_capex_shift)</f>
        <v/>
      </c>
      <c r="I637" s="23">
        <f>pr_renewal*pr_mains_miles*pr_cost_mile*I636*(1+pr_capex_shift)</f>
        <v/>
      </c>
      <c r="J637" s="23">
        <f>pr_renewal*pr_mains_miles*pr_cost_mile*J636*(1+pr_capex_shift)</f>
        <v/>
      </c>
      <c r="K637" s="23">
        <f>pr_renewal*pr_mains_miles*pr_cost_mile*K636*(1+pr_capex_shift)</f>
        <v/>
      </c>
      <c r="L637" s="23">
        <f>pr_renewal*pr_mains_miles*pr_cost_mile*L636*(1+pr_capex_shift)</f>
        <v/>
      </c>
      <c r="M637" s="23">
        <f>pr_renewal*pr_mains_miles*pr_cost_mile*M636*(1+pr_capex_shift)</f>
        <v/>
      </c>
      <c r="N637" s="23">
        <f>pr_renewal*pr_mains_miles*pr_cost_mile*N636*(1+pr_capex_shift)</f>
        <v/>
      </c>
    </row>
    <row r="638">
      <c r="B638" s="2" t="inlineStr">
        <is>
          <t>Treatment, storage, meters, IT and growth</t>
        </is>
      </c>
      <c r="C638" s="5" t="inlineStr">
        <is>
          <t>$ million</t>
        </is>
      </c>
      <c r="E638" s="23">
        <f>pr_other_capex*E636*(1+pr_capex_shift)</f>
        <v/>
      </c>
      <c r="F638" s="23">
        <f>pr_other_capex*F636*(1+pr_capex_shift)</f>
        <v/>
      </c>
      <c r="G638" s="23">
        <f>pr_other_capex*G636*(1+pr_capex_shift)</f>
        <v/>
      </c>
      <c r="H638" s="23">
        <f>pr_other_capex*H636*(1+pr_capex_shift)</f>
        <v/>
      </c>
      <c r="I638" s="23">
        <f>pr_other_capex*I636*(1+pr_capex_shift)</f>
        <v/>
      </c>
      <c r="J638" s="23">
        <f>pr_other_capex*J636*(1+pr_capex_shift)</f>
        <v/>
      </c>
      <c r="K638" s="23">
        <f>pr_other_capex*K636*(1+pr_capex_shift)</f>
        <v/>
      </c>
      <c r="L638" s="23">
        <f>pr_other_capex*L636*(1+pr_capex_shift)</f>
        <v/>
      </c>
      <c r="M638" s="23">
        <f>pr_other_capex*M636*(1+pr_capex_shift)</f>
        <v/>
      </c>
      <c r="N638" s="23">
        <f>pr_other_capex*N636*(1+pr_capex_shift)</f>
        <v/>
      </c>
    </row>
    <row r="639">
      <c r="B639" s="2" t="inlineStr">
        <is>
          <t>PFAS treatment</t>
        </is>
      </c>
      <c r="C639" s="5" t="inlineStr">
        <is>
          <t>$ million</t>
        </is>
      </c>
      <c r="E639" s="23">
        <f>(IF(E631-pr_pfas_delay=pr_pfas_y1,pr_pfas_1,0)+IF(E631-pr_pfas_delay=pr_pfas_y1+1,pr_pfas_2,0)+IF(E631-pr_pfas_delay=pr_pfas_y1+2,pr_pfas_3,0))*(1+pr_capex_esc)^pr_pfas_delay*(1+pr_capex_shift)</f>
        <v/>
      </c>
      <c r="F639" s="23">
        <f>(IF(F631-pr_pfas_delay=pr_pfas_y1,pr_pfas_1,0)+IF(F631-pr_pfas_delay=pr_pfas_y1+1,pr_pfas_2,0)+IF(F631-pr_pfas_delay=pr_pfas_y1+2,pr_pfas_3,0))*(1+pr_capex_esc)^pr_pfas_delay*(1+pr_capex_shift)</f>
        <v/>
      </c>
      <c r="G639" s="23">
        <f>(IF(G631-pr_pfas_delay=pr_pfas_y1,pr_pfas_1,0)+IF(G631-pr_pfas_delay=pr_pfas_y1+1,pr_pfas_2,0)+IF(G631-pr_pfas_delay=pr_pfas_y1+2,pr_pfas_3,0))*(1+pr_capex_esc)^pr_pfas_delay*(1+pr_capex_shift)</f>
        <v/>
      </c>
      <c r="H639" s="23">
        <f>(IF(H631-pr_pfas_delay=pr_pfas_y1,pr_pfas_1,0)+IF(H631-pr_pfas_delay=pr_pfas_y1+1,pr_pfas_2,0)+IF(H631-pr_pfas_delay=pr_pfas_y1+2,pr_pfas_3,0))*(1+pr_capex_esc)^pr_pfas_delay*(1+pr_capex_shift)</f>
        <v/>
      </c>
      <c r="I639" s="23">
        <f>(IF(I631-pr_pfas_delay=pr_pfas_y1,pr_pfas_1,0)+IF(I631-pr_pfas_delay=pr_pfas_y1+1,pr_pfas_2,0)+IF(I631-pr_pfas_delay=pr_pfas_y1+2,pr_pfas_3,0))*(1+pr_capex_esc)^pr_pfas_delay*(1+pr_capex_shift)</f>
        <v/>
      </c>
      <c r="J639" s="23">
        <f>(IF(J631-pr_pfas_delay=pr_pfas_y1,pr_pfas_1,0)+IF(J631-pr_pfas_delay=pr_pfas_y1+1,pr_pfas_2,0)+IF(J631-pr_pfas_delay=pr_pfas_y1+2,pr_pfas_3,0))*(1+pr_capex_esc)^pr_pfas_delay*(1+pr_capex_shift)</f>
        <v/>
      </c>
      <c r="K639" s="23">
        <f>(IF(K631-pr_pfas_delay=pr_pfas_y1,pr_pfas_1,0)+IF(K631-pr_pfas_delay=pr_pfas_y1+1,pr_pfas_2,0)+IF(K631-pr_pfas_delay=pr_pfas_y1+2,pr_pfas_3,0))*(1+pr_capex_esc)^pr_pfas_delay*(1+pr_capex_shift)</f>
        <v/>
      </c>
      <c r="L639" s="23">
        <f>(IF(L631-pr_pfas_delay=pr_pfas_y1,pr_pfas_1,0)+IF(L631-pr_pfas_delay=pr_pfas_y1+1,pr_pfas_2,0)+IF(L631-pr_pfas_delay=pr_pfas_y1+2,pr_pfas_3,0))*(1+pr_capex_esc)^pr_pfas_delay*(1+pr_capex_shift)</f>
        <v/>
      </c>
      <c r="M639" s="23">
        <f>(IF(M631-pr_pfas_delay=pr_pfas_y1,pr_pfas_1,0)+IF(M631-pr_pfas_delay=pr_pfas_y1+1,pr_pfas_2,0)+IF(M631-pr_pfas_delay=pr_pfas_y1+2,pr_pfas_3,0))*(1+pr_capex_esc)^pr_pfas_delay*(1+pr_capex_shift)</f>
        <v/>
      </c>
      <c r="N639" s="23">
        <f>(IF(N631-pr_pfas_delay=pr_pfas_y1,pr_pfas_1,0)+IF(N631-pr_pfas_delay=pr_pfas_y1+1,pr_pfas_2,0)+IF(N631-pr_pfas_delay=pr_pfas_y1+2,pr_pfas_3,0))*(1+pr_capex_esc)^pr_pfas_delay*(1+pr_capex_shift)</f>
        <v/>
      </c>
    </row>
    <row r="640">
      <c r="B640" s="2" t="inlineStr">
        <is>
          <t>Lead service lines</t>
        </is>
      </c>
      <c r="C640" s="5" t="inlineStr">
        <is>
          <t>$ million</t>
        </is>
      </c>
      <c r="E640" s="23">
        <f>IF(AND(E631&gt;=(pr_close+1),E631&lt;(pr_close+1)+pr_lead_years),pr_lead_lines/pr_lead_years*pr_lead_cost/1000000*E636,0)*(1+pr_capex_shift)</f>
        <v/>
      </c>
      <c r="F640" s="23">
        <f>IF(AND(F631&gt;=(pr_close+1),F631&lt;(pr_close+1)+pr_lead_years),pr_lead_lines/pr_lead_years*pr_lead_cost/1000000*F636,0)*(1+pr_capex_shift)</f>
        <v/>
      </c>
      <c r="G640" s="23">
        <f>IF(AND(G631&gt;=(pr_close+1),G631&lt;(pr_close+1)+pr_lead_years),pr_lead_lines/pr_lead_years*pr_lead_cost/1000000*G636,0)*(1+pr_capex_shift)</f>
        <v/>
      </c>
      <c r="H640" s="23">
        <f>IF(AND(H631&gt;=(pr_close+1),H631&lt;(pr_close+1)+pr_lead_years),pr_lead_lines/pr_lead_years*pr_lead_cost/1000000*H636,0)*(1+pr_capex_shift)</f>
        <v/>
      </c>
      <c r="I640" s="23">
        <f>IF(AND(I631&gt;=(pr_close+1),I631&lt;(pr_close+1)+pr_lead_years),pr_lead_lines/pr_lead_years*pr_lead_cost/1000000*I636,0)*(1+pr_capex_shift)</f>
        <v/>
      </c>
      <c r="J640" s="23">
        <f>IF(AND(J631&gt;=(pr_close+1),J631&lt;(pr_close+1)+pr_lead_years),pr_lead_lines/pr_lead_years*pr_lead_cost/1000000*J636,0)*(1+pr_capex_shift)</f>
        <v/>
      </c>
      <c r="K640" s="23">
        <f>IF(AND(K631&gt;=(pr_close+1),K631&lt;(pr_close+1)+pr_lead_years),pr_lead_lines/pr_lead_years*pr_lead_cost/1000000*K636,0)*(1+pr_capex_shift)</f>
        <v/>
      </c>
      <c r="L640" s="23">
        <f>IF(AND(L631&gt;=(pr_close+1),L631&lt;(pr_close+1)+pr_lead_years),pr_lead_lines/pr_lead_years*pr_lead_cost/1000000*L636,0)*(1+pr_capex_shift)</f>
        <v/>
      </c>
      <c r="M640" s="23">
        <f>IF(AND(M631&gt;=(pr_close+1),M631&lt;(pr_close+1)+pr_lead_years),pr_lead_lines/pr_lead_years*pr_lead_cost/1000000*M636,0)*(1+pr_capex_shift)</f>
        <v/>
      </c>
      <c r="N640" s="23">
        <f>IF(AND(N631&gt;=(pr_close+1),N631&lt;(pr_close+1)+pr_lead_years),pr_lead_lines/pr_lead_years*pr_lead_cost/1000000*N636,0)*(1+pr_capex_shift)</f>
        <v/>
      </c>
    </row>
    <row r="641">
      <c r="B641" s="2" t="inlineStr">
        <is>
          <t>Fennick system</t>
        </is>
      </c>
      <c r="C641" s="5" t="inlineStr">
        <is>
          <t>$ million</t>
        </is>
      </c>
      <c r="E641" s="23">
        <f>IF(AND(pr_fen_on=1,E631&gt;pr_fen_year),pr_fen_capex*(1+pr_capex_esc)^(E631-pr_fen_year-1),0)*(1+pr_capex_shift)</f>
        <v/>
      </c>
      <c r="F641" s="23">
        <f>IF(AND(pr_fen_on=1,F631&gt;pr_fen_year),pr_fen_capex*(1+pr_capex_esc)^(F631-pr_fen_year-1),0)*(1+pr_capex_shift)</f>
        <v/>
      </c>
      <c r="G641" s="23">
        <f>IF(AND(pr_fen_on=1,G631&gt;pr_fen_year),pr_fen_capex*(1+pr_capex_esc)^(G631-pr_fen_year-1),0)*(1+pr_capex_shift)</f>
        <v/>
      </c>
      <c r="H641" s="23">
        <f>IF(AND(pr_fen_on=1,H631&gt;pr_fen_year),pr_fen_capex*(1+pr_capex_esc)^(H631-pr_fen_year-1),0)*(1+pr_capex_shift)</f>
        <v/>
      </c>
      <c r="I641" s="23">
        <f>IF(AND(pr_fen_on=1,I631&gt;pr_fen_year),pr_fen_capex*(1+pr_capex_esc)^(I631-pr_fen_year-1),0)*(1+pr_capex_shift)</f>
        <v/>
      </c>
      <c r="J641" s="23">
        <f>IF(AND(pr_fen_on=1,J631&gt;pr_fen_year),pr_fen_capex*(1+pr_capex_esc)^(J631-pr_fen_year-1),0)*(1+pr_capex_shift)</f>
        <v/>
      </c>
      <c r="K641" s="23">
        <f>IF(AND(pr_fen_on=1,K631&gt;pr_fen_year),pr_fen_capex*(1+pr_capex_esc)^(K631-pr_fen_year-1),0)*(1+pr_capex_shift)</f>
        <v/>
      </c>
      <c r="L641" s="23">
        <f>IF(AND(pr_fen_on=1,L631&gt;pr_fen_year),pr_fen_capex*(1+pr_capex_esc)^(L631-pr_fen_year-1),0)*(1+pr_capex_shift)</f>
        <v/>
      </c>
      <c r="M641" s="23">
        <f>IF(AND(pr_fen_on=1,M631&gt;pr_fen_year),pr_fen_capex*(1+pr_capex_esc)^(M631-pr_fen_year-1),0)*(1+pr_capex_shift)</f>
        <v/>
      </c>
      <c r="N641" s="23">
        <f>IF(AND(pr_fen_on=1,N631&gt;pr_fen_year),pr_fen_capex*(1+pr_capex_esc)^(N631-pr_fen_year-1),0)*(1+pr_capex_shift)</f>
        <v/>
      </c>
    </row>
    <row r="642">
      <c r="B642" s="2" t="inlineStr">
        <is>
          <t>Total capital spending</t>
        </is>
      </c>
      <c r="C642" s="5" t="inlineStr">
        <is>
          <t>$ million</t>
        </is>
      </c>
      <c r="E642" s="23">
        <f>SUM(E637:E641)</f>
        <v/>
      </c>
      <c r="F642" s="23">
        <f>SUM(F637:F641)</f>
        <v/>
      </c>
      <c r="G642" s="23">
        <f>SUM(G637:G641)</f>
        <v/>
      </c>
      <c r="H642" s="23">
        <f>SUM(H637:H641)</f>
        <v/>
      </c>
      <c r="I642" s="23">
        <f>SUM(I637:I641)</f>
        <v/>
      </c>
      <c r="J642" s="23">
        <f>SUM(J637:J641)</f>
        <v/>
      </c>
      <c r="K642" s="23">
        <f>SUM(K637:K641)</f>
        <v/>
      </c>
      <c r="L642" s="23">
        <f>SUM(L637:L641)</f>
        <v/>
      </c>
      <c r="M642" s="23">
        <f>SUM(M637:M641)</f>
        <v/>
      </c>
      <c r="N642" s="23">
        <f>SUM(N637:N641)</f>
        <v/>
      </c>
    </row>
    <row r="643">
      <c r="B643" s="2" t="inlineStr">
        <is>
          <t>DSIC-eligible (mains and lead lines)</t>
        </is>
      </c>
      <c r="C643" s="5" t="inlineStr">
        <is>
          <t>$ million</t>
        </is>
      </c>
      <c r="E643" s="23">
        <f>E637+E640</f>
        <v/>
      </c>
      <c r="F643" s="23">
        <f>F637+F640</f>
        <v/>
      </c>
      <c r="G643" s="23">
        <f>G637+G640</f>
        <v/>
      </c>
      <c r="H643" s="23">
        <f>H637+H640</f>
        <v/>
      </c>
      <c r="I643" s="23">
        <f>I637+I640</f>
        <v/>
      </c>
      <c r="J643" s="23">
        <f>J637+J640</f>
        <v/>
      </c>
      <c r="K643" s="23">
        <f>K637+K640</f>
        <v/>
      </c>
      <c r="L643" s="23">
        <f>L637+L640</f>
        <v/>
      </c>
      <c r="M643" s="23">
        <f>M637+M640</f>
        <v/>
      </c>
      <c r="N643" s="23">
        <f>N637+N640</f>
        <v/>
      </c>
    </row>
    <row r="645">
      <c r="B645" s="6" t="inlineStr">
        <is>
          <t>Rate case (rates effective 1 January of the year; test-year values looked up to the left)</t>
        </is>
      </c>
      <c r="C645" s="7" t="n"/>
      <c r="D645" s="7" t="n"/>
      <c r="E645" s="7" t="n"/>
      <c r="F645" s="7" t="n"/>
      <c r="G645" s="7" t="n"/>
      <c r="H645" s="7" t="n"/>
      <c r="I645" s="7" t="n"/>
      <c r="J645" s="7" t="n"/>
      <c r="K645" s="7" t="n"/>
      <c r="L645" s="7" t="n"/>
      <c r="M645" s="7" t="n"/>
      <c r="N645" s="7" t="n"/>
    </row>
    <row r="646">
      <c r="B646" s="2" t="inlineStr">
        <is>
          <t>Rate case this year (1 = yes)</t>
        </is>
      </c>
      <c r="E646" s="26">
        <f>IF(AND(E631&gt;=pr_rc_first,MOD(E631-pr_rc_first,pr_rc_cycle)=0),1,0)</f>
        <v/>
      </c>
      <c r="F646" s="26">
        <f>IF(AND(F631&gt;=pr_rc_first,MOD(F631-pr_rc_first,pr_rc_cycle)=0),1,0)</f>
        <v/>
      </c>
      <c r="G646" s="26">
        <f>IF(AND(G631&gt;=pr_rc_first,MOD(G631-pr_rc_first,pr_rc_cycle)=0),1,0)</f>
        <v/>
      </c>
      <c r="H646" s="26">
        <f>IF(AND(H631&gt;=pr_rc_first,MOD(H631-pr_rc_first,pr_rc_cycle)=0),1,0)</f>
        <v/>
      </c>
      <c r="I646" s="26">
        <f>IF(AND(I631&gt;=pr_rc_first,MOD(I631-pr_rc_first,pr_rc_cycle)=0),1,0)</f>
        <v/>
      </c>
      <c r="J646" s="26">
        <f>IF(AND(J631&gt;=pr_rc_first,MOD(J631-pr_rc_first,pr_rc_cycle)=0),1,0)</f>
        <v/>
      </c>
      <c r="K646" s="26">
        <f>IF(AND(K631&gt;=pr_rc_first,MOD(K631-pr_rc_first,pr_rc_cycle)=0),1,0)</f>
        <v/>
      </c>
      <c r="L646" s="26">
        <f>IF(AND(L631&gt;=pr_rc_first,MOD(L631-pr_rc_first,pr_rc_cycle)=0),1,0)</f>
        <v/>
      </c>
      <c r="M646" s="26">
        <f>IF(AND(M631&gt;=pr_rc_first,MOD(M631-pr_rc_first,pr_rc_cycle)=0),1,0)</f>
        <v/>
      </c>
      <c r="N646" s="26">
        <f>IF(AND(N631&gt;=pr_rc_first,MOD(N631-pr_rc_first,pr_rc_cycle)=0),1,0)</f>
        <v/>
      </c>
    </row>
    <row r="647">
      <c r="B647" s="2" t="inlineStr">
        <is>
          <t>Test year</t>
        </is>
      </c>
      <c r="E647" s="26">
        <f>E631-pr_test_lag</f>
        <v/>
      </c>
      <c r="F647" s="26">
        <f>F631-pr_test_lag</f>
        <v/>
      </c>
      <c r="G647" s="26">
        <f>G631-pr_test_lag</f>
        <v/>
      </c>
      <c r="H647" s="26">
        <f>H631-pr_test_lag</f>
        <v/>
      </c>
      <c r="I647" s="26">
        <f>I631-pr_test_lag</f>
        <v/>
      </c>
      <c r="J647" s="26">
        <f>J631-pr_test_lag</f>
        <v/>
      </c>
      <c r="K647" s="26">
        <f>K631-pr_test_lag</f>
        <v/>
      </c>
      <c r="L647" s="26">
        <f>L631-pr_test_lag</f>
        <v/>
      </c>
      <c r="M647" s="26">
        <f>M631-pr_test_lag</f>
        <v/>
      </c>
      <c r="N647" s="26">
        <f>N631-pr_test_lag</f>
        <v/>
      </c>
    </row>
    <row r="648">
      <c r="B648" s="2" t="inlineStr">
        <is>
          <t>Test year of the latest rate case</t>
        </is>
      </c>
      <c r="D648" s="26">
        <f>pr_close</f>
        <v/>
      </c>
      <c r="E648" s="26">
        <f>IF(E646=1,E647,D648)</f>
        <v/>
      </c>
      <c r="F648" s="26">
        <f>IF(F646=1,F647,E648)</f>
        <v/>
      </c>
      <c r="G648" s="26">
        <f>IF(G646=1,G647,F648)</f>
        <v/>
      </c>
      <c r="H648" s="26">
        <f>IF(H646=1,H647,G648)</f>
        <v/>
      </c>
      <c r="I648" s="26">
        <f>IF(I646=1,I647,H648)</f>
        <v/>
      </c>
      <c r="J648" s="26">
        <f>IF(J646=1,J647,I648)</f>
        <v/>
      </c>
      <c r="K648" s="26">
        <f>IF(K646=1,K647,J648)</f>
        <v/>
      </c>
      <c r="L648" s="26">
        <f>IF(L646=1,L647,K648)</f>
        <v/>
      </c>
      <c r="M648" s="26">
        <f>IF(M646=1,M647,L648)</f>
        <v/>
      </c>
      <c r="N648" s="26">
        <f>IF(N646=1,N647,M648)</f>
        <v/>
      </c>
    </row>
    <row r="649">
      <c r="B649" s="2" t="inlineStr">
        <is>
          <t>Rate base at the end of the test year</t>
        </is>
      </c>
      <c r="C649" s="5" t="inlineStr">
        <is>
          <t>$ million</t>
        </is>
      </c>
      <c r="E649" s="23">
        <f>INDEX($D$688:D$688,MATCH(MAX(E647,pr_close),$D$631:D$631,0))</f>
        <v/>
      </c>
      <c r="F649" s="23">
        <f>INDEX($D$688:E$688,MATCH(MAX(F647,pr_close),$D$631:E$631,0))</f>
        <v/>
      </c>
      <c r="G649" s="23">
        <f>INDEX($D$688:F$688,MATCH(MAX(G647,pr_close),$D$631:F$631,0))</f>
        <v/>
      </c>
      <c r="H649" s="23">
        <f>INDEX($D$688:G$688,MATCH(MAX(H647,pr_close),$D$631:G$631,0))</f>
        <v/>
      </c>
      <c r="I649" s="23">
        <f>INDEX($D$688:H$688,MATCH(MAX(I647,pr_close),$D$631:H$631,0))</f>
        <v/>
      </c>
      <c r="J649" s="23">
        <f>INDEX($D$688:I$688,MATCH(MAX(J647,pr_close),$D$631:I$631,0))</f>
        <v/>
      </c>
      <c r="K649" s="23">
        <f>INDEX($D$688:J$688,MATCH(MAX(K647,pr_close),$D$631:J$631,0))</f>
        <v/>
      </c>
      <c r="L649" s="23">
        <f>INDEX($D$688:K$688,MATCH(MAX(L647,pr_close),$D$631:K$631,0))</f>
        <v/>
      </c>
      <c r="M649" s="23">
        <f>INDEX($D$688:L$688,MATCH(MAX(M647,pr_close),$D$631:L$631,0))</f>
        <v/>
      </c>
      <c r="N649" s="23">
        <f>INDEX($D$688:M$688,MATCH(MAX(N647,pr_close),$D$631:M$631,0))</f>
        <v/>
      </c>
    </row>
    <row r="650">
      <c r="B650" s="2" t="inlineStr">
        <is>
          <t>Embedded cost of debt in the test year</t>
        </is>
      </c>
      <c r="C650" s="5" t="inlineStr">
        <is>
          <t>rate</t>
        </is>
      </c>
      <c r="E650" s="27">
        <f>INDEX($D$692:D$692,MATCH(MAX(E647,pr_close),$D$631:D$631,0))</f>
        <v/>
      </c>
      <c r="F650" s="27">
        <f>INDEX($D$692:E$692,MATCH(MAX(F647,pr_close),$D$631:E$631,0))</f>
        <v/>
      </c>
      <c r="G650" s="27">
        <f>INDEX($D$692:F$692,MATCH(MAX(G647,pr_close),$D$631:F$631,0))</f>
        <v/>
      </c>
      <c r="H650" s="27">
        <f>INDEX($D$692:G$692,MATCH(MAX(H647,pr_close),$D$631:G$631,0))</f>
        <v/>
      </c>
      <c r="I650" s="27">
        <f>INDEX($D$692:H$692,MATCH(MAX(I647,pr_close),$D$631:H$631,0))</f>
        <v/>
      </c>
      <c r="J650" s="27">
        <f>INDEX($D$692:I$692,MATCH(MAX(J647,pr_close),$D$631:I$631,0))</f>
        <v/>
      </c>
      <c r="K650" s="27">
        <f>INDEX($D$692:J$692,MATCH(MAX(K647,pr_close),$D$631:J$631,0))</f>
        <v/>
      </c>
      <c r="L650" s="27">
        <f>INDEX($D$692:K$692,MATCH(MAX(L647,pr_close),$D$631:K$631,0))</f>
        <v/>
      </c>
      <c r="M650" s="27">
        <f>INDEX($D$692:L$692,MATCH(MAX(M647,pr_close),$D$631:L$631,0))</f>
        <v/>
      </c>
      <c r="N650" s="27">
        <f>INDEX($D$692:M$692,MATCH(MAX(N647,pr_close),$D$631:M$631,0))</f>
        <v/>
      </c>
    </row>
    <row r="651">
      <c r="B651" s="2" t="inlineStr">
        <is>
          <t>O&amp;M in the test year</t>
        </is>
      </c>
      <c r="C651" s="5" t="inlineStr">
        <is>
          <t>$ million</t>
        </is>
      </c>
      <c r="E651" s="23">
        <f>INDEX($D$673:D$673,MATCH(MAX(E647,pr_close),$D$631:D$631,0))</f>
        <v/>
      </c>
      <c r="F651" s="23">
        <f>INDEX($D$673:E$673,MATCH(MAX(F647,pr_close),$D$631:E$631,0))</f>
        <v/>
      </c>
      <c r="G651" s="23">
        <f>INDEX($D$673:F$673,MATCH(MAX(G647,pr_close),$D$631:F$631,0))</f>
        <v/>
      </c>
      <c r="H651" s="23">
        <f>INDEX($D$673:G$673,MATCH(MAX(H647,pr_close),$D$631:G$631,0))</f>
        <v/>
      </c>
      <c r="I651" s="23">
        <f>INDEX($D$673:H$673,MATCH(MAX(I647,pr_close),$D$631:H$631,0))</f>
        <v/>
      </c>
      <c r="J651" s="23">
        <f>INDEX($D$673:I$673,MATCH(MAX(J647,pr_close),$D$631:I$631,0))</f>
        <v/>
      </c>
      <c r="K651" s="23">
        <f>INDEX($D$673:J$673,MATCH(MAX(K647,pr_close),$D$631:J$631,0))</f>
        <v/>
      </c>
      <c r="L651" s="23">
        <f>INDEX($D$673:K$673,MATCH(MAX(L647,pr_close),$D$631:K$631,0))</f>
        <v/>
      </c>
      <c r="M651" s="23">
        <f>INDEX($D$673:L$673,MATCH(MAX(M647,pr_close),$D$631:L$631,0))</f>
        <v/>
      </c>
      <c r="N651" s="23">
        <f>INDEX($D$673:M$673,MATCH(MAX(N647,pr_close),$D$631:M$631,0))</f>
        <v/>
      </c>
    </row>
    <row r="652">
      <c r="B652" s="2" t="inlineStr">
        <is>
          <t>Authorized return on rate base</t>
        </is>
      </c>
      <c r="C652" s="5" t="inlineStr">
        <is>
          <t>rate</t>
        </is>
      </c>
      <c r="E652" s="27">
        <f>(pr_eq*pr_roe+(1-pr_eq)*E650)</f>
        <v/>
      </c>
      <c r="F652" s="27">
        <f>(pr_eq*pr_roe+(1-pr_eq)*F650)</f>
        <v/>
      </c>
      <c r="G652" s="27">
        <f>(pr_eq*pr_roe+(1-pr_eq)*G650)</f>
        <v/>
      </c>
      <c r="H652" s="27">
        <f>(pr_eq*pr_roe+(1-pr_eq)*H650)</f>
        <v/>
      </c>
      <c r="I652" s="27">
        <f>(pr_eq*pr_roe+(1-pr_eq)*I650)</f>
        <v/>
      </c>
      <c r="J652" s="27">
        <f>(pr_eq*pr_roe+(1-pr_eq)*J650)</f>
        <v/>
      </c>
      <c r="K652" s="27">
        <f>(pr_eq*pr_roe+(1-pr_eq)*K650)</f>
        <v/>
      </c>
      <c r="L652" s="27">
        <f>(pr_eq*pr_roe+(1-pr_eq)*L650)</f>
        <v/>
      </c>
      <c r="M652" s="27">
        <f>(pr_eq*pr_roe+(1-pr_eq)*M650)</f>
        <v/>
      </c>
      <c r="N652" s="27">
        <f>(pr_eq*pr_roe+(1-pr_eq)*N650)</f>
        <v/>
      </c>
    </row>
    <row r="653">
      <c r="B653" s="2" t="inlineStr">
        <is>
          <t>Return</t>
        </is>
      </c>
      <c r="C653" s="5" t="inlineStr">
        <is>
          <t>$ million</t>
        </is>
      </c>
      <c r="E653" s="23">
        <f>E652*E649</f>
        <v/>
      </c>
      <c r="F653" s="23">
        <f>F652*F649</f>
        <v/>
      </c>
      <c r="G653" s="23">
        <f>G652*G649</f>
        <v/>
      </c>
      <c r="H653" s="23">
        <f>H652*H649</f>
        <v/>
      </c>
      <c r="I653" s="23">
        <f>I652*I649</f>
        <v/>
      </c>
      <c r="J653" s="23">
        <f>J652*J649</f>
        <v/>
      </c>
      <c r="K653" s="23">
        <f>K652*K649</f>
        <v/>
      </c>
      <c r="L653" s="23">
        <f>L652*L649</f>
        <v/>
      </c>
      <c r="M653" s="23">
        <f>M652*M649</f>
        <v/>
      </c>
      <c r="N653" s="23">
        <f>N652*N649</f>
        <v/>
      </c>
    </row>
    <row r="654">
      <c r="B654" s="2" t="inlineStr">
        <is>
          <t>Income tax gross-up</t>
        </is>
      </c>
      <c r="C654" s="5" t="inlineStr">
        <is>
          <t>$ million</t>
        </is>
      </c>
      <c r="E654" s="23">
        <f>(pr_eq*pr_roe*pr_tax/(1-pr_tax))*E649</f>
        <v/>
      </c>
      <c r="F654" s="23">
        <f>(pr_eq*pr_roe*pr_tax/(1-pr_tax))*F649</f>
        <v/>
      </c>
      <c r="G654" s="23">
        <f>(pr_eq*pr_roe*pr_tax/(1-pr_tax))*G649</f>
        <v/>
      </c>
      <c r="H654" s="23">
        <f>(pr_eq*pr_roe*pr_tax/(1-pr_tax))*H649</f>
        <v/>
      </c>
      <c r="I654" s="23">
        <f>(pr_eq*pr_roe*pr_tax/(1-pr_tax))*I649</f>
        <v/>
      </c>
      <c r="J654" s="23">
        <f>(pr_eq*pr_roe*pr_tax/(1-pr_tax))*J649</f>
        <v/>
      </c>
      <c r="K654" s="23">
        <f>(pr_eq*pr_roe*pr_tax/(1-pr_tax))*K649</f>
        <v/>
      </c>
      <c r="L654" s="23">
        <f>(pr_eq*pr_roe*pr_tax/(1-pr_tax))*L649</f>
        <v/>
      </c>
      <c r="M654" s="23">
        <f>(pr_eq*pr_roe*pr_tax/(1-pr_tax))*M649</f>
        <v/>
      </c>
      <c r="N654" s="23">
        <f>(pr_eq*pr_roe*pr_tax/(1-pr_tax))*N649</f>
        <v/>
      </c>
    </row>
    <row r="655">
      <c r="B655" s="2" t="inlineStr">
        <is>
          <t>Depreciation</t>
        </is>
      </c>
      <c r="C655" s="5" t="inlineStr">
        <is>
          <t>$ million</t>
        </is>
      </c>
      <c r="E655" s="23">
        <f>pr_dep*E649</f>
        <v/>
      </c>
      <c r="F655" s="23">
        <f>pr_dep*F649</f>
        <v/>
      </c>
      <c r="G655" s="23">
        <f>pr_dep*G649</f>
        <v/>
      </c>
      <c r="H655" s="23">
        <f>pr_dep*H649</f>
        <v/>
      </c>
      <c r="I655" s="23">
        <f>pr_dep*I649</f>
        <v/>
      </c>
      <c r="J655" s="23">
        <f>pr_dep*J649</f>
        <v/>
      </c>
      <c r="K655" s="23">
        <f>pr_dep*K649</f>
        <v/>
      </c>
      <c r="L655" s="23">
        <f>pr_dep*L649</f>
        <v/>
      </c>
      <c r="M655" s="23">
        <f>pr_dep*M649</f>
        <v/>
      </c>
      <c r="N655" s="23">
        <f>pr_dep*N649</f>
        <v/>
      </c>
    </row>
    <row r="656">
      <c r="B656" s="2" t="inlineStr">
        <is>
          <t>Other taxes</t>
        </is>
      </c>
      <c r="C656" s="5" t="inlineStr">
        <is>
          <t>$ million</t>
        </is>
      </c>
      <c r="E656" s="23">
        <f>pr_ptax*E649</f>
        <v/>
      </c>
      <c r="F656" s="23">
        <f>pr_ptax*F649</f>
        <v/>
      </c>
      <c r="G656" s="23">
        <f>pr_ptax*G649</f>
        <v/>
      </c>
      <c r="H656" s="23">
        <f>pr_ptax*H649</f>
        <v/>
      </c>
      <c r="I656" s="23">
        <f>pr_ptax*I649</f>
        <v/>
      </c>
      <c r="J656" s="23">
        <f>pr_ptax*J649</f>
        <v/>
      </c>
      <c r="K656" s="23">
        <f>pr_ptax*K649</f>
        <v/>
      </c>
      <c r="L656" s="23">
        <f>pr_ptax*L649</f>
        <v/>
      </c>
      <c r="M656" s="23">
        <f>pr_ptax*M649</f>
        <v/>
      </c>
      <c r="N656" s="23">
        <f>pr_ptax*N649</f>
        <v/>
      </c>
    </row>
    <row r="657">
      <c r="B657" s="2" t="inlineStr">
        <is>
          <t>O&amp;M (test year, known and measurable)</t>
        </is>
      </c>
      <c r="C657" s="5" t="inlineStr">
        <is>
          <t>$ million</t>
        </is>
      </c>
      <c r="E657" s="23">
        <f>E651*(1+pr_om_infl)*(1+pr_growth)</f>
        <v/>
      </c>
      <c r="F657" s="23">
        <f>F651*(1+pr_om_infl)*(1+pr_growth)</f>
        <v/>
      </c>
      <c r="G657" s="23">
        <f>G651*(1+pr_om_infl)*(1+pr_growth)</f>
        <v/>
      </c>
      <c r="H657" s="23">
        <f>H651*(1+pr_om_infl)*(1+pr_growth)</f>
        <v/>
      </c>
      <c r="I657" s="23">
        <f>I651*(1+pr_om_infl)*(1+pr_growth)</f>
        <v/>
      </c>
      <c r="J657" s="23">
        <f>J651*(1+pr_om_infl)*(1+pr_growth)</f>
        <v/>
      </c>
      <c r="K657" s="23">
        <f>K651*(1+pr_om_infl)*(1+pr_growth)</f>
        <v/>
      </c>
      <c r="L657" s="23">
        <f>L651*(1+pr_om_infl)*(1+pr_growth)</f>
        <v/>
      </c>
      <c r="M657" s="23">
        <f>M651*(1+pr_om_infl)*(1+pr_growth)</f>
        <v/>
      </c>
      <c r="N657" s="23">
        <f>N651*(1+pr_om_infl)*(1+pr_growth)</f>
        <v/>
      </c>
    </row>
    <row r="658">
      <c r="B658" s="2" t="inlineStr">
        <is>
          <t>Revenue requirement (test-year connections)</t>
        </is>
      </c>
      <c r="C658" s="5" t="inlineStr">
        <is>
          <t>$ million</t>
        </is>
      </c>
      <c r="E658" s="23">
        <f>SUM(E653:E657)</f>
        <v/>
      </c>
      <c r="F658" s="23">
        <f>SUM(F653:F657)</f>
        <v/>
      </c>
      <c r="G658" s="23">
        <f>SUM(G653:G657)</f>
        <v/>
      </c>
      <c r="H658" s="23">
        <f>SUM(H653:H657)</f>
        <v/>
      </c>
      <c r="I658" s="23">
        <f>SUM(I653:I657)</f>
        <v/>
      </c>
      <c r="J658" s="23">
        <f>SUM(J653:J657)</f>
        <v/>
      </c>
      <c r="K658" s="23">
        <f>SUM(K653:K657)</f>
        <v/>
      </c>
      <c r="L658" s="23">
        <f>SUM(L653:L657)</f>
        <v/>
      </c>
      <c r="M658" s="23">
        <f>SUM(M653:M657)</f>
        <v/>
      </c>
      <c r="N658" s="23">
        <f>SUM(N653:N657)</f>
        <v/>
      </c>
    </row>
    <row r="659">
      <c r="B659" s="2" t="inlineStr">
        <is>
          <t>Revenue requirement on effective-year connections</t>
        </is>
      </c>
      <c r="C659" s="5" t="inlineStr">
        <is>
          <t>$ million</t>
        </is>
      </c>
      <c r="E659" s="23">
        <f>E658*(1+pr_growth)</f>
        <v/>
      </c>
      <c r="F659" s="23">
        <f>F658*(1+pr_growth)</f>
        <v/>
      </c>
      <c r="G659" s="23">
        <f>G658*(1+pr_growth)</f>
        <v/>
      </c>
      <c r="H659" s="23">
        <f>H658*(1+pr_growth)</f>
        <v/>
      </c>
      <c r="I659" s="23">
        <f>I658*(1+pr_growth)</f>
        <v/>
      </c>
      <c r="J659" s="23">
        <f>J658*(1+pr_growth)</f>
        <v/>
      </c>
      <c r="K659" s="23">
        <f>K658*(1+pr_growth)</f>
        <v/>
      </c>
      <c r="L659" s="23">
        <f>L658*(1+pr_growth)</f>
        <v/>
      </c>
      <c r="M659" s="23">
        <f>M658*(1+pr_growth)</f>
        <v/>
      </c>
      <c r="N659" s="23">
        <f>N658*(1+pr_growth)</f>
        <v/>
      </c>
    </row>
    <row r="660">
      <c r="B660" s="2" t="inlineStr">
        <is>
          <t>Revenue at existing rates</t>
        </is>
      </c>
      <c r="C660" s="5" t="inlineStr">
        <is>
          <t>$ million</t>
        </is>
      </c>
      <c r="E660" s="23">
        <f>IF(E631=(pr_close+1),D666,D666*(1+pr_growth)*(1-pr_vol_share*IF(pr_decoupling=1,0,pr_usage))+D667+D669)</f>
        <v/>
      </c>
      <c r="F660" s="23">
        <f>IF(F631=(pr_close+1),E666,E666*(1+pr_growth)*(1-pr_vol_share*IF(pr_decoupling=1,0,pr_usage))+E667+E669)</f>
        <v/>
      </c>
      <c r="G660" s="23">
        <f>IF(G631=(pr_close+1),F666,F666*(1+pr_growth)*(1-pr_vol_share*IF(pr_decoupling=1,0,pr_usage))+F667+F669)</f>
        <v/>
      </c>
      <c r="H660" s="23">
        <f>IF(H631=(pr_close+1),G666,G666*(1+pr_growth)*(1-pr_vol_share*IF(pr_decoupling=1,0,pr_usage))+G667+G669)</f>
        <v/>
      </c>
      <c r="I660" s="23">
        <f>IF(I631=(pr_close+1),H666,H666*(1+pr_growth)*(1-pr_vol_share*IF(pr_decoupling=1,0,pr_usage))+H667+H669)</f>
        <v/>
      </c>
      <c r="J660" s="23">
        <f>IF(J631=(pr_close+1),I666,I666*(1+pr_growth)*(1-pr_vol_share*IF(pr_decoupling=1,0,pr_usage))+I667+I669)</f>
        <v/>
      </c>
      <c r="K660" s="23">
        <f>IF(K631=(pr_close+1),J666,J666*(1+pr_growth)*(1-pr_vol_share*IF(pr_decoupling=1,0,pr_usage))+J667+J669)</f>
        <v/>
      </c>
      <c r="L660" s="23">
        <f>IF(L631=(pr_close+1),K666,K666*(1+pr_growth)*(1-pr_vol_share*IF(pr_decoupling=1,0,pr_usage))+K667+K669)</f>
        <v/>
      </c>
      <c r="M660" s="23">
        <f>IF(M631=(pr_close+1),L666,L666*(1+pr_growth)*(1-pr_vol_share*IF(pr_decoupling=1,0,pr_usage))+L667+L669)</f>
        <v/>
      </c>
      <c r="N660" s="23">
        <f>IF(N631=(pr_close+1),M666,M666*(1+pr_growth)*(1-pr_vol_share*IF(pr_decoupling=1,0,pr_usage))+M667+M669)</f>
        <v/>
      </c>
    </row>
    <row r="661">
      <c r="B661" s="2" t="inlineStr">
        <is>
          <t>Increase granted</t>
        </is>
      </c>
      <c r="C661" s="5" t="inlineStr">
        <is>
          <t>share</t>
        </is>
      </c>
      <c r="E661" s="20">
        <f>E659/E660-1</f>
        <v/>
      </c>
      <c r="F661" s="20">
        <f>F659/F660-1</f>
        <v/>
      </c>
      <c r="G661" s="20">
        <f>G659/G660-1</f>
        <v/>
      </c>
      <c r="H661" s="20">
        <f>H659/H660-1</f>
        <v/>
      </c>
      <c r="I661" s="20">
        <f>I659/I660-1</f>
        <v/>
      </c>
      <c r="J661" s="20">
        <f>J659/J660-1</f>
        <v/>
      </c>
      <c r="K661" s="20">
        <f>K659/K660-1</f>
        <v/>
      </c>
      <c r="L661" s="20">
        <f>L659/L660-1</f>
        <v/>
      </c>
      <c r="M661" s="20">
        <f>M659/M660-1</f>
        <v/>
      </c>
      <c r="N661" s="20">
        <f>N659/N660-1</f>
        <v/>
      </c>
    </row>
    <row r="662">
      <c r="B662" s="2" t="inlineStr">
        <is>
          <t>Revenue requirement requested (at the requested ROE)</t>
        </is>
      </c>
      <c r="C662" s="5" t="inlineStr">
        <is>
          <t>$ million</t>
        </is>
      </c>
      <c r="E662" s="23">
        <f>(pr_eq*pr_roe_ask+(1-pr_eq)*E650)*E649+pr_eq*pr_roe_ask*E649*pr_tax/(1-pr_tax)+E655+E656+E657</f>
        <v/>
      </c>
      <c r="F662" s="23">
        <f>(pr_eq*pr_roe_ask+(1-pr_eq)*F650)*F649+pr_eq*pr_roe_ask*F649*pr_tax/(1-pr_tax)+F655+F656+F657</f>
        <v/>
      </c>
      <c r="G662" s="23">
        <f>(pr_eq*pr_roe_ask+(1-pr_eq)*G650)*G649+pr_eq*pr_roe_ask*G649*pr_tax/(1-pr_tax)+G655+G656+G657</f>
        <v/>
      </c>
      <c r="H662" s="23">
        <f>(pr_eq*pr_roe_ask+(1-pr_eq)*H650)*H649+pr_eq*pr_roe_ask*H649*pr_tax/(1-pr_tax)+H655+H656+H657</f>
        <v/>
      </c>
      <c r="I662" s="23">
        <f>(pr_eq*pr_roe_ask+(1-pr_eq)*I650)*I649+pr_eq*pr_roe_ask*I649*pr_tax/(1-pr_tax)+I655+I656+I657</f>
        <v/>
      </c>
      <c r="J662" s="23">
        <f>(pr_eq*pr_roe_ask+(1-pr_eq)*J650)*J649+pr_eq*pr_roe_ask*J649*pr_tax/(1-pr_tax)+J655+J656+J657</f>
        <v/>
      </c>
      <c r="K662" s="23">
        <f>(pr_eq*pr_roe_ask+(1-pr_eq)*K650)*K649+pr_eq*pr_roe_ask*K649*pr_tax/(1-pr_tax)+K655+K656+K657</f>
        <v/>
      </c>
      <c r="L662" s="23">
        <f>(pr_eq*pr_roe_ask+(1-pr_eq)*L650)*L649+pr_eq*pr_roe_ask*L649*pr_tax/(1-pr_tax)+L655+L656+L657</f>
        <v/>
      </c>
      <c r="M662" s="23">
        <f>(pr_eq*pr_roe_ask+(1-pr_eq)*M650)*M649+pr_eq*pr_roe_ask*M649*pr_tax/(1-pr_tax)+M655+M656+M657</f>
        <v/>
      </c>
      <c r="N662" s="23">
        <f>(pr_eq*pr_roe_ask+(1-pr_eq)*N650)*N649+pr_eq*pr_roe_ask*N649*pr_tax/(1-pr_tax)+N655+N656+N657</f>
        <v/>
      </c>
    </row>
    <row r="663">
      <c r="B663" s="2" t="inlineStr">
        <is>
          <t>Increase requested</t>
        </is>
      </c>
      <c r="C663" s="5" t="inlineStr">
        <is>
          <t>share</t>
        </is>
      </c>
      <c r="E663" s="20">
        <f>E662*(1+pr_growth)/E660-1</f>
        <v/>
      </c>
      <c r="F663" s="20">
        <f>F662*(1+pr_growth)/F660-1</f>
        <v/>
      </c>
      <c r="G663" s="20">
        <f>G662*(1+pr_growth)/G660-1</f>
        <v/>
      </c>
      <c r="H663" s="20">
        <f>H662*(1+pr_growth)/H660-1</f>
        <v/>
      </c>
      <c r="I663" s="20">
        <f>I662*(1+pr_growth)/I660-1</f>
        <v/>
      </c>
      <c r="J663" s="20">
        <f>J662*(1+pr_growth)/J660-1</f>
        <v/>
      </c>
      <c r="K663" s="20">
        <f>K662*(1+pr_growth)/K660-1</f>
        <v/>
      </c>
      <c r="L663" s="20">
        <f>L662*(1+pr_growth)/L660-1</f>
        <v/>
      </c>
      <c r="M663" s="20">
        <f>M662*(1+pr_growth)/M660-1</f>
        <v/>
      </c>
      <c r="N663" s="20">
        <f>N662*(1+pr_growth)/N660-1</f>
        <v/>
      </c>
    </row>
    <row r="665">
      <c r="B665" s="6" t="inlineStr">
        <is>
          <t>Revenue ($ million)</t>
        </is>
      </c>
      <c r="C665" s="7" t="n"/>
      <c r="D665" s="7" t="n"/>
      <c r="E665" s="7" t="n"/>
      <c r="F665" s="7" t="n"/>
      <c r="G665" s="7" t="n"/>
      <c r="H665" s="7" t="n"/>
      <c r="I665" s="7" t="n"/>
      <c r="J665" s="7" t="n"/>
      <c r="K665" s="7" t="n"/>
      <c r="L665" s="7" t="n"/>
      <c r="M665" s="7" t="n"/>
      <c r="N665" s="7" t="n"/>
    </row>
    <row r="666">
      <c r="B666" s="2" t="inlineStr">
        <is>
          <t>Base revenue (rate case, or prior year x growth x volume erosion)</t>
        </is>
      </c>
      <c r="C666" s="5" t="inlineStr">
        <is>
          <t>$ million</t>
        </is>
      </c>
      <c r="D666" s="23">
        <f>pr_rev_2028/((1+pr_growth)*(1-pr_vol_share*IF(pr_decoupling=1,0,pr_usage)))</f>
        <v/>
      </c>
      <c r="E666" s="23">
        <f>IF(E646=1,E659,D666*(1+pr_growth)*(1-pr_vol_share*IF(pr_decoupling=1,0,pr_usage)))</f>
        <v/>
      </c>
      <c r="F666" s="23">
        <f>IF(F646=1,F659,E666*(1+pr_growth)*(1-pr_vol_share*IF(pr_decoupling=1,0,pr_usage)))</f>
        <v/>
      </c>
      <c r="G666" s="23">
        <f>IF(G646=1,G659,F666*(1+pr_growth)*(1-pr_vol_share*IF(pr_decoupling=1,0,pr_usage)))</f>
        <v/>
      </c>
      <c r="H666" s="23">
        <f>IF(H646=1,H659,G666*(1+pr_growth)*(1-pr_vol_share*IF(pr_decoupling=1,0,pr_usage)))</f>
        <v/>
      </c>
      <c r="I666" s="23">
        <f>IF(I646=1,I659,H666*(1+pr_growth)*(1-pr_vol_share*IF(pr_decoupling=1,0,pr_usage)))</f>
        <v/>
      </c>
      <c r="J666" s="23">
        <f>IF(J646=1,J659,I666*(1+pr_growth)*(1-pr_vol_share*IF(pr_decoupling=1,0,pr_usage)))</f>
        <v/>
      </c>
      <c r="K666" s="23">
        <f>IF(K646=1,K659,J666*(1+pr_growth)*(1-pr_vol_share*IF(pr_decoupling=1,0,pr_usage)))</f>
        <v/>
      </c>
      <c r="L666" s="23">
        <f>IF(L646=1,L659,K666*(1+pr_growth)*(1-pr_vol_share*IF(pr_decoupling=1,0,pr_usage)))</f>
        <v/>
      </c>
      <c r="M666" s="23">
        <f>IF(M646=1,M659,L666*(1+pr_growth)*(1-pr_vol_share*IF(pr_decoupling=1,0,pr_usage)))</f>
        <v/>
      </c>
      <c r="N666" s="23">
        <f>IF(N646=1,N659,M666*(1+pr_growth)*(1-pr_vol_share*IF(pr_decoupling=1,0,pr_usage)))</f>
        <v/>
      </c>
    </row>
    <row r="667">
      <c r="B667" s="2" t="inlineStr">
        <is>
          <t>Fennick revenue at its old rates (until the next rate case)</t>
        </is>
      </c>
      <c r="C667" s="5" t="inlineStr">
        <is>
          <t>$ million</t>
        </is>
      </c>
      <c r="E667" s="23">
        <f>IF(AND(pr_fen_on=1,E631&gt;pr_fen_year,SUMIFS($D$646:E$646,$D$631:E$631,"&gt;"&amp;pr_fen_year)=0),pr_fen_rev,0)</f>
        <v/>
      </c>
      <c r="F667" s="23">
        <f>IF(AND(pr_fen_on=1,F631&gt;pr_fen_year,SUMIFS($D$646:F$646,$D$631:F$631,"&gt;"&amp;pr_fen_year)=0),pr_fen_rev,0)</f>
        <v/>
      </c>
      <c r="G667" s="23">
        <f>IF(AND(pr_fen_on=1,G631&gt;pr_fen_year,SUMIFS($D$646:G$646,$D$631:G$631,"&gt;"&amp;pr_fen_year)=0),pr_fen_rev,0)</f>
        <v/>
      </c>
      <c r="H667" s="23">
        <f>IF(AND(pr_fen_on=1,H631&gt;pr_fen_year,SUMIFS($D$646:H$646,$D$631:H$631,"&gt;"&amp;pr_fen_year)=0),pr_fen_rev,0)</f>
        <v/>
      </c>
      <c r="I667" s="23">
        <f>IF(AND(pr_fen_on=1,I631&gt;pr_fen_year,SUMIFS($D$646:I$646,$D$631:I$631,"&gt;"&amp;pr_fen_year)=0),pr_fen_rev,0)</f>
        <v/>
      </c>
      <c r="J667" s="23">
        <f>IF(AND(pr_fen_on=1,J631&gt;pr_fen_year,SUMIFS($D$646:J$646,$D$631:J$631,"&gt;"&amp;pr_fen_year)=0),pr_fen_rev,0)</f>
        <v/>
      </c>
      <c r="K667" s="23">
        <f>IF(AND(pr_fen_on=1,K631&gt;pr_fen_year,SUMIFS($D$646:K$646,$D$631:K$631,"&gt;"&amp;pr_fen_year)=0),pr_fen_rev,0)</f>
        <v/>
      </c>
      <c r="L667" s="23">
        <f>IF(AND(pr_fen_on=1,L631&gt;pr_fen_year,SUMIFS($D$646:L$646,$D$631:L$631,"&gt;"&amp;pr_fen_year)=0),pr_fen_rev,0)</f>
        <v/>
      </c>
      <c r="M667" s="23">
        <f>IF(AND(pr_fen_on=1,M631&gt;pr_fen_year,SUMIFS($D$646:M$646,$D$631:M$631,"&gt;"&amp;pr_fen_year)=0),pr_fen_rev,0)</f>
        <v/>
      </c>
      <c r="N667" s="23">
        <f>IF(AND(pr_fen_on=1,N631&gt;pr_fen_year,SUMIFS($D$646:N$646,$D$631:N$631,"&gt;"&amp;pr_fen_year)=0),pr_fen_rev,0)</f>
        <v/>
      </c>
    </row>
    <row r="668">
      <c r="B668" s="2" t="inlineStr">
        <is>
          <t>DSIC pool: eligible plant since the latest test year</t>
        </is>
      </c>
      <c r="C668" s="5" t="inlineStr">
        <is>
          <t>$ million</t>
        </is>
      </c>
      <c r="E668" s="23">
        <f>IF(E631=(pr_close+1),0,SUMIFS($D$643:D$643,$D$631:D$631,"&gt;"&amp;E648))</f>
        <v/>
      </c>
      <c r="F668" s="23">
        <f>IF(F631=(pr_close+1),0,SUMIFS($D$643:E$643,$D$631:E$631,"&gt;"&amp;F648))</f>
        <v/>
      </c>
      <c r="G668" s="23">
        <f>IF(G631=(pr_close+1),0,SUMIFS($D$643:F$643,$D$631:F$631,"&gt;"&amp;G648))</f>
        <v/>
      </c>
      <c r="H668" s="23">
        <f>IF(H631=(pr_close+1),0,SUMIFS($D$643:G$643,$D$631:G$631,"&gt;"&amp;H648))</f>
        <v/>
      </c>
      <c r="I668" s="23">
        <f>IF(I631=(pr_close+1),0,SUMIFS($D$643:H$643,$D$631:H$631,"&gt;"&amp;I648))</f>
        <v/>
      </c>
      <c r="J668" s="23">
        <f>IF(J631=(pr_close+1),0,SUMIFS($D$643:I$643,$D$631:I$631,"&gt;"&amp;J648))</f>
        <v/>
      </c>
      <c r="K668" s="23">
        <f>IF(K631=(pr_close+1),0,SUMIFS($D$643:J$643,$D$631:J$631,"&gt;"&amp;K648))</f>
        <v/>
      </c>
      <c r="L668" s="23">
        <f>IF(L631=(pr_close+1),0,SUMIFS($D$643:K$643,$D$631:K$631,"&gt;"&amp;L648))</f>
        <v/>
      </c>
      <c r="M668" s="23">
        <f>IF(M631=(pr_close+1),0,SUMIFS($D$643:L$643,$D$631:L$631,"&gt;"&amp;M648))</f>
        <v/>
      </c>
      <c r="N668" s="23">
        <f>IF(N631=(pr_close+1),0,SUMIFS($D$643:M$643,$D$631:M$631,"&gt;"&amp;N648))</f>
        <v/>
      </c>
    </row>
    <row r="669">
      <c r="B669" s="2" t="inlineStr">
        <is>
          <t>DSIC surcharge (capped)</t>
        </is>
      </c>
      <c r="C669" s="5" t="inlineStr">
        <is>
          <t>$ million</t>
        </is>
      </c>
      <c r="E669" s="23">
        <f>IF(AND(pr_dsic=1,E631&gt;(pr_close+1)),MIN(pr_dsic_cap*E666,E668*((pr_eq*pr_roe+(1-pr_eq)*D692)+(pr_eq*pr_roe*pr_tax/(1-pr_tax))+pr_dep)),0)</f>
        <v/>
      </c>
      <c r="F669" s="23">
        <f>IF(AND(pr_dsic=1,F631&gt;(pr_close+1)),MIN(pr_dsic_cap*F666,F668*((pr_eq*pr_roe+(1-pr_eq)*E692)+(pr_eq*pr_roe*pr_tax/(1-pr_tax))+pr_dep)),0)</f>
        <v/>
      </c>
      <c r="G669" s="23">
        <f>IF(AND(pr_dsic=1,G631&gt;(pr_close+1)),MIN(pr_dsic_cap*G666,G668*((pr_eq*pr_roe+(1-pr_eq)*F692)+(pr_eq*pr_roe*pr_tax/(1-pr_tax))+pr_dep)),0)</f>
        <v/>
      </c>
      <c r="H669" s="23">
        <f>IF(AND(pr_dsic=1,H631&gt;(pr_close+1)),MIN(pr_dsic_cap*H666,H668*((pr_eq*pr_roe+(1-pr_eq)*G692)+(pr_eq*pr_roe*pr_tax/(1-pr_tax))+pr_dep)),0)</f>
        <v/>
      </c>
      <c r="I669" s="23">
        <f>IF(AND(pr_dsic=1,I631&gt;(pr_close+1)),MIN(pr_dsic_cap*I666,I668*((pr_eq*pr_roe+(1-pr_eq)*H692)+(pr_eq*pr_roe*pr_tax/(1-pr_tax))+pr_dep)),0)</f>
        <v/>
      </c>
      <c r="J669" s="23">
        <f>IF(AND(pr_dsic=1,J631&gt;(pr_close+1)),MIN(pr_dsic_cap*J666,J668*((pr_eq*pr_roe+(1-pr_eq)*I692)+(pr_eq*pr_roe*pr_tax/(1-pr_tax))+pr_dep)),0)</f>
        <v/>
      </c>
      <c r="K669" s="23">
        <f>IF(AND(pr_dsic=1,K631&gt;(pr_close+1)),MIN(pr_dsic_cap*K666,K668*((pr_eq*pr_roe+(1-pr_eq)*J692)+(pr_eq*pr_roe*pr_tax/(1-pr_tax))+pr_dep)),0)</f>
        <v/>
      </c>
      <c r="L669" s="23">
        <f>IF(AND(pr_dsic=1,L631&gt;(pr_close+1)),MIN(pr_dsic_cap*L666,L668*((pr_eq*pr_roe+(1-pr_eq)*K692)+(pr_eq*pr_roe*pr_tax/(1-pr_tax))+pr_dep)),0)</f>
        <v/>
      </c>
      <c r="M669" s="23">
        <f>IF(AND(pr_dsic=1,M631&gt;(pr_close+1)),MIN(pr_dsic_cap*M666,M668*((pr_eq*pr_roe+(1-pr_eq)*L692)+(pr_eq*pr_roe*pr_tax/(1-pr_tax))+pr_dep)),0)</f>
        <v/>
      </c>
      <c r="N669" s="23">
        <f>IF(AND(pr_dsic=1,N631&gt;(pr_close+1)),MIN(pr_dsic_cap*N666,N668*((pr_eq*pr_roe+(1-pr_eq)*M692)+(pr_eq*pr_roe*pr_tax/(1-pr_tax))+pr_dep)),0)</f>
        <v/>
      </c>
    </row>
    <row r="670">
      <c r="B670" s="3" t="inlineStr">
        <is>
          <t>Revenue</t>
        </is>
      </c>
      <c r="C670" s="5" t="inlineStr">
        <is>
          <t>$ million</t>
        </is>
      </c>
      <c r="E670" s="23">
        <f>E666+E667+E669</f>
        <v/>
      </c>
      <c r="F670" s="23">
        <f>F666+F667+F669</f>
        <v/>
      </c>
      <c r="G670" s="23">
        <f>G666+G667+G669</f>
        <v/>
      </c>
      <c r="H670" s="23">
        <f>H666+H667+H669</f>
        <v/>
      </c>
      <c r="I670" s="23">
        <f>I666+I667+I669</f>
        <v/>
      </c>
      <c r="J670" s="23">
        <f>J666+J667+J669</f>
        <v/>
      </c>
      <c r="K670" s="23">
        <f>K666+K667+K669</f>
        <v/>
      </c>
      <c r="L670" s="23">
        <f>L666+L667+L669</f>
        <v/>
      </c>
      <c r="M670" s="23">
        <f>M666+M667+M669</f>
        <v/>
      </c>
      <c r="N670" s="23">
        <f>N666+N667+N669</f>
        <v/>
      </c>
    </row>
    <row r="672">
      <c r="B672" s="6" t="inlineStr">
        <is>
          <t>Costs and income ($ million)</t>
        </is>
      </c>
      <c r="C672" s="7" t="n"/>
      <c r="D672" s="7" t="n"/>
      <c r="E672" s="7" t="n"/>
      <c r="F672" s="7" t="n"/>
      <c r="G672" s="7" t="n"/>
      <c r="H672" s="7" t="n"/>
      <c r="I672" s="7" t="n"/>
      <c r="J672" s="7" t="n"/>
      <c r="K672" s="7" t="n"/>
      <c r="L672" s="7" t="n"/>
      <c r="M672" s="7" t="n"/>
      <c r="N672" s="7" t="n"/>
    </row>
    <row r="673">
      <c r="B673" s="2" t="inlineStr">
        <is>
          <t>Operation and maintenance (with PFAS and Fennick)</t>
        </is>
      </c>
      <c r="C673" s="5" t="inlineStr">
        <is>
          <t>$ million</t>
        </is>
      </c>
      <c r="D673" s="23">
        <f>pr_om_2028/((1+pr_om_infl)*(1+pr_growth))</f>
        <v/>
      </c>
      <c r="E673" s="23">
        <f>pr_om_2028*((1+pr_om_infl)*(1+pr_growth))^E632+IF(E631&gt;=pr_pfas_om_y+pr_pfas_delay,pr_pfas_om*(1+pr_pfas_om_esc)^(E631-pr_pfas_om_y),0)+IF(AND(pr_fen_on=1,E631&gt;pr_fen_year),pr_fen_om*(1+pr_fen_esc)^(E631-pr_fen_year-1),0)</f>
        <v/>
      </c>
      <c r="F673" s="23">
        <f>pr_om_2028*((1+pr_om_infl)*(1+pr_growth))^F632+IF(F631&gt;=pr_pfas_om_y+pr_pfas_delay,pr_pfas_om*(1+pr_pfas_om_esc)^(F631-pr_pfas_om_y),0)+IF(AND(pr_fen_on=1,F631&gt;pr_fen_year),pr_fen_om*(1+pr_fen_esc)^(F631-pr_fen_year-1),0)</f>
        <v/>
      </c>
      <c r="G673" s="23">
        <f>pr_om_2028*((1+pr_om_infl)*(1+pr_growth))^G632+IF(G631&gt;=pr_pfas_om_y+pr_pfas_delay,pr_pfas_om*(1+pr_pfas_om_esc)^(G631-pr_pfas_om_y),0)+IF(AND(pr_fen_on=1,G631&gt;pr_fen_year),pr_fen_om*(1+pr_fen_esc)^(G631-pr_fen_year-1),0)</f>
        <v/>
      </c>
      <c r="H673" s="23">
        <f>pr_om_2028*((1+pr_om_infl)*(1+pr_growth))^H632+IF(H631&gt;=pr_pfas_om_y+pr_pfas_delay,pr_pfas_om*(1+pr_pfas_om_esc)^(H631-pr_pfas_om_y),0)+IF(AND(pr_fen_on=1,H631&gt;pr_fen_year),pr_fen_om*(1+pr_fen_esc)^(H631-pr_fen_year-1),0)</f>
        <v/>
      </c>
      <c r="I673" s="23">
        <f>pr_om_2028*((1+pr_om_infl)*(1+pr_growth))^I632+IF(I631&gt;=pr_pfas_om_y+pr_pfas_delay,pr_pfas_om*(1+pr_pfas_om_esc)^(I631-pr_pfas_om_y),0)+IF(AND(pr_fen_on=1,I631&gt;pr_fen_year),pr_fen_om*(1+pr_fen_esc)^(I631-pr_fen_year-1),0)</f>
        <v/>
      </c>
      <c r="J673" s="23">
        <f>pr_om_2028*((1+pr_om_infl)*(1+pr_growth))^J632+IF(J631&gt;=pr_pfas_om_y+pr_pfas_delay,pr_pfas_om*(1+pr_pfas_om_esc)^(J631-pr_pfas_om_y),0)+IF(AND(pr_fen_on=1,J631&gt;pr_fen_year),pr_fen_om*(1+pr_fen_esc)^(J631-pr_fen_year-1),0)</f>
        <v/>
      </c>
      <c r="K673" s="23">
        <f>pr_om_2028*((1+pr_om_infl)*(1+pr_growth))^K632+IF(K631&gt;=pr_pfas_om_y+pr_pfas_delay,pr_pfas_om*(1+pr_pfas_om_esc)^(K631-pr_pfas_om_y),0)+IF(AND(pr_fen_on=1,K631&gt;pr_fen_year),pr_fen_om*(1+pr_fen_esc)^(K631-pr_fen_year-1),0)</f>
        <v/>
      </c>
      <c r="L673" s="23">
        <f>pr_om_2028*((1+pr_om_infl)*(1+pr_growth))^L632+IF(L631&gt;=pr_pfas_om_y+pr_pfas_delay,pr_pfas_om*(1+pr_pfas_om_esc)^(L631-pr_pfas_om_y),0)+IF(AND(pr_fen_on=1,L631&gt;pr_fen_year),pr_fen_om*(1+pr_fen_esc)^(L631-pr_fen_year-1),0)</f>
        <v/>
      </c>
      <c r="M673" s="23">
        <f>pr_om_2028*((1+pr_om_infl)*(1+pr_growth))^M632+IF(M631&gt;=pr_pfas_om_y+pr_pfas_delay,pr_pfas_om*(1+pr_pfas_om_esc)^(M631-pr_pfas_om_y),0)+IF(AND(pr_fen_on=1,M631&gt;pr_fen_year),pr_fen_om*(1+pr_fen_esc)^(M631-pr_fen_year-1),0)</f>
        <v/>
      </c>
      <c r="N673" s="23">
        <f>pr_om_2028*((1+pr_om_infl)*(1+pr_growth))^N632+IF(N631&gt;=pr_pfas_om_y+pr_pfas_delay,pr_pfas_om*(1+pr_pfas_om_esc)^(N631-pr_pfas_om_y),0)+IF(AND(pr_fen_on=1,N631&gt;pr_fen_year),pr_fen_om*(1+pr_fen_esc)^(N631-pr_fen_year-1),0)</f>
        <v/>
      </c>
    </row>
    <row r="674">
      <c r="B674" s="2" t="inlineStr">
        <is>
          <t>Customer-side lead cost expensed</t>
        </is>
      </c>
      <c r="C674" s="5" t="inlineStr">
        <is>
          <t>$ million</t>
        </is>
      </c>
      <c r="E674" s="23">
        <f>pr_lead_exp*E640*pr_lead_cust</f>
        <v/>
      </c>
      <c r="F674" s="23">
        <f>pr_lead_exp*F640*pr_lead_cust</f>
        <v/>
      </c>
      <c r="G674" s="23">
        <f>pr_lead_exp*G640*pr_lead_cust</f>
        <v/>
      </c>
      <c r="H674" s="23">
        <f>pr_lead_exp*H640*pr_lead_cust</f>
        <v/>
      </c>
      <c r="I674" s="23">
        <f>pr_lead_exp*I640*pr_lead_cust</f>
        <v/>
      </c>
      <c r="J674" s="23">
        <f>pr_lead_exp*J640*pr_lead_cust</f>
        <v/>
      </c>
      <c r="K674" s="23">
        <f>pr_lead_exp*K640*pr_lead_cust</f>
        <v/>
      </c>
      <c r="L674" s="23">
        <f>pr_lead_exp*L640*pr_lead_cust</f>
        <v/>
      </c>
      <c r="M674" s="23">
        <f>pr_lead_exp*M640*pr_lead_cust</f>
        <v/>
      </c>
      <c r="N674" s="23">
        <f>pr_lead_exp*N640*pr_lead_cust</f>
        <v/>
      </c>
    </row>
    <row r="675">
      <c r="B675" s="2" t="inlineStr">
        <is>
          <t>Other taxes</t>
        </is>
      </c>
      <c r="C675" s="5" t="inlineStr">
        <is>
          <t>$ million</t>
        </is>
      </c>
      <c r="E675" s="23">
        <f>pr_ptax*E684</f>
        <v/>
      </c>
      <c r="F675" s="23">
        <f>pr_ptax*F684</f>
        <v/>
      </c>
      <c r="G675" s="23">
        <f>pr_ptax*G684</f>
        <v/>
      </c>
      <c r="H675" s="23">
        <f>pr_ptax*H684</f>
        <v/>
      </c>
      <c r="I675" s="23">
        <f>pr_ptax*I684</f>
        <v/>
      </c>
      <c r="J675" s="23">
        <f>pr_ptax*J684</f>
        <v/>
      </c>
      <c r="K675" s="23">
        <f>pr_ptax*K684</f>
        <v/>
      </c>
      <c r="L675" s="23">
        <f>pr_ptax*L684</f>
        <v/>
      </c>
      <c r="M675" s="23">
        <f>pr_ptax*M684</f>
        <v/>
      </c>
      <c r="N675" s="23">
        <f>pr_ptax*N684</f>
        <v/>
      </c>
    </row>
    <row r="676">
      <c r="B676" s="2" t="inlineStr">
        <is>
          <t>EBITDA</t>
        </is>
      </c>
      <c r="C676" s="5" t="inlineStr">
        <is>
          <t>$ million</t>
        </is>
      </c>
      <c r="E676" s="23">
        <f>E670-E673-E675-E674</f>
        <v/>
      </c>
      <c r="F676" s="23">
        <f>F670-F673-F675-F674</f>
        <v/>
      </c>
      <c r="G676" s="23">
        <f>G670-G673-G675-G674</f>
        <v/>
      </c>
      <c r="H676" s="23">
        <f>H670-H673-H675-H674</f>
        <v/>
      </c>
      <c r="I676" s="23">
        <f>I670-I673-I675-I674</f>
        <v/>
      </c>
      <c r="J676" s="23">
        <f>J670-J673-J675-J674</f>
        <v/>
      </c>
      <c r="K676" s="23">
        <f>K670-K673-K675-K674</f>
        <v/>
      </c>
      <c r="L676" s="23">
        <f>L670-L673-L675-L674</f>
        <v/>
      </c>
      <c r="M676" s="23">
        <f>M670-M673-M675-M674</f>
        <v/>
      </c>
      <c r="N676" s="23">
        <f>N670-N673-N675-N674</f>
        <v/>
      </c>
    </row>
    <row r="677">
      <c r="B677" s="2" t="inlineStr">
        <is>
          <t>Depreciation</t>
        </is>
      </c>
      <c r="C677" s="5" t="inlineStr">
        <is>
          <t>$ million</t>
        </is>
      </c>
      <c r="E677" s="23">
        <f>pr_dep*E684</f>
        <v/>
      </c>
      <c r="F677" s="23">
        <f>pr_dep*F684</f>
        <v/>
      </c>
      <c r="G677" s="23">
        <f>pr_dep*G684</f>
        <v/>
      </c>
      <c r="H677" s="23">
        <f>pr_dep*H684</f>
        <v/>
      </c>
      <c r="I677" s="23">
        <f>pr_dep*I684</f>
        <v/>
      </c>
      <c r="J677" s="23">
        <f>pr_dep*J684</f>
        <v/>
      </c>
      <c r="K677" s="23">
        <f>pr_dep*K684</f>
        <v/>
      </c>
      <c r="L677" s="23">
        <f>pr_dep*L684</f>
        <v/>
      </c>
      <c r="M677" s="23">
        <f>pr_dep*M684</f>
        <v/>
      </c>
      <c r="N677" s="23">
        <f>pr_dep*N684</f>
        <v/>
      </c>
    </row>
    <row r="678">
      <c r="B678" s="2" t="inlineStr">
        <is>
          <t>Interest (average of opening and closing debt)</t>
        </is>
      </c>
      <c r="C678" s="5" t="inlineStr">
        <is>
          <t>$ million</t>
        </is>
      </c>
      <c r="E678" s="23">
        <f>0.5*(D690*D692+E690*E692)</f>
        <v/>
      </c>
      <c r="F678" s="23">
        <f>0.5*(E690*E692+F690*F692)</f>
        <v/>
      </c>
      <c r="G678" s="23">
        <f>0.5*(F690*F692+G690*G692)</f>
        <v/>
      </c>
      <c r="H678" s="23">
        <f>0.5*(G690*G692+H690*H692)</f>
        <v/>
      </c>
      <c r="I678" s="23">
        <f>0.5*(H690*H692+I690*I692)</f>
        <v/>
      </c>
      <c r="J678" s="23">
        <f>0.5*(I690*I692+J690*J692)</f>
        <v/>
      </c>
      <c r="K678" s="23">
        <f>0.5*(J690*J692+K690*K692)</f>
        <v/>
      </c>
      <c r="L678" s="23">
        <f>0.5*(K690*K692+L690*L692)</f>
        <v/>
      </c>
      <c r="M678" s="23">
        <f>0.5*(L690*L692+M690*M692)</f>
        <v/>
      </c>
      <c r="N678" s="23">
        <f>0.5*(M690*M692+N690*N692)</f>
        <v/>
      </c>
    </row>
    <row r="679">
      <c r="B679" s="2" t="inlineStr">
        <is>
          <t>Income before tax</t>
        </is>
      </c>
      <c r="C679" s="5" t="inlineStr">
        <is>
          <t>$ million</t>
        </is>
      </c>
      <c r="E679" s="23">
        <f>E676-E677-E678</f>
        <v/>
      </c>
      <c r="F679" s="23">
        <f>F676-F677-F678</f>
        <v/>
      </c>
      <c r="G679" s="23">
        <f>G676-G677-G678</f>
        <v/>
      </c>
      <c r="H679" s="23">
        <f>H676-H677-H678</f>
        <v/>
      </c>
      <c r="I679" s="23">
        <f>I676-I677-I678</f>
        <v/>
      </c>
      <c r="J679" s="23">
        <f>J676-J677-J678</f>
        <v/>
      </c>
      <c r="K679" s="23">
        <f>K676-K677-K678</f>
        <v/>
      </c>
      <c r="L679" s="23">
        <f>L676-L677-L678</f>
        <v/>
      </c>
      <c r="M679" s="23">
        <f>M676-M677-M678</f>
        <v/>
      </c>
      <c r="N679" s="23">
        <f>N676-N677-N678</f>
        <v/>
      </c>
    </row>
    <row r="680">
      <c r="B680" s="2" t="inlineStr">
        <is>
          <t>Income tax</t>
        </is>
      </c>
      <c r="C680" s="5" t="inlineStr">
        <is>
          <t>$ million</t>
        </is>
      </c>
      <c r="E680" s="23">
        <f>pr_tax*E679</f>
        <v/>
      </c>
      <c r="F680" s="23">
        <f>pr_tax*F679</f>
        <v/>
      </c>
      <c r="G680" s="23">
        <f>pr_tax*G679</f>
        <v/>
      </c>
      <c r="H680" s="23">
        <f>pr_tax*H679</f>
        <v/>
      </c>
      <c r="I680" s="23">
        <f>pr_tax*I679</f>
        <v/>
      </c>
      <c r="J680" s="23">
        <f>pr_tax*J679</f>
        <v/>
      </c>
      <c r="K680" s="23">
        <f>pr_tax*K679</f>
        <v/>
      </c>
      <c r="L680" s="23">
        <f>pr_tax*L679</f>
        <v/>
      </c>
      <c r="M680" s="23">
        <f>pr_tax*M679</f>
        <v/>
      </c>
      <c r="N680" s="23">
        <f>pr_tax*N679</f>
        <v/>
      </c>
    </row>
    <row r="681">
      <c r="B681" s="3" t="inlineStr">
        <is>
          <t>Net income</t>
        </is>
      </c>
      <c r="C681" s="5" t="inlineStr">
        <is>
          <t>$ million</t>
        </is>
      </c>
      <c r="E681" s="23">
        <f>E679-E680</f>
        <v/>
      </c>
      <c r="F681" s="23">
        <f>F679-F680</f>
        <v/>
      </c>
      <c r="G681" s="23">
        <f>G679-G680</f>
        <v/>
      </c>
      <c r="H681" s="23">
        <f>H679-H680</f>
        <v/>
      </c>
      <c r="I681" s="23">
        <f>I679-I680</f>
        <v/>
      </c>
      <c r="J681" s="23">
        <f>J679-J680</f>
        <v/>
      </c>
      <c r="K681" s="23">
        <f>K679-K680</f>
        <v/>
      </c>
      <c r="L681" s="23">
        <f>L679-L680</f>
        <v/>
      </c>
      <c r="M681" s="23">
        <f>M679-M680</f>
        <v/>
      </c>
      <c r="N681" s="23">
        <f>N679-N680</f>
        <v/>
      </c>
    </row>
    <row r="683">
      <c r="B683" s="6" t="inlineStr">
        <is>
          <t>Rate base and debt ($ million)</t>
        </is>
      </c>
      <c r="C683" s="7" t="n"/>
      <c r="D683" s="7" t="n"/>
      <c r="E683" s="7" t="n"/>
      <c r="F683" s="7" t="n"/>
      <c r="G683" s="7" t="n"/>
      <c r="H683" s="7" t="n"/>
      <c r="I683" s="7" t="n"/>
      <c r="J683" s="7" t="n"/>
      <c r="K683" s="7" t="n"/>
      <c r="L683" s="7" t="n"/>
      <c r="M683" s="7" t="n"/>
      <c r="N683" s="7" t="n"/>
    </row>
    <row r="684">
      <c r="B684" s="2" t="inlineStr">
        <is>
          <t>Opening rate base</t>
        </is>
      </c>
      <c r="C684" s="5" t="inlineStr">
        <is>
          <t>$ million</t>
        </is>
      </c>
      <c r="E684" s="23">
        <f>D688</f>
        <v/>
      </c>
      <c r="F684" s="23">
        <f>E688</f>
        <v/>
      </c>
      <c r="G684" s="23">
        <f>F688</f>
        <v/>
      </c>
      <c r="H684" s="23">
        <f>G688</f>
        <v/>
      </c>
      <c r="I684" s="23">
        <f>H688</f>
        <v/>
      </c>
      <c r="J684" s="23">
        <f>I688</f>
        <v/>
      </c>
      <c r="K684" s="23">
        <f>J688</f>
        <v/>
      </c>
      <c r="L684" s="23">
        <f>K688</f>
        <v/>
      </c>
      <c r="M684" s="23">
        <f>L688</f>
        <v/>
      </c>
      <c r="N684" s="23">
        <f>M688</f>
        <v/>
      </c>
    </row>
    <row r="685">
      <c r="B685" s="2" t="inlineStr">
        <is>
          <t>Spending disallowed (never in rate base)</t>
        </is>
      </c>
      <c r="C685" s="5" t="inlineStr">
        <is>
          <t>$ million</t>
        </is>
      </c>
      <c r="E685" s="23">
        <f>pr_disallow*(E639+E640-E674)</f>
        <v/>
      </c>
      <c r="F685" s="23">
        <f>pr_disallow*(F639+F640-F674)</f>
        <v/>
      </c>
      <c r="G685" s="23">
        <f>pr_disallow*(G639+G640-G674)</f>
        <v/>
      </c>
      <c r="H685" s="23">
        <f>pr_disallow*(H639+H640-H674)</f>
        <v/>
      </c>
      <c r="I685" s="23">
        <f>pr_disallow*(I639+I640-I674)</f>
        <v/>
      </c>
      <c r="J685" s="23">
        <f>pr_disallow*(J639+J640-J674)</f>
        <v/>
      </c>
      <c r="K685" s="23">
        <f>pr_disallow*(K639+K640-K674)</f>
        <v/>
      </c>
      <c r="L685" s="23">
        <f>pr_disallow*(L639+L640-L674)</f>
        <v/>
      </c>
      <c r="M685" s="23">
        <f>pr_disallow*(M639+M640-M674)</f>
        <v/>
      </c>
      <c r="N685" s="23">
        <f>pr_disallow*(N639+N640-N674)</f>
        <v/>
      </c>
    </row>
    <row r="686">
      <c r="B686" s="2" t="inlineStr">
        <is>
          <t>Acquisitions (Fennick at its price)</t>
        </is>
      </c>
      <c r="C686" s="5" t="inlineStr">
        <is>
          <t>$ million</t>
        </is>
      </c>
      <c r="E686" s="23">
        <f>IF(AND(pr_fen_on=1,E631=pr_fen_year),pr_fen_price,0)</f>
        <v/>
      </c>
      <c r="F686" s="23">
        <f>IF(AND(pr_fen_on=1,F631=pr_fen_year),pr_fen_price,0)</f>
        <v/>
      </c>
      <c r="G686" s="23">
        <f>IF(AND(pr_fen_on=1,G631=pr_fen_year),pr_fen_price,0)</f>
        <v/>
      </c>
      <c r="H686" s="23">
        <f>IF(AND(pr_fen_on=1,H631=pr_fen_year),pr_fen_price,0)</f>
        <v/>
      </c>
      <c r="I686" s="23">
        <f>IF(AND(pr_fen_on=1,I631=pr_fen_year),pr_fen_price,0)</f>
        <v/>
      </c>
      <c r="J686" s="23">
        <f>IF(AND(pr_fen_on=1,J631=pr_fen_year),pr_fen_price,0)</f>
        <v/>
      </c>
      <c r="K686" s="23">
        <f>IF(AND(pr_fen_on=1,K631=pr_fen_year),pr_fen_price,0)</f>
        <v/>
      </c>
      <c r="L686" s="23">
        <f>IF(AND(pr_fen_on=1,L631=pr_fen_year),pr_fen_price,0)</f>
        <v/>
      </c>
      <c r="M686" s="23">
        <f>IF(AND(pr_fen_on=1,M631=pr_fen_year),pr_fen_price,0)</f>
        <v/>
      </c>
      <c r="N686" s="23">
        <f>IF(AND(pr_fen_on=1,N631=pr_fen_year),pr_fen_price,0)</f>
        <v/>
      </c>
    </row>
    <row r="687">
      <c r="B687" s="2" t="inlineStr">
        <is>
          <t>Settlement credited against rate base</t>
        </is>
      </c>
      <c r="C687" s="5" t="inlineStr">
        <is>
          <t>$ million</t>
        </is>
      </c>
      <c r="E687" s="23">
        <f>IF(E631=pr_settle_y,pr_settle,0)</f>
        <v/>
      </c>
      <c r="F687" s="23">
        <f>IF(F631=pr_settle_y,pr_settle,0)</f>
        <v/>
      </c>
      <c r="G687" s="23">
        <f>IF(G631=pr_settle_y,pr_settle,0)</f>
        <v/>
      </c>
      <c r="H687" s="23">
        <f>IF(H631=pr_settle_y,pr_settle,0)</f>
        <v/>
      </c>
      <c r="I687" s="23">
        <f>IF(I631=pr_settle_y,pr_settle,0)</f>
        <v/>
      </c>
      <c r="J687" s="23">
        <f>IF(J631=pr_settle_y,pr_settle,0)</f>
        <v/>
      </c>
      <c r="K687" s="23">
        <f>IF(K631=pr_settle_y,pr_settle,0)</f>
        <v/>
      </c>
      <c r="L687" s="23">
        <f>IF(L631=pr_settle_y,pr_settle,0)</f>
        <v/>
      </c>
      <c r="M687" s="23">
        <f>IF(M631=pr_settle_y,pr_settle,0)</f>
        <v/>
      </c>
      <c r="N687" s="23">
        <f>IF(N631=pr_settle_y,pr_settle,0)</f>
        <v/>
      </c>
    </row>
    <row r="688">
      <c r="B688" s="3" t="inlineStr">
        <is>
          <t>Closing rate base</t>
        </is>
      </c>
      <c r="C688" s="5" t="inlineStr">
        <is>
          <t>$ million</t>
        </is>
      </c>
      <c r="D688" s="23">
        <f>pr_rb0</f>
        <v/>
      </c>
      <c r="E688" s="23">
        <f>E684+E642-E674-E685+E686-E677-E687</f>
        <v/>
      </c>
      <c r="F688" s="23">
        <f>F684+F642-F674-F685+F686-F677-F687</f>
        <v/>
      </c>
      <c r="G688" s="23">
        <f>G684+G642-G674-G685+G686-G677-G687</f>
        <v/>
      </c>
      <c r="H688" s="23">
        <f>H684+H642-H674-H685+H686-H677-H687</f>
        <v/>
      </c>
      <c r="I688" s="23">
        <f>I684+I642-I674-I685+I686-I677-I687</f>
        <v/>
      </c>
      <c r="J688" s="23">
        <f>J684+J642-J674-J685+J686-J677-J687</f>
        <v/>
      </c>
      <c r="K688" s="23">
        <f>K684+K642-K674-K685+K686-K677-K687</f>
        <v/>
      </c>
      <c r="L688" s="23">
        <f>L684+L642-L674-L685+L686-L677-L687</f>
        <v/>
      </c>
      <c r="M688" s="23">
        <f>M684+M642-M674-M685+M686-M677-M687</f>
        <v/>
      </c>
      <c r="N688" s="23">
        <f>N684+N642-N674-N685+N686-N677-N687</f>
        <v/>
      </c>
    </row>
    <row r="689">
      <c r="B689" s="2" t="inlineStr">
        <is>
          <t>Original bonds outstanding</t>
        </is>
      </c>
      <c r="C689" s="5" t="inlineStr">
        <is>
          <t>$ million</t>
        </is>
      </c>
      <c r="D689" s="23">
        <f>(1-pr_eq)*pr_rb0</f>
        <v/>
      </c>
      <c r="E689" s="23">
        <f>MAX(0,D689-pr_amort*(1-pr_eq)*pr_rb0)</f>
        <v/>
      </c>
      <c r="F689" s="23">
        <f>MAX(0,E689-pr_amort*(1-pr_eq)*pr_rb0)</f>
        <v/>
      </c>
      <c r="G689" s="23">
        <f>MAX(0,F689-pr_amort*(1-pr_eq)*pr_rb0)</f>
        <v/>
      </c>
      <c r="H689" s="23">
        <f>MAX(0,G689-pr_amort*(1-pr_eq)*pr_rb0)</f>
        <v/>
      </c>
      <c r="I689" s="23">
        <f>MAX(0,H689-pr_amort*(1-pr_eq)*pr_rb0)</f>
        <v/>
      </c>
      <c r="J689" s="23">
        <f>MAX(0,I689-pr_amort*(1-pr_eq)*pr_rb0)</f>
        <v/>
      </c>
      <c r="K689" s="23">
        <f>MAX(0,J689-pr_amort*(1-pr_eq)*pr_rb0)</f>
        <v/>
      </c>
      <c r="L689" s="23">
        <f>MAX(0,K689-pr_amort*(1-pr_eq)*pr_rb0)</f>
        <v/>
      </c>
      <c r="M689" s="23">
        <f>MAX(0,L689-pr_amort*(1-pr_eq)*pr_rb0)</f>
        <v/>
      </c>
      <c r="N689" s="23">
        <f>MAX(0,M689-pr_amort*(1-pr_eq)*pr_rb0)</f>
        <v/>
      </c>
    </row>
    <row r="690">
      <c r="B690" s="2" t="inlineStr">
        <is>
          <t>Operating company debt (debt share of rate base)</t>
        </is>
      </c>
      <c r="C690" s="5" t="inlineStr">
        <is>
          <t>$ million</t>
        </is>
      </c>
      <c r="D690" s="23">
        <f>(1-pr_eq)*D688</f>
        <v/>
      </c>
      <c r="E690" s="23">
        <f>(1-pr_eq)*E688</f>
        <v/>
      </c>
      <c r="F690" s="23">
        <f>(1-pr_eq)*F688</f>
        <v/>
      </c>
      <c r="G690" s="23">
        <f>(1-pr_eq)*G688</f>
        <v/>
      </c>
      <c r="H690" s="23">
        <f>(1-pr_eq)*H688</f>
        <v/>
      </c>
      <c r="I690" s="23">
        <f>(1-pr_eq)*I688</f>
        <v/>
      </c>
      <c r="J690" s="23">
        <f>(1-pr_eq)*J688</f>
        <v/>
      </c>
      <c r="K690" s="23">
        <f>(1-pr_eq)*K688</f>
        <v/>
      </c>
      <c r="L690" s="23">
        <f>(1-pr_eq)*L688</f>
        <v/>
      </c>
      <c r="M690" s="23">
        <f>(1-pr_eq)*M688</f>
        <v/>
      </c>
      <c r="N690" s="23">
        <f>(1-pr_eq)*N688</f>
        <v/>
      </c>
    </row>
    <row r="691">
      <c r="B691" s="2" t="inlineStr">
        <is>
          <t>New bonds outstanding</t>
        </is>
      </c>
      <c r="C691" s="5" t="inlineStr">
        <is>
          <t>$ million</t>
        </is>
      </c>
      <c r="D691" s="23">
        <f>D690-D689</f>
        <v/>
      </c>
      <c r="E691" s="23">
        <f>E690-E689</f>
        <v/>
      </c>
      <c r="F691" s="23">
        <f>F690-F689</f>
        <v/>
      </c>
      <c r="G691" s="23">
        <f>G690-G689</f>
        <v/>
      </c>
      <c r="H691" s="23">
        <f>H690-H689</f>
        <v/>
      </c>
      <c r="I691" s="23">
        <f>I690-I689</f>
        <v/>
      </c>
      <c r="J691" s="23">
        <f>J690-J689</f>
        <v/>
      </c>
      <c r="K691" s="23">
        <f>K690-K689</f>
        <v/>
      </c>
      <c r="L691" s="23">
        <f>L690-L689</f>
        <v/>
      </c>
      <c r="M691" s="23">
        <f>M690-M689</f>
        <v/>
      </c>
      <c r="N691" s="23">
        <f>N690-N689</f>
        <v/>
      </c>
    </row>
    <row r="692">
      <c r="B692" s="2" t="inlineStr">
        <is>
          <t>Embedded cost of debt at year end</t>
        </is>
      </c>
      <c r="C692" s="5" t="inlineStr">
        <is>
          <t>rate</t>
        </is>
      </c>
      <c r="D692" s="27">
        <f>pr_kd_old</f>
        <v/>
      </c>
      <c r="E692" s="27">
        <f>(E689*pr_kd_old+E691*Inputs!$C$239)/E690</f>
        <v/>
      </c>
      <c r="F692" s="27">
        <f>(F689*pr_kd_old+F691*Inputs!$C$239)/F690</f>
        <v/>
      </c>
      <c r="G692" s="27">
        <f>(G689*pr_kd_old+G691*Inputs!$C$239)/G690</f>
        <v/>
      </c>
      <c r="H692" s="27">
        <f>(H689*pr_kd_old+H691*Inputs!$C$239)/H690</f>
        <v/>
      </c>
      <c r="I692" s="27">
        <f>(I689*pr_kd_old+I691*Inputs!$C$239)/I690</f>
        <v/>
      </c>
      <c r="J692" s="27">
        <f>(J689*pr_kd_old+J691*Inputs!$C$239)/J690</f>
        <v/>
      </c>
      <c r="K692" s="27">
        <f>(K689*pr_kd_old+K691*Inputs!$C$239)/K690</f>
        <v/>
      </c>
      <c r="L692" s="27">
        <f>(L689*pr_kd_old+L691*Inputs!$C$239)/L690</f>
        <v/>
      </c>
      <c r="M692" s="27">
        <f>(M689*pr_kd_old+M691*Inputs!$C$239)/M690</f>
        <v/>
      </c>
      <c r="N692" s="27">
        <f>(N689*pr_kd_old+N691*Inputs!$C$239)/N690</f>
        <v/>
      </c>
    </row>
    <row r="694">
      <c r="B694" s="6" t="inlineStr">
        <is>
          <t>Returns and cash ($ million)</t>
        </is>
      </c>
      <c r="C694" s="7" t="n"/>
      <c r="D694" s="7" t="n"/>
      <c r="E694" s="7" t="n"/>
      <c r="F694" s="7" t="n"/>
      <c r="G694" s="7" t="n"/>
      <c r="H694" s="7" t="n"/>
      <c r="I694" s="7" t="n"/>
      <c r="J694" s="7" t="n"/>
      <c r="K694" s="7" t="n"/>
      <c r="L694" s="7" t="n"/>
      <c r="M694" s="7" t="n"/>
      <c r="N694" s="7" t="n"/>
    </row>
    <row r="695">
      <c r="B695" s="2" t="inlineStr">
        <is>
          <t>Average equity share of rate base</t>
        </is>
      </c>
      <c r="C695" s="5" t="inlineStr">
        <is>
          <t>$ million</t>
        </is>
      </c>
      <c r="E695" s="23">
        <f>pr_eq*0.5*(E684+E688)</f>
        <v/>
      </c>
      <c r="F695" s="23">
        <f>pr_eq*0.5*(F684+F688)</f>
        <v/>
      </c>
      <c r="G695" s="23">
        <f>pr_eq*0.5*(G684+G688)</f>
        <v/>
      </c>
      <c r="H695" s="23">
        <f>pr_eq*0.5*(H684+H688)</f>
        <v/>
      </c>
      <c r="I695" s="23">
        <f>pr_eq*0.5*(I684+I688)</f>
        <v/>
      </c>
      <c r="J695" s="23">
        <f>pr_eq*0.5*(J684+J688)</f>
        <v/>
      </c>
      <c r="K695" s="23">
        <f>pr_eq*0.5*(K684+K688)</f>
        <v/>
      </c>
      <c r="L695" s="23">
        <f>pr_eq*0.5*(L684+L688)</f>
        <v/>
      </c>
      <c r="M695" s="23">
        <f>pr_eq*0.5*(M684+M688)</f>
        <v/>
      </c>
      <c r="N695" s="23">
        <f>pr_eq*0.5*(N684+N688)</f>
        <v/>
      </c>
    </row>
    <row r="696">
      <c r="B696" s="2" t="inlineStr">
        <is>
          <t>Earned return on equity</t>
        </is>
      </c>
      <c r="C696" s="5" t="inlineStr">
        <is>
          <t>rate</t>
        </is>
      </c>
      <c r="E696" s="27">
        <f>E681/E695</f>
        <v/>
      </c>
      <c r="F696" s="27">
        <f>F681/F695</f>
        <v/>
      </c>
      <c r="G696" s="27">
        <f>G681/G695</f>
        <v/>
      </c>
      <c r="H696" s="27">
        <f>H681/H695</f>
        <v/>
      </c>
      <c r="I696" s="27">
        <f>I681/I695</f>
        <v/>
      </c>
      <c r="J696" s="27">
        <f>J681/J695</f>
        <v/>
      </c>
      <c r="K696" s="27">
        <f>K681/K695</f>
        <v/>
      </c>
      <c r="L696" s="27">
        <f>L681/L695</f>
        <v/>
      </c>
      <c r="M696" s="27">
        <f>M681/M695</f>
        <v/>
      </c>
      <c r="N696" s="27">
        <f>N681/N695</f>
        <v/>
      </c>
    </row>
    <row r="697">
      <c r="B697" s="2" t="inlineStr">
        <is>
          <t>Authorized return on equity</t>
        </is>
      </c>
      <c r="C697" s="5" t="inlineStr">
        <is>
          <t>rate</t>
        </is>
      </c>
      <c r="E697" s="27">
        <f>pr_roe</f>
        <v/>
      </c>
      <c r="F697" s="27">
        <f>pr_roe</f>
        <v/>
      </c>
      <c r="G697" s="27">
        <f>pr_roe</f>
        <v/>
      </c>
      <c r="H697" s="27">
        <f>pr_roe</f>
        <v/>
      </c>
      <c r="I697" s="27">
        <f>pr_roe</f>
        <v/>
      </c>
      <c r="J697" s="27">
        <f>pr_roe</f>
        <v/>
      </c>
      <c r="K697" s="27">
        <f>pr_roe</f>
        <v/>
      </c>
      <c r="L697" s="27">
        <f>pr_roe</f>
        <v/>
      </c>
      <c r="M697" s="27">
        <f>pr_roe</f>
        <v/>
      </c>
      <c r="N697" s="27">
        <f>pr_roe</f>
        <v/>
      </c>
    </row>
    <row r="698">
      <c r="B698" s="3" t="inlineStr">
        <is>
          <t>Cash to the shareholder (FCFE)</t>
        </is>
      </c>
      <c r="C698" s="5" t="inlineStr">
        <is>
          <t>$ million</t>
        </is>
      </c>
      <c r="E698" s="23">
        <f>E681+E677-E642-E686+E687+E690-D690</f>
        <v/>
      </c>
      <c r="F698" s="23">
        <f>F681+F677-F642-F686+F687+F690-E690</f>
        <v/>
      </c>
      <c r="G698" s="23">
        <f>G681+G677-G642-G686+G687+G690-F690</f>
        <v/>
      </c>
      <c r="H698" s="23">
        <f>H681+H677-H642-H686+H687+H690-G690</f>
        <v/>
      </c>
      <c r="I698" s="23">
        <f>I681+I677-I642-I686+I687+I690-H690</f>
        <v/>
      </c>
      <c r="J698" s="23">
        <f>J681+J677-J642-J686+J687+J690-I690</f>
        <v/>
      </c>
      <c r="K698" s="23">
        <f>K681+K677-K642-K686+K687+K690-J690</f>
        <v/>
      </c>
      <c r="L698" s="23">
        <f>L681+L677-L642-L686+L687+L690-K690</f>
        <v/>
      </c>
      <c r="M698" s="23">
        <f>M681+M677-M642-M686+M687+M690-L690</f>
        <v/>
      </c>
      <c r="N698" s="23">
        <f>N681+N677-N642-N686+N687+N690-M690</f>
        <v/>
      </c>
    </row>
    <row r="699">
      <c r="B699" s="2" t="inlineStr">
        <is>
          <t>Funds from operations (net income + depreciation)</t>
        </is>
      </c>
      <c r="C699" s="5" t="inlineStr">
        <is>
          <t>$ million</t>
        </is>
      </c>
      <c r="E699" s="23">
        <f>E681+E677</f>
        <v/>
      </c>
      <c r="F699" s="23">
        <f>F681+F677</f>
        <v/>
      </c>
      <c r="G699" s="23">
        <f>G681+G677</f>
        <v/>
      </c>
      <c r="H699" s="23">
        <f>H681+H677</f>
        <v/>
      </c>
      <c r="I699" s="23">
        <f>I681+I677</f>
        <v/>
      </c>
      <c r="J699" s="23">
        <f>J681+J677</f>
        <v/>
      </c>
      <c r="K699" s="23">
        <f>K681+K677</f>
        <v/>
      </c>
      <c r="L699" s="23">
        <f>L681+L677</f>
        <v/>
      </c>
      <c r="M699" s="23">
        <f>M681+M677</f>
        <v/>
      </c>
      <c r="N699" s="23">
        <f>N681+N677</f>
        <v/>
      </c>
    </row>
    <row r="700">
      <c r="B700" s="3" t="inlineStr">
        <is>
          <t>Brannock's net flows (exit at the exit multiple)</t>
        </is>
      </c>
      <c r="C700" s="5" t="inlineStr">
        <is>
          <t>$ million</t>
        </is>
      </c>
      <c r="D700" s="23">
        <f>-(pr_ev_mult*pr_rb0-(1-pr_eq)*pr_rb0+pr_costs-pr_holdco)</f>
        <v/>
      </c>
      <c r="E700" s="23">
        <f>E698-pr_holdco*pr_kd_holdco*(1-pr_tax)</f>
        <v/>
      </c>
      <c r="F700" s="23">
        <f>F698-pr_holdco*pr_kd_holdco*(1-pr_tax)</f>
        <v/>
      </c>
      <c r="G700" s="23">
        <f>G698-pr_holdco*pr_kd_holdco*(1-pr_tax)</f>
        <v/>
      </c>
      <c r="H700" s="23">
        <f>H698-pr_holdco*pr_kd_holdco*(1-pr_tax)</f>
        <v/>
      </c>
      <c r="I700" s="23">
        <f>I698-pr_holdco*pr_kd_holdco*(1-pr_tax)</f>
        <v/>
      </c>
      <c r="J700" s="23">
        <f>J698-pr_holdco*pr_kd_holdco*(1-pr_tax)</f>
        <v/>
      </c>
      <c r="K700" s="23">
        <f>K698-pr_holdco*pr_kd_holdco*(1-pr_tax)</f>
        <v/>
      </c>
      <c r="L700" s="23">
        <f>L698-pr_holdco*pr_kd_holdco*(1-pr_tax)</f>
        <v/>
      </c>
      <c r="M700" s="23">
        <f>M698-pr_holdco*pr_kd_holdco*(1-pr_tax)</f>
        <v/>
      </c>
      <c r="N700" s="23">
        <f>N698-pr_holdco*pr_kd_holdco*(1-pr_tax)+pr_exit_mult*N688-N690-pr_holdco</f>
        <v/>
      </c>
    </row>
    <row r="701">
      <c r="B701" s="2" t="inlineStr">
        <is>
          <t>Levered IRR</t>
        </is>
      </c>
      <c r="C701" s="5" t="inlineStr">
        <is>
          <t>rate</t>
        </is>
      </c>
      <c r="D701" s="27">
        <f>IRR($D$700:N$700,0.08)</f>
        <v/>
      </c>
    </row>
    <row r="702">
      <c r="B702" s="2" t="inlineStr">
        <is>
          <t>Average earned return on equity 2028 to 2037</t>
        </is>
      </c>
      <c r="C702" s="5" t="inlineStr">
        <is>
          <t>rate</t>
        </is>
      </c>
      <c r="D702" s="27">
        <f>AVERAGE($E$696:N$696)</f>
        <v/>
      </c>
    </row>
    <row r="703">
      <c r="B703" s="2" t="inlineStr">
        <is>
          <t>Price at the target return (enterprise value)</t>
        </is>
      </c>
      <c r="C703" s="5" t="inlineStr">
        <is>
          <t>$ million</t>
        </is>
      </c>
      <c r="D703" s="23">
        <f>NPV(pr_target,$E$700:N$700)+(1-pr_eq)*pr_rb0-pr_costs+pr_holdco</f>
        <v/>
      </c>
    </row>
    <row r="704">
      <c r="B704" s="2" t="inlineStr">
        <is>
          <t>Exit equity</t>
        </is>
      </c>
      <c r="C704" s="5" t="inlineStr">
        <is>
          <t>$ million</t>
        </is>
      </c>
      <c r="D704" s="23">
        <f>pr_exit_mult*N688-N690-pr_holdco</f>
        <v/>
      </c>
    </row>
    <row r="705">
      <c r="B705" s="2" t="inlineStr">
        <is>
          <t>Rate base at exit</t>
        </is>
      </c>
      <c r="C705" s="5" t="inlineStr">
        <is>
          <t>$ million</t>
        </is>
      </c>
      <c r="D705" s="23">
        <f>N688</f>
        <v/>
      </c>
    </row>
    <row r="708">
      <c r="B708" s="6" t="inlineStr">
        <is>
          <t>S10: No connection growth (Pell River, after tax)</t>
        </is>
      </c>
      <c r="C708" s="7" t="n"/>
      <c r="D708" s="7" t="n"/>
      <c r="E708" s="7" t="n"/>
      <c r="F708" s="7" t="n"/>
      <c r="G708" s="7" t="n"/>
      <c r="H708" s="7" t="n"/>
      <c r="I708" s="7" t="n"/>
      <c r="J708" s="7" t="n"/>
      <c r="K708" s="7" t="n"/>
      <c r="L708" s="7" t="n"/>
      <c r="M708" s="7" t="n"/>
      <c r="N708" s="7" t="n"/>
    </row>
    <row r="709">
      <c r="B709" s="2" t="inlineStr">
        <is>
          <t>Year (31 December)</t>
        </is>
      </c>
      <c r="D709" s="26">
        <f>pr_close</f>
        <v/>
      </c>
      <c r="E709" s="26">
        <f>D709+1</f>
        <v/>
      </c>
      <c r="F709" s="26">
        <f>E709+1</f>
        <v/>
      </c>
      <c r="G709" s="26">
        <f>F709+1</f>
        <v/>
      </c>
      <c r="H709" s="26">
        <f>G709+1</f>
        <v/>
      </c>
      <c r="I709" s="26">
        <f>H709+1</f>
        <v/>
      </c>
      <c r="J709" s="26">
        <f>I709+1</f>
        <v/>
      </c>
      <c r="K709" s="26">
        <f>J709+1</f>
        <v/>
      </c>
      <c r="L709" s="26">
        <f>K709+1</f>
        <v/>
      </c>
      <c r="M709" s="26">
        <f>L709+1</f>
        <v/>
      </c>
      <c r="N709" s="26">
        <f>M709+1</f>
        <v/>
      </c>
    </row>
    <row r="710">
      <c r="B710" s="2" t="inlineStr">
        <is>
          <t>Years after the first year of the hold (2028 = 0)</t>
        </is>
      </c>
      <c r="D710" s="26">
        <f>D709-(pr_close+1)</f>
        <v/>
      </c>
      <c r="E710" s="26">
        <f>E709-(pr_close+1)</f>
        <v/>
      </c>
      <c r="F710" s="26">
        <f>F709-(pr_close+1)</f>
        <v/>
      </c>
      <c r="G710" s="26">
        <f>G709-(pr_close+1)</f>
        <v/>
      </c>
      <c r="H710" s="26">
        <f>H709-(pr_close+1)</f>
        <v/>
      </c>
      <c r="I710" s="26">
        <f>I709-(pr_close+1)</f>
        <v/>
      </c>
      <c r="J710" s="26">
        <f>J709-(pr_close+1)</f>
        <v/>
      </c>
      <c r="K710" s="26">
        <f>K709-(pr_close+1)</f>
        <v/>
      </c>
      <c r="L710" s="26">
        <f>L709-(pr_close+1)</f>
        <v/>
      </c>
      <c r="M710" s="26">
        <f>M709-(pr_close+1)</f>
        <v/>
      </c>
      <c r="N710" s="26">
        <f>N709-(pr_close+1)</f>
        <v/>
      </c>
    </row>
    <row r="711">
      <c r="B711" s="2" t="inlineStr">
        <is>
          <t>Connections (water and wastewater), year end</t>
        </is>
      </c>
      <c r="C711" s="5" t="inlineStr">
        <is>
          <t>number</t>
        </is>
      </c>
      <c r="D711" s="19">
        <f>pr_water_conn+pr_ww_conn</f>
        <v/>
      </c>
      <c r="E711" s="19">
        <f>D711*(1+Inputs!$C$240)+IF(AND(pr_fen_on=1,E709=pr_fen_year+1),pr_fen_conn,0)</f>
        <v/>
      </c>
      <c r="F711" s="19">
        <f>E711*(1+Inputs!$C$240)+IF(AND(pr_fen_on=1,F709=pr_fen_year+1),pr_fen_conn,0)</f>
        <v/>
      </c>
      <c r="G711" s="19">
        <f>F711*(1+Inputs!$C$240)+IF(AND(pr_fen_on=1,G709=pr_fen_year+1),pr_fen_conn,0)</f>
        <v/>
      </c>
      <c r="H711" s="19">
        <f>G711*(1+Inputs!$C$240)+IF(AND(pr_fen_on=1,H709=pr_fen_year+1),pr_fen_conn,0)</f>
        <v/>
      </c>
      <c r="I711" s="19">
        <f>H711*(1+Inputs!$C$240)+IF(AND(pr_fen_on=1,I709=pr_fen_year+1),pr_fen_conn,0)</f>
        <v/>
      </c>
      <c r="J711" s="19">
        <f>I711*(1+Inputs!$C$240)+IF(AND(pr_fen_on=1,J709=pr_fen_year+1),pr_fen_conn,0)</f>
        <v/>
      </c>
      <c r="K711" s="19">
        <f>J711*(1+Inputs!$C$240)+IF(AND(pr_fen_on=1,K709=pr_fen_year+1),pr_fen_conn,0)</f>
        <v/>
      </c>
      <c r="L711" s="19">
        <f>K711*(1+Inputs!$C$240)+IF(AND(pr_fen_on=1,L709=pr_fen_year+1),pr_fen_conn,0)</f>
        <v/>
      </c>
      <c r="M711" s="19">
        <f>L711*(1+Inputs!$C$240)+IF(AND(pr_fen_on=1,M709=pr_fen_year+1),pr_fen_conn,0)</f>
        <v/>
      </c>
      <c r="N711" s="19">
        <f>M711*(1+Inputs!$C$240)+IF(AND(pr_fen_on=1,N709=pr_fen_year+1),pr_fen_conn,0)</f>
        <v/>
      </c>
    </row>
    <row r="713">
      <c r="B713" s="6" t="inlineStr">
        <is>
          <t>Capital spending ($ million)</t>
        </is>
      </c>
      <c r="C713" s="7" t="n"/>
      <c r="D713" s="7" t="n"/>
      <c r="E713" s="7" t="n"/>
      <c r="F713" s="7" t="n"/>
      <c r="G713" s="7" t="n"/>
      <c r="H713" s="7" t="n"/>
      <c r="I713" s="7" t="n"/>
      <c r="J713" s="7" t="n"/>
      <c r="K713" s="7" t="n"/>
      <c r="L713" s="7" t="n"/>
      <c r="M713" s="7" t="n"/>
      <c r="N713" s="7" t="n"/>
    </row>
    <row r="714">
      <c r="B714" s="2" t="inlineStr">
        <is>
          <t>Cost escalation index (2028 = 1)</t>
        </is>
      </c>
      <c r="E714" s="28">
        <f>(1+pr_capex_esc)^(E709-(pr_close+1))</f>
        <v/>
      </c>
      <c r="F714" s="28">
        <f>(1+pr_capex_esc)^(F709-(pr_close+1))</f>
        <v/>
      </c>
      <c r="G714" s="28">
        <f>(1+pr_capex_esc)^(G709-(pr_close+1))</f>
        <v/>
      </c>
      <c r="H714" s="28">
        <f>(1+pr_capex_esc)^(H709-(pr_close+1))</f>
        <v/>
      </c>
      <c r="I714" s="28">
        <f>(1+pr_capex_esc)^(I709-(pr_close+1))</f>
        <v/>
      </c>
      <c r="J714" s="28">
        <f>(1+pr_capex_esc)^(J709-(pr_close+1))</f>
        <v/>
      </c>
      <c r="K714" s="28">
        <f>(1+pr_capex_esc)^(K709-(pr_close+1))</f>
        <v/>
      </c>
      <c r="L714" s="28">
        <f>(1+pr_capex_esc)^(L709-(pr_close+1))</f>
        <v/>
      </c>
      <c r="M714" s="28">
        <f>(1+pr_capex_esc)^(M709-(pr_close+1))</f>
        <v/>
      </c>
      <c r="N714" s="28">
        <f>(1+pr_capex_esc)^(N709-(pr_close+1))</f>
        <v/>
      </c>
    </row>
    <row r="715">
      <c r="B715" s="2" t="inlineStr">
        <is>
          <t>Main renewal</t>
        </is>
      </c>
      <c r="C715" s="5" t="inlineStr">
        <is>
          <t>$ million</t>
        </is>
      </c>
      <c r="E715" s="23">
        <f>pr_renewal*pr_mains_miles*pr_cost_mile*E714*(1+pr_capex_shift)</f>
        <v/>
      </c>
      <c r="F715" s="23">
        <f>pr_renewal*pr_mains_miles*pr_cost_mile*F714*(1+pr_capex_shift)</f>
        <v/>
      </c>
      <c r="G715" s="23">
        <f>pr_renewal*pr_mains_miles*pr_cost_mile*G714*(1+pr_capex_shift)</f>
        <v/>
      </c>
      <c r="H715" s="23">
        <f>pr_renewal*pr_mains_miles*pr_cost_mile*H714*(1+pr_capex_shift)</f>
        <v/>
      </c>
      <c r="I715" s="23">
        <f>pr_renewal*pr_mains_miles*pr_cost_mile*I714*(1+pr_capex_shift)</f>
        <v/>
      </c>
      <c r="J715" s="23">
        <f>pr_renewal*pr_mains_miles*pr_cost_mile*J714*(1+pr_capex_shift)</f>
        <v/>
      </c>
      <c r="K715" s="23">
        <f>pr_renewal*pr_mains_miles*pr_cost_mile*K714*(1+pr_capex_shift)</f>
        <v/>
      </c>
      <c r="L715" s="23">
        <f>pr_renewal*pr_mains_miles*pr_cost_mile*L714*(1+pr_capex_shift)</f>
        <v/>
      </c>
      <c r="M715" s="23">
        <f>pr_renewal*pr_mains_miles*pr_cost_mile*M714*(1+pr_capex_shift)</f>
        <v/>
      </c>
      <c r="N715" s="23">
        <f>pr_renewal*pr_mains_miles*pr_cost_mile*N714*(1+pr_capex_shift)</f>
        <v/>
      </c>
    </row>
    <row r="716">
      <c r="B716" s="2" t="inlineStr">
        <is>
          <t>Treatment, storage, meters, IT and growth</t>
        </is>
      </c>
      <c r="C716" s="5" t="inlineStr">
        <is>
          <t>$ million</t>
        </is>
      </c>
      <c r="E716" s="23">
        <f>pr_other_capex*E714*(1+pr_capex_shift)</f>
        <v/>
      </c>
      <c r="F716" s="23">
        <f>pr_other_capex*F714*(1+pr_capex_shift)</f>
        <v/>
      </c>
      <c r="G716" s="23">
        <f>pr_other_capex*G714*(1+pr_capex_shift)</f>
        <v/>
      </c>
      <c r="H716" s="23">
        <f>pr_other_capex*H714*(1+pr_capex_shift)</f>
        <v/>
      </c>
      <c r="I716" s="23">
        <f>pr_other_capex*I714*(1+pr_capex_shift)</f>
        <v/>
      </c>
      <c r="J716" s="23">
        <f>pr_other_capex*J714*(1+pr_capex_shift)</f>
        <v/>
      </c>
      <c r="K716" s="23">
        <f>pr_other_capex*K714*(1+pr_capex_shift)</f>
        <v/>
      </c>
      <c r="L716" s="23">
        <f>pr_other_capex*L714*(1+pr_capex_shift)</f>
        <v/>
      </c>
      <c r="M716" s="23">
        <f>pr_other_capex*M714*(1+pr_capex_shift)</f>
        <v/>
      </c>
      <c r="N716" s="23">
        <f>pr_other_capex*N714*(1+pr_capex_shift)</f>
        <v/>
      </c>
    </row>
    <row r="717">
      <c r="B717" s="2" t="inlineStr">
        <is>
          <t>PFAS treatment</t>
        </is>
      </c>
      <c r="C717" s="5" t="inlineStr">
        <is>
          <t>$ million</t>
        </is>
      </c>
      <c r="E717" s="23">
        <f>(IF(E709-pr_pfas_delay=pr_pfas_y1,pr_pfas_1,0)+IF(E709-pr_pfas_delay=pr_pfas_y1+1,pr_pfas_2,0)+IF(E709-pr_pfas_delay=pr_pfas_y1+2,pr_pfas_3,0))*(1+pr_capex_esc)^pr_pfas_delay*(1+pr_capex_shift)</f>
        <v/>
      </c>
      <c r="F717" s="23">
        <f>(IF(F709-pr_pfas_delay=pr_pfas_y1,pr_pfas_1,0)+IF(F709-pr_pfas_delay=pr_pfas_y1+1,pr_pfas_2,0)+IF(F709-pr_pfas_delay=pr_pfas_y1+2,pr_pfas_3,0))*(1+pr_capex_esc)^pr_pfas_delay*(1+pr_capex_shift)</f>
        <v/>
      </c>
      <c r="G717" s="23">
        <f>(IF(G709-pr_pfas_delay=pr_pfas_y1,pr_pfas_1,0)+IF(G709-pr_pfas_delay=pr_pfas_y1+1,pr_pfas_2,0)+IF(G709-pr_pfas_delay=pr_pfas_y1+2,pr_pfas_3,0))*(1+pr_capex_esc)^pr_pfas_delay*(1+pr_capex_shift)</f>
        <v/>
      </c>
      <c r="H717" s="23">
        <f>(IF(H709-pr_pfas_delay=pr_pfas_y1,pr_pfas_1,0)+IF(H709-pr_pfas_delay=pr_pfas_y1+1,pr_pfas_2,0)+IF(H709-pr_pfas_delay=pr_pfas_y1+2,pr_pfas_3,0))*(1+pr_capex_esc)^pr_pfas_delay*(1+pr_capex_shift)</f>
        <v/>
      </c>
      <c r="I717" s="23">
        <f>(IF(I709-pr_pfas_delay=pr_pfas_y1,pr_pfas_1,0)+IF(I709-pr_pfas_delay=pr_pfas_y1+1,pr_pfas_2,0)+IF(I709-pr_pfas_delay=pr_pfas_y1+2,pr_pfas_3,0))*(1+pr_capex_esc)^pr_pfas_delay*(1+pr_capex_shift)</f>
        <v/>
      </c>
      <c r="J717" s="23">
        <f>(IF(J709-pr_pfas_delay=pr_pfas_y1,pr_pfas_1,0)+IF(J709-pr_pfas_delay=pr_pfas_y1+1,pr_pfas_2,0)+IF(J709-pr_pfas_delay=pr_pfas_y1+2,pr_pfas_3,0))*(1+pr_capex_esc)^pr_pfas_delay*(1+pr_capex_shift)</f>
        <v/>
      </c>
      <c r="K717" s="23">
        <f>(IF(K709-pr_pfas_delay=pr_pfas_y1,pr_pfas_1,0)+IF(K709-pr_pfas_delay=pr_pfas_y1+1,pr_pfas_2,0)+IF(K709-pr_pfas_delay=pr_pfas_y1+2,pr_pfas_3,0))*(1+pr_capex_esc)^pr_pfas_delay*(1+pr_capex_shift)</f>
        <v/>
      </c>
      <c r="L717" s="23">
        <f>(IF(L709-pr_pfas_delay=pr_pfas_y1,pr_pfas_1,0)+IF(L709-pr_pfas_delay=pr_pfas_y1+1,pr_pfas_2,0)+IF(L709-pr_pfas_delay=pr_pfas_y1+2,pr_pfas_3,0))*(1+pr_capex_esc)^pr_pfas_delay*(1+pr_capex_shift)</f>
        <v/>
      </c>
      <c r="M717" s="23">
        <f>(IF(M709-pr_pfas_delay=pr_pfas_y1,pr_pfas_1,0)+IF(M709-pr_pfas_delay=pr_pfas_y1+1,pr_pfas_2,0)+IF(M709-pr_pfas_delay=pr_pfas_y1+2,pr_pfas_3,0))*(1+pr_capex_esc)^pr_pfas_delay*(1+pr_capex_shift)</f>
        <v/>
      </c>
      <c r="N717" s="23">
        <f>(IF(N709-pr_pfas_delay=pr_pfas_y1,pr_pfas_1,0)+IF(N709-pr_pfas_delay=pr_pfas_y1+1,pr_pfas_2,0)+IF(N709-pr_pfas_delay=pr_pfas_y1+2,pr_pfas_3,0))*(1+pr_capex_esc)^pr_pfas_delay*(1+pr_capex_shift)</f>
        <v/>
      </c>
    </row>
    <row r="718">
      <c r="B718" s="2" t="inlineStr">
        <is>
          <t>Lead service lines</t>
        </is>
      </c>
      <c r="C718" s="5" t="inlineStr">
        <is>
          <t>$ million</t>
        </is>
      </c>
      <c r="E718" s="23">
        <f>IF(AND(E709&gt;=(pr_close+1),E709&lt;(pr_close+1)+pr_lead_years),pr_lead_lines/pr_lead_years*pr_lead_cost/1000000*E714,0)*(1+pr_capex_shift)</f>
        <v/>
      </c>
      <c r="F718" s="23">
        <f>IF(AND(F709&gt;=(pr_close+1),F709&lt;(pr_close+1)+pr_lead_years),pr_lead_lines/pr_lead_years*pr_lead_cost/1000000*F714,0)*(1+pr_capex_shift)</f>
        <v/>
      </c>
      <c r="G718" s="23">
        <f>IF(AND(G709&gt;=(pr_close+1),G709&lt;(pr_close+1)+pr_lead_years),pr_lead_lines/pr_lead_years*pr_lead_cost/1000000*G714,0)*(1+pr_capex_shift)</f>
        <v/>
      </c>
      <c r="H718" s="23">
        <f>IF(AND(H709&gt;=(pr_close+1),H709&lt;(pr_close+1)+pr_lead_years),pr_lead_lines/pr_lead_years*pr_lead_cost/1000000*H714,0)*(1+pr_capex_shift)</f>
        <v/>
      </c>
      <c r="I718" s="23">
        <f>IF(AND(I709&gt;=(pr_close+1),I709&lt;(pr_close+1)+pr_lead_years),pr_lead_lines/pr_lead_years*pr_lead_cost/1000000*I714,0)*(1+pr_capex_shift)</f>
        <v/>
      </c>
      <c r="J718" s="23">
        <f>IF(AND(J709&gt;=(pr_close+1),J709&lt;(pr_close+1)+pr_lead_years),pr_lead_lines/pr_lead_years*pr_lead_cost/1000000*J714,0)*(1+pr_capex_shift)</f>
        <v/>
      </c>
      <c r="K718" s="23">
        <f>IF(AND(K709&gt;=(pr_close+1),K709&lt;(pr_close+1)+pr_lead_years),pr_lead_lines/pr_lead_years*pr_lead_cost/1000000*K714,0)*(1+pr_capex_shift)</f>
        <v/>
      </c>
      <c r="L718" s="23">
        <f>IF(AND(L709&gt;=(pr_close+1),L709&lt;(pr_close+1)+pr_lead_years),pr_lead_lines/pr_lead_years*pr_lead_cost/1000000*L714,0)*(1+pr_capex_shift)</f>
        <v/>
      </c>
      <c r="M718" s="23">
        <f>IF(AND(M709&gt;=(pr_close+1),M709&lt;(pr_close+1)+pr_lead_years),pr_lead_lines/pr_lead_years*pr_lead_cost/1000000*M714,0)*(1+pr_capex_shift)</f>
        <v/>
      </c>
      <c r="N718" s="23">
        <f>IF(AND(N709&gt;=(pr_close+1),N709&lt;(pr_close+1)+pr_lead_years),pr_lead_lines/pr_lead_years*pr_lead_cost/1000000*N714,0)*(1+pr_capex_shift)</f>
        <v/>
      </c>
    </row>
    <row r="719">
      <c r="B719" s="2" t="inlineStr">
        <is>
          <t>Fennick system</t>
        </is>
      </c>
      <c r="C719" s="5" t="inlineStr">
        <is>
          <t>$ million</t>
        </is>
      </c>
      <c r="E719" s="23">
        <f>IF(AND(pr_fen_on=1,E709&gt;pr_fen_year),pr_fen_capex*(1+pr_capex_esc)^(E709-pr_fen_year-1),0)*(1+pr_capex_shift)</f>
        <v/>
      </c>
      <c r="F719" s="23">
        <f>IF(AND(pr_fen_on=1,F709&gt;pr_fen_year),pr_fen_capex*(1+pr_capex_esc)^(F709-pr_fen_year-1),0)*(1+pr_capex_shift)</f>
        <v/>
      </c>
      <c r="G719" s="23">
        <f>IF(AND(pr_fen_on=1,G709&gt;pr_fen_year),pr_fen_capex*(1+pr_capex_esc)^(G709-pr_fen_year-1),0)*(1+pr_capex_shift)</f>
        <v/>
      </c>
      <c r="H719" s="23">
        <f>IF(AND(pr_fen_on=1,H709&gt;pr_fen_year),pr_fen_capex*(1+pr_capex_esc)^(H709-pr_fen_year-1),0)*(1+pr_capex_shift)</f>
        <v/>
      </c>
      <c r="I719" s="23">
        <f>IF(AND(pr_fen_on=1,I709&gt;pr_fen_year),pr_fen_capex*(1+pr_capex_esc)^(I709-pr_fen_year-1),0)*(1+pr_capex_shift)</f>
        <v/>
      </c>
      <c r="J719" s="23">
        <f>IF(AND(pr_fen_on=1,J709&gt;pr_fen_year),pr_fen_capex*(1+pr_capex_esc)^(J709-pr_fen_year-1),0)*(1+pr_capex_shift)</f>
        <v/>
      </c>
      <c r="K719" s="23">
        <f>IF(AND(pr_fen_on=1,K709&gt;pr_fen_year),pr_fen_capex*(1+pr_capex_esc)^(K709-pr_fen_year-1),0)*(1+pr_capex_shift)</f>
        <v/>
      </c>
      <c r="L719" s="23">
        <f>IF(AND(pr_fen_on=1,L709&gt;pr_fen_year),pr_fen_capex*(1+pr_capex_esc)^(L709-pr_fen_year-1),0)*(1+pr_capex_shift)</f>
        <v/>
      </c>
      <c r="M719" s="23">
        <f>IF(AND(pr_fen_on=1,M709&gt;pr_fen_year),pr_fen_capex*(1+pr_capex_esc)^(M709-pr_fen_year-1),0)*(1+pr_capex_shift)</f>
        <v/>
      </c>
      <c r="N719" s="23">
        <f>IF(AND(pr_fen_on=1,N709&gt;pr_fen_year),pr_fen_capex*(1+pr_capex_esc)^(N709-pr_fen_year-1),0)*(1+pr_capex_shift)</f>
        <v/>
      </c>
    </row>
    <row r="720">
      <c r="B720" s="2" t="inlineStr">
        <is>
          <t>Total capital spending</t>
        </is>
      </c>
      <c r="C720" s="5" t="inlineStr">
        <is>
          <t>$ million</t>
        </is>
      </c>
      <c r="E720" s="23">
        <f>SUM(E715:E719)</f>
        <v/>
      </c>
      <c r="F720" s="23">
        <f>SUM(F715:F719)</f>
        <v/>
      </c>
      <c r="G720" s="23">
        <f>SUM(G715:G719)</f>
        <v/>
      </c>
      <c r="H720" s="23">
        <f>SUM(H715:H719)</f>
        <v/>
      </c>
      <c r="I720" s="23">
        <f>SUM(I715:I719)</f>
        <v/>
      </c>
      <c r="J720" s="23">
        <f>SUM(J715:J719)</f>
        <v/>
      </c>
      <c r="K720" s="23">
        <f>SUM(K715:K719)</f>
        <v/>
      </c>
      <c r="L720" s="23">
        <f>SUM(L715:L719)</f>
        <v/>
      </c>
      <c r="M720" s="23">
        <f>SUM(M715:M719)</f>
        <v/>
      </c>
      <c r="N720" s="23">
        <f>SUM(N715:N719)</f>
        <v/>
      </c>
    </row>
    <row r="721">
      <c r="B721" s="2" t="inlineStr">
        <is>
          <t>DSIC-eligible (mains and lead lines)</t>
        </is>
      </c>
      <c r="C721" s="5" t="inlineStr">
        <is>
          <t>$ million</t>
        </is>
      </c>
      <c r="E721" s="23">
        <f>E715+E718</f>
        <v/>
      </c>
      <c r="F721" s="23">
        <f>F715+F718</f>
        <v/>
      </c>
      <c r="G721" s="23">
        <f>G715+G718</f>
        <v/>
      </c>
      <c r="H721" s="23">
        <f>H715+H718</f>
        <v/>
      </c>
      <c r="I721" s="23">
        <f>I715+I718</f>
        <v/>
      </c>
      <c r="J721" s="23">
        <f>J715+J718</f>
        <v/>
      </c>
      <c r="K721" s="23">
        <f>K715+K718</f>
        <v/>
      </c>
      <c r="L721" s="23">
        <f>L715+L718</f>
        <v/>
      </c>
      <c r="M721" s="23">
        <f>M715+M718</f>
        <v/>
      </c>
      <c r="N721" s="23">
        <f>N715+N718</f>
        <v/>
      </c>
    </row>
    <row r="723">
      <c r="B723" s="6" t="inlineStr">
        <is>
          <t>Rate case (rates effective 1 January of the year; test-year values looked up to the left)</t>
        </is>
      </c>
      <c r="C723" s="7" t="n"/>
      <c r="D723" s="7" t="n"/>
      <c r="E723" s="7" t="n"/>
      <c r="F723" s="7" t="n"/>
      <c r="G723" s="7" t="n"/>
      <c r="H723" s="7" t="n"/>
      <c r="I723" s="7" t="n"/>
      <c r="J723" s="7" t="n"/>
      <c r="K723" s="7" t="n"/>
      <c r="L723" s="7" t="n"/>
      <c r="M723" s="7" t="n"/>
      <c r="N723" s="7" t="n"/>
    </row>
    <row r="724">
      <c r="B724" s="2" t="inlineStr">
        <is>
          <t>Rate case this year (1 = yes)</t>
        </is>
      </c>
      <c r="E724" s="26">
        <f>IF(AND(E709&gt;=pr_rc_first,MOD(E709-pr_rc_first,pr_rc_cycle)=0),1,0)</f>
        <v/>
      </c>
      <c r="F724" s="26">
        <f>IF(AND(F709&gt;=pr_rc_first,MOD(F709-pr_rc_first,pr_rc_cycle)=0),1,0)</f>
        <v/>
      </c>
      <c r="G724" s="26">
        <f>IF(AND(G709&gt;=pr_rc_first,MOD(G709-pr_rc_first,pr_rc_cycle)=0),1,0)</f>
        <v/>
      </c>
      <c r="H724" s="26">
        <f>IF(AND(H709&gt;=pr_rc_first,MOD(H709-pr_rc_first,pr_rc_cycle)=0),1,0)</f>
        <v/>
      </c>
      <c r="I724" s="26">
        <f>IF(AND(I709&gt;=pr_rc_first,MOD(I709-pr_rc_first,pr_rc_cycle)=0),1,0)</f>
        <v/>
      </c>
      <c r="J724" s="26">
        <f>IF(AND(J709&gt;=pr_rc_first,MOD(J709-pr_rc_first,pr_rc_cycle)=0),1,0)</f>
        <v/>
      </c>
      <c r="K724" s="26">
        <f>IF(AND(K709&gt;=pr_rc_first,MOD(K709-pr_rc_first,pr_rc_cycle)=0),1,0)</f>
        <v/>
      </c>
      <c r="L724" s="26">
        <f>IF(AND(L709&gt;=pr_rc_first,MOD(L709-pr_rc_first,pr_rc_cycle)=0),1,0)</f>
        <v/>
      </c>
      <c r="M724" s="26">
        <f>IF(AND(M709&gt;=pr_rc_first,MOD(M709-pr_rc_first,pr_rc_cycle)=0),1,0)</f>
        <v/>
      </c>
      <c r="N724" s="26">
        <f>IF(AND(N709&gt;=pr_rc_first,MOD(N709-pr_rc_first,pr_rc_cycle)=0),1,0)</f>
        <v/>
      </c>
    </row>
    <row r="725">
      <c r="B725" s="2" t="inlineStr">
        <is>
          <t>Test year</t>
        </is>
      </c>
      <c r="E725" s="26">
        <f>E709-pr_test_lag</f>
        <v/>
      </c>
      <c r="F725" s="26">
        <f>F709-pr_test_lag</f>
        <v/>
      </c>
      <c r="G725" s="26">
        <f>G709-pr_test_lag</f>
        <v/>
      </c>
      <c r="H725" s="26">
        <f>H709-pr_test_lag</f>
        <v/>
      </c>
      <c r="I725" s="26">
        <f>I709-pr_test_lag</f>
        <v/>
      </c>
      <c r="J725" s="26">
        <f>J709-pr_test_lag</f>
        <v/>
      </c>
      <c r="K725" s="26">
        <f>K709-pr_test_lag</f>
        <v/>
      </c>
      <c r="L725" s="26">
        <f>L709-pr_test_lag</f>
        <v/>
      </c>
      <c r="M725" s="26">
        <f>M709-pr_test_lag</f>
        <v/>
      </c>
      <c r="N725" s="26">
        <f>N709-pr_test_lag</f>
        <v/>
      </c>
    </row>
    <row r="726">
      <c r="B726" s="2" t="inlineStr">
        <is>
          <t>Test year of the latest rate case</t>
        </is>
      </c>
      <c r="D726" s="26">
        <f>pr_close</f>
        <v/>
      </c>
      <c r="E726" s="26">
        <f>IF(E724=1,E725,D726)</f>
        <v/>
      </c>
      <c r="F726" s="26">
        <f>IF(F724=1,F725,E726)</f>
        <v/>
      </c>
      <c r="G726" s="26">
        <f>IF(G724=1,G725,F726)</f>
        <v/>
      </c>
      <c r="H726" s="26">
        <f>IF(H724=1,H725,G726)</f>
        <v/>
      </c>
      <c r="I726" s="26">
        <f>IF(I724=1,I725,H726)</f>
        <v/>
      </c>
      <c r="J726" s="26">
        <f>IF(J724=1,J725,I726)</f>
        <v/>
      </c>
      <c r="K726" s="26">
        <f>IF(K724=1,K725,J726)</f>
        <v/>
      </c>
      <c r="L726" s="26">
        <f>IF(L724=1,L725,K726)</f>
        <v/>
      </c>
      <c r="M726" s="26">
        <f>IF(M724=1,M725,L726)</f>
        <v/>
      </c>
      <c r="N726" s="26">
        <f>IF(N724=1,N725,M726)</f>
        <v/>
      </c>
    </row>
    <row r="727">
      <c r="B727" s="2" t="inlineStr">
        <is>
          <t>Rate base at the end of the test year</t>
        </is>
      </c>
      <c r="C727" s="5" t="inlineStr">
        <is>
          <t>$ million</t>
        </is>
      </c>
      <c r="E727" s="23">
        <f>INDEX($D$766:D$766,MATCH(MAX(E725,pr_close),$D$709:D$709,0))</f>
        <v/>
      </c>
      <c r="F727" s="23">
        <f>INDEX($D$766:E$766,MATCH(MAX(F725,pr_close),$D$709:E$709,0))</f>
        <v/>
      </c>
      <c r="G727" s="23">
        <f>INDEX($D$766:F$766,MATCH(MAX(G725,pr_close),$D$709:F$709,0))</f>
        <v/>
      </c>
      <c r="H727" s="23">
        <f>INDEX($D$766:G$766,MATCH(MAX(H725,pr_close),$D$709:G$709,0))</f>
        <v/>
      </c>
      <c r="I727" s="23">
        <f>INDEX($D$766:H$766,MATCH(MAX(I725,pr_close),$D$709:H$709,0))</f>
        <v/>
      </c>
      <c r="J727" s="23">
        <f>INDEX($D$766:I$766,MATCH(MAX(J725,pr_close),$D$709:I$709,0))</f>
        <v/>
      </c>
      <c r="K727" s="23">
        <f>INDEX($D$766:J$766,MATCH(MAX(K725,pr_close),$D$709:J$709,0))</f>
        <v/>
      </c>
      <c r="L727" s="23">
        <f>INDEX($D$766:K$766,MATCH(MAX(L725,pr_close),$D$709:K$709,0))</f>
        <v/>
      </c>
      <c r="M727" s="23">
        <f>INDEX($D$766:L$766,MATCH(MAX(M725,pr_close),$D$709:L$709,0))</f>
        <v/>
      </c>
      <c r="N727" s="23">
        <f>INDEX($D$766:M$766,MATCH(MAX(N725,pr_close),$D$709:M$709,0))</f>
        <v/>
      </c>
    </row>
    <row r="728">
      <c r="B728" s="2" t="inlineStr">
        <is>
          <t>Embedded cost of debt in the test year</t>
        </is>
      </c>
      <c r="C728" s="5" t="inlineStr">
        <is>
          <t>rate</t>
        </is>
      </c>
      <c r="E728" s="27">
        <f>INDEX($D$770:D$770,MATCH(MAX(E725,pr_close),$D$709:D$709,0))</f>
        <v/>
      </c>
      <c r="F728" s="27">
        <f>INDEX($D$770:E$770,MATCH(MAX(F725,pr_close),$D$709:E$709,0))</f>
        <v/>
      </c>
      <c r="G728" s="27">
        <f>INDEX($D$770:F$770,MATCH(MAX(G725,pr_close),$D$709:F$709,0))</f>
        <v/>
      </c>
      <c r="H728" s="27">
        <f>INDEX($D$770:G$770,MATCH(MAX(H725,pr_close),$D$709:G$709,0))</f>
        <v/>
      </c>
      <c r="I728" s="27">
        <f>INDEX($D$770:H$770,MATCH(MAX(I725,pr_close),$D$709:H$709,0))</f>
        <v/>
      </c>
      <c r="J728" s="27">
        <f>INDEX($D$770:I$770,MATCH(MAX(J725,pr_close),$D$709:I$709,0))</f>
        <v/>
      </c>
      <c r="K728" s="27">
        <f>INDEX($D$770:J$770,MATCH(MAX(K725,pr_close),$D$709:J$709,0))</f>
        <v/>
      </c>
      <c r="L728" s="27">
        <f>INDEX($D$770:K$770,MATCH(MAX(L725,pr_close),$D$709:K$709,0))</f>
        <v/>
      </c>
      <c r="M728" s="27">
        <f>INDEX($D$770:L$770,MATCH(MAX(M725,pr_close),$D$709:L$709,0))</f>
        <v/>
      </c>
      <c r="N728" s="27">
        <f>INDEX($D$770:M$770,MATCH(MAX(N725,pr_close),$D$709:M$709,0))</f>
        <v/>
      </c>
    </row>
    <row r="729">
      <c r="B729" s="2" t="inlineStr">
        <is>
          <t>O&amp;M in the test year</t>
        </is>
      </c>
      <c r="C729" s="5" t="inlineStr">
        <is>
          <t>$ million</t>
        </is>
      </c>
      <c r="E729" s="23">
        <f>INDEX($D$751:D$751,MATCH(MAX(E725,pr_close),$D$709:D$709,0))</f>
        <v/>
      </c>
      <c r="F729" s="23">
        <f>INDEX($D$751:E$751,MATCH(MAX(F725,pr_close),$D$709:E$709,0))</f>
        <v/>
      </c>
      <c r="G729" s="23">
        <f>INDEX($D$751:F$751,MATCH(MAX(G725,pr_close),$D$709:F$709,0))</f>
        <v/>
      </c>
      <c r="H729" s="23">
        <f>INDEX($D$751:G$751,MATCH(MAX(H725,pr_close),$D$709:G$709,0))</f>
        <v/>
      </c>
      <c r="I729" s="23">
        <f>INDEX($D$751:H$751,MATCH(MAX(I725,pr_close),$D$709:H$709,0))</f>
        <v/>
      </c>
      <c r="J729" s="23">
        <f>INDEX($D$751:I$751,MATCH(MAX(J725,pr_close),$D$709:I$709,0))</f>
        <v/>
      </c>
      <c r="K729" s="23">
        <f>INDEX($D$751:J$751,MATCH(MAX(K725,pr_close),$D$709:J$709,0))</f>
        <v/>
      </c>
      <c r="L729" s="23">
        <f>INDEX($D$751:K$751,MATCH(MAX(L725,pr_close),$D$709:K$709,0))</f>
        <v/>
      </c>
      <c r="M729" s="23">
        <f>INDEX($D$751:L$751,MATCH(MAX(M725,pr_close),$D$709:L$709,0))</f>
        <v/>
      </c>
      <c r="N729" s="23">
        <f>INDEX($D$751:M$751,MATCH(MAX(N725,pr_close),$D$709:M$709,0))</f>
        <v/>
      </c>
    </row>
    <row r="730">
      <c r="B730" s="2" t="inlineStr">
        <is>
          <t>Authorized return on rate base</t>
        </is>
      </c>
      <c r="C730" s="5" t="inlineStr">
        <is>
          <t>rate</t>
        </is>
      </c>
      <c r="E730" s="27">
        <f>(pr_eq*pr_roe+(1-pr_eq)*E728)</f>
        <v/>
      </c>
      <c r="F730" s="27">
        <f>(pr_eq*pr_roe+(1-pr_eq)*F728)</f>
        <v/>
      </c>
      <c r="G730" s="27">
        <f>(pr_eq*pr_roe+(1-pr_eq)*G728)</f>
        <v/>
      </c>
      <c r="H730" s="27">
        <f>(pr_eq*pr_roe+(1-pr_eq)*H728)</f>
        <v/>
      </c>
      <c r="I730" s="27">
        <f>(pr_eq*pr_roe+(1-pr_eq)*I728)</f>
        <v/>
      </c>
      <c r="J730" s="27">
        <f>(pr_eq*pr_roe+(1-pr_eq)*J728)</f>
        <v/>
      </c>
      <c r="K730" s="27">
        <f>(pr_eq*pr_roe+(1-pr_eq)*K728)</f>
        <v/>
      </c>
      <c r="L730" s="27">
        <f>(pr_eq*pr_roe+(1-pr_eq)*L728)</f>
        <v/>
      </c>
      <c r="M730" s="27">
        <f>(pr_eq*pr_roe+(1-pr_eq)*M728)</f>
        <v/>
      </c>
      <c r="N730" s="27">
        <f>(pr_eq*pr_roe+(1-pr_eq)*N728)</f>
        <v/>
      </c>
    </row>
    <row r="731">
      <c r="B731" s="2" t="inlineStr">
        <is>
          <t>Return</t>
        </is>
      </c>
      <c r="C731" s="5" t="inlineStr">
        <is>
          <t>$ million</t>
        </is>
      </c>
      <c r="E731" s="23">
        <f>E730*E727</f>
        <v/>
      </c>
      <c r="F731" s="23">
        <f>F730*F727</f>
        <v/>
      </c>
      <c r="G731" s="23">
        <f>G730*G727</f>
        <v/>
      </c>
      <c r="H731" s="23">
        <f>H730*H727</f>
        <v/>
      </c>
      <c r="I731" s="23">
        <f>I730*I727</f>
        <v/>
      </c>
      <c r="J731" s="23">
        <f>J730*J727</f>
        <v/>
      </c>
      <c r="K731" s="23">
        <f>K730*K727</f>
        <v/>
      </c>
      <c r="L731" s="23">
        <f>L730*L727</f>
        <v/>
      </c>
      <c r="M731" s="23">
        <f>M730*M727</f>
        <v/>
      </c>
      <c r="N731" s="23">
        <f>N730*N727</f>
        <v/>
      </c>
    </row>
    <row r="732">
      <c r="B732" s="2" t="inlineStr">
        <is>
          <t>Income tax gross-up</t>
        </is>
      </c>
      <c r="C732" s="5" t="inlineStr">
        <is>
          <t>$ million</t>
        </is>
      </c>
      <c r="E732" s="23">
        <f>(pr_eq*pr_roe*pr_tax/(1-pr_tax))*E727</f>
        <v/>
      </c>
      <c r="F732" s="23">
        <f>(pr_eq*pr_roe*pr_tax/(1-pr_tax))*F727</f>
        <v/>
      </c>
      <c r="G732" s="23">
        <f>(pr_eq*pr_roe*pr_tax/(1-pr_tax))*G727</f>
        <v/>
      </c>
      <c r="H732" s="23">
        <f>(pr_eq*pr_roe*pr_tax/(1-pr_tax))*H727</f>
        <v/>
      </c>
      <c r="I732" s="23">
        <f>(pr_eq*pr_roe*pr_tax/(1-pr_tax))*I727</f>
        <v/>
      </c>
      <c r="J732" s="23">
        <f>(pr_eq*pr_roe*pr_tax/(1-pr_tax))*J727</f>
        <v/>
      </c>
      <c r="K732" s="23">
        <f>(pr_eq*pr_roe*pr_tax/(1-pr_tax))*K727</f>
        <v/>
      </c>
      <c r="L732" s="23">
        <f>(pr_eq*pr_roe*pr_tax/(1-pr_tax))*L727</f>
        <v/>
      </c>
      <c r="M732" s="23">
        <f>(pr_eq*pr_roe*pr_tax/(1-pr_tax))*M727</f>
        <v/>
      </c>
      <c r="N732" s="23">
        <f>(pr_eq*pr_roe*pr_tax/(1-pr_tax))*N727</f>
        <v/>
      </c>
    </row>
    <row r="733">
      <c r="B733" s="2" t="inlineStr">
        <is>
          <t>Depreciation</t>
        </is>
      </c>
      <c r="C733" s="5" t="inlineStr">
        <is>
          <t>$ million</t>
        </is>
      </c>
      <c r="E733" s="23">
        <f>pr_dep*E727</f>
        <v/>
      </c>
      <c r="F733" s="23">
        <f>pr_dep*F727</f>
        <v/>
      </c>
      <c r="G733" s="23">
        <f>pr_dep*G727</f>
        <v/>
      </c>
      <c r="H733" s="23">
        <f>pr_dep*H727</f>
        <v/>
      </c>
      <c r="I733" s="23">
        <f>pr_dep*I727</f>
        <v/>
      </c>
      <c r="J733" s="23">
        <f>pr_dep*J727</f>
        <v/>
      </c>
      <c r="K733" s="23">
        <f>pr_dep*K727</f>
        <v/>
      </c>
      <c r="L733" s="23">
        <f>pr_dep*L727</f>
        <v/>
      </c>
      <c r="M733" s="23">
        <f>pr_dep*M727</f>
        <v/>
      </c>
      <c r="N733" s="23">
        <f>pr_dep*N727</f>
        <v/>
      </c>
    </row>
    <row r="734">
      <c r="B734" s="2" t="inlineStr">
        <is>
          <t>Other taxes</t>
        </is>
      </c>
      <c r="C734" s="5" t="inlineStr">
        <is>
          <t>$ million</t>
        </is>
      </c>
      <c r="E734" s="23">
        <f>pr_ptax*E727</f>
        <v/>
      </c>
      <c r="F734" s="23">
        <f>pr_ptax*F727</f>
        <v/>
      </c>
      <c r="G734" s="23">
        <f>pr_ptax*G727</f>
        <v/>
      </c>
      <c r="H734" s="23">
        <f>pr_ptax*H727</f>
        <v/>
      </c>
      <c r="I734" s="23">
        <f>pr_ptax*I727</f>
        <v/>
      </c>
      <c r="J734" s="23">
        <f>pr_ptax*J727</f>
        <v/>
      </c>
      <c r="K734" s="23">
        <f>pr_ptax*K727</f>
        <v/>
      </c>
      <c r="L734" s="23">
        <f>pr_ptax*L727</f>
        <v/>
      </c>
      <c r="M734" s="23">
        <f>pr_ptax*M727</f>
        <v/>
      </c>
      <c r="N734" s="23">
        <f>pr_ptax*N727</f>
        <v/>
      </c>
    </row>
    <row r="735">
      <c r="B735" s="2" t="inlineStr">
        <is>
          <t>O&amp;M (test year, known and measurable)</t>
        </is>
      </c>
      <c r="C735" s="5" t="inlineStr">
        <is>
          <t>$ million</t>
        </is>
      </c>
      <c r="E735" s="23">
        <f>E729*(1+pr_om_infl)*(1+Inputs!$C$240)</f>
        <v/>
      </c>
      <c r="F735" s="23">
        <f>F729*(1+pr_om_infl)*(1+Inputs!$C$240)</f>
        <v/>
      </c>
      <c r="G735" s="23">
        <f>G729*(1+pr_om_infl)*(1+Inputs!$C$240)</f>
        <v/>
      </c>
      <c r="H735" s="23">
        <f>H729*(1+pr_om_infl)*(1+Inputs!$C$240)</f>
        <v/>
      </c>
      <c r="I735" s="23">
        <f>I729*(1+pr_om_infl)*(1+Inputs!$C$240)</f>
        <v/>
      </c>
      <c r="J735" s="23">
        <f>J729*(1+pr_om_infl)*(1+Inputs!$C$240)</f>
        <v/>
      </c>
      <c r="K735" s="23">
        <f>K729*(1+pr_om_infl)*(1+Inputs!$C$240)</f>
        <v/>
      </c>
      <c r="L735" s="23">
        <f>L729*(1+pr_om_infl)*(1+Inputs!$C$240)</f>
        <v/>
      </c>
      <c r="M735" s="23">
        <f>M729*(1+pr_om_infl)*(1+Inputs!$C$240)</f>
        <v/>
      </c>
      <c r="N735" s="23">
        <f>N729*(1+pr_om_infl)*(1+Inputs!$C$240)</f>
        <v/>
      </c>
    </row>
    <row r="736">
      <c r="B736" s="2" t="inlineStr">
        <is>
          <t>Revenue requirement (test-year connections)</t>
        </is>
      </c>
      <c r="C736" s="5" t="inlineStr">
        <is>
          <t>$ million</t>
        </is>
      </c>
      <c r="E736" s="23">
        <f>SUM(E731:E735)</f>
        <v/>
      </c>
      <c r="F736" s="23">
        <f>SUM(F731:F735)</f>
        <v/>
      </c>
      <c r="G736" s="23">
        <f>SUM(G731:G735)</f>
        <v/>
      </c>
      <c r="H736" s="23">
        <f>SUM(H731:H735)</f>
        <v/>
      </c>
      <c r="I736" s="23">
        <f>SUM(I731:I735)</f>
        <v/>
      </c>
      <c r="J736" s="23">
        <f>SUM(J731:J735)</f>
        <v/>
      </c>
      <c r="K736" s="23">
        <f>SUM(K731:K735)</f>
        <v/>
      </c>
      <c r="L736" s="23">
        <f>SUM(L731:L735)</f>
        <v/>
      </c>
      <c r="M736" s="23">
        <f>SUM(M731:M735)</f>
        <v/>
      </c>
      <c r="N736" s="23">
        <f>SUM(N731:N735)</f>
        <v/>
      </c>
    </row>
    <row r="737">
      <c r="B737" s="2" t="inlineStr">
        <is>
          <t>Revenue requirement on effective-year connections</t>
        </is>
      </c>
      <c r="C737" s="5" t="inlineStr">
        <is>
          <t>$ million</t>
        </is>
      </c>
      <c r="E737" s="23">
        <f>E736*(1+Inputs!$C$240)</f>
        <v/>
      </c>
      <c r="F737" s="23">
        <f>F736*(1+Inputs!$C$240)</f>
        <v/>
      </c>
      <c r="G737" s="23">
        <f>G736*(1+Inputs!$C$240)</f>
        <v/>
      </c>
      <c r="H737" s="23">
        <f>H736*(1+Inputs!$C$240)</f>
        <v/>
      </c>
      <c r="I737" s="23">
        <f>I736*(1+Inputs!$C$240)</f>
        <v/>
      </c>
      <c r="J737" s="23">
        <f>J736*(1+Inputs!$C$240)</f>
        <v/>
      </c>
      <c r="K737" s="23">
        <f>K736*(1+Inputs!$C$240)</f>
        <v/>
      </c>
      <c r="L737" s="23">
        <f>L736*(1+Inputs!$C$240)</f>
        <v/>
      </c>
      <c r="M737" s="23">
        <f>M736*(1+Inputs!$C$240)</f>
        <v/>
      </c>
      <c r="N737" s="23">
        <f>N736*(1+Inputs!$C$240)</f>
        <v/>
      </c>
    </row>
    <row r="738">
      <c r="B738" s="2" t="inlineStr">
        <is>
          <t>Revenue at existing rates</t>
        </is>
      </c>
      <c r="C738" s="5" t="inlineStr">
        <is>
          <t>$ million</t>
        </is>
      </c>
      <c r="E738" s="23">
        <f>IF(E709=(pr_close+1),D744,D744*(1+Inputs!$C$240)*(1-pr_vol_share*IF(pr_decoupling=1,0,pr_usage))+D745+D747)</f>
        <v/>
      </c>
      <c r="F738" s="23">
        <f>IF(F709=(pr_close+1),E744,E744*(1+Inputs!$C$240)*(1-pr_vol_share*IF(pr_decoupling=1,0,pr_usage))+E745+E747)</f>
        <v/>
      </c>
      <c r="G738" s="23">
        <f>IF(G709=(pr_close+1),F744,F744*(1+Inputs!$C$240)*(1-pr_vol_share*IF(pr_decoupling=1,0,pr_usage))+F745+F747)</f>
        <v/>
      </c>
      <c r="H738" s="23">
        <f>IF(H709=(pr_close+1),G744,G744*(1+Inputs!$C$240)*(1-pr_vol_share*IF(pr_decoupling=1,0,pr_usage))+G745+G747)</f>
        <v/>
      </c>
      <c r="I738" s="23">
        <f>IF(I709=(pr_close+1),H744,H744*(1+Inputs!$C$240)*(1-pr_vol_share*IF(pr_decoupling=1,0,pr_usage))+H745+H747)</f>
        <v/>
      </c>
      <c r="J738" s="23">
        <f>IF(J709=(pr_close+1),I744,I744*(1+Inputs!$C$240)*(1-pr_vol_share*IF(pr_decoupling=1,0,pr_usage))+I745+I747)</f>
        <v/>
      </c>
      <c r="K738" s="23">
        <f>IF(K709=(pr_close+1),J744,J744*(1+Inputs!$C$240)*(1-pr_vol_share*IF(pr_decoupling=1,0,pr_usage))+J745+J747)</f>
        <v/>
      </c>
      <c r="L738" s="23">
        <f>IF(L709=(pr_close+1),K744,K744*(1+Inputs!$C$240)*(1-pr_vol_share*IF(pr_decoupling=1,0,pr_usage))+K745+K747)</f>
        <v/>
      </c>
      <c r="M738" s="23">
        <f>IF(M709=(pr_close+1),L744,L744*(1+Inputs!$C$240)*(1-pr_vol_share*IF(pr_decoupling=1,0,pr_usage))+L745+L747)</f>
        <v/>
      </c>
      <c r="N738" s="23">
        <f>IF(N709=(pr_close+1),M744,M744*(1+Inputs!$C$240)*(1-pr_vol_share*IF(pr_decoupling=1,0,pr_usage))+M745+M747)</f>
        <v/>
      </c>
    </row>
    <row r="739">
      <c r="B739" s="2" t="inlineStr">
        <is>
          <t>Increase granted</t>
        </is>
      </c>
      <c r="C739" s="5" t="inlineStr">
        <is>
          <t>share</t>
        </is>
      </c>
      <c r="E739" s="20">
        <f>E737/E738-1</f>
        <v/>
      </c>
      <c r="F739" s="20">
        <f>F737/F738-1</f>
        <v/>
      </c>
      <c r="G739" s="20">
        <f>G737/G738-1</f>
        <v/>
      </c>
      <c r="H739" s="20">
        <f>H737/H738-1</f>
        <v/>
      </c>
      <c r="I739" s="20">
        <f>I737/I738-1</f>
        <v/>
      </c>
      <c r="J739" s="20">
        <f>J737/J738-1</f>
        <v/>
      </c>
      <c r="K739" s="20">
        <f>K737/K738-1</f>
        <v/>
      </c>
      <c r="L739" s="20">
        <f>L737/L738-1</f>
        <v/>
      </c>
      <c r="M739" s="20">
        <f>M737/M738-1</f>
        <v/>
      </c>
      <c r="N739" s="20">
        <f>N737/N738-1</f>
        <v/>
      </c>
    </row>
    <row r="740">
      <c r="B740" s="2" t="inlineStr">
        <is>
          <t>Revenue requirement requested (at the requested ROE)</t>
        </is>
      </c>
      <c r="C740" s="5" t="inlineStr">
        <is>
          <t>$ million</t>
        </is>
      </c>
      <c r="E740" s="23">
        <f>(pr_eq*pr_roe_ask+(1-pr_eq)*E728)*E727+pr_eq*pr_roe_ask*E727*pr_tax/(1-pr_tax)+E733+E734+E735</f>
        <v/>
      </c>
      <c r="F740" s="23">
        <f>(pr_eq*pr_roe_ask+(1-pr_eq)*F728)*F727+pr_eq*pr_roe_ask*F727*pr_tax/(1-pr_tax)+F733+F734+F735</f>
        <v/>
      </c>
      <c r="G740" s="23">
        <f>(pr_eq*pr_roe_ask+(1-pr_eq)*G728)*G727+pr_eq*pr_roe_ask*G727*pr_tax/(1-pr_tax)+G733+G734+G735</f>
        <v/>
      </c>
      <c r="H740" s="23">
        <f>(pr_eq*pr_roe_ask+(1-pr_eq)*H728)*H727+pr_eq*pr_roe_ask*H727*pr_tax/(1-pr_tax)+H733+H734+H735</f>
        <v/>
      </c>
      <c r="I740" s="23">
        <f>(pr_eq*pr_roe_ask+(1-pr_eq)*I728)*I727+pr_eq*pr_roe_ask*I727*pr_tax/(1-pr_tax)+I733+I734+I735</f>
        <v/>
      </c>
      <c r="J740" s="23">
        <f>(pr_eq*pr_roe_ask+(1-pr_eq)*J728)*J727+pr_eq*pr_roe_ask*J727*pr_tax/(1-pr_tax)+J733+J734+J735</f>
        <v/>
      </c>
      <c r="K740" s="23">
        <f>(pr_eq*pr_roe_ask+(1-pr_eq)*K728)*K727+pr_eq*pr_roe_ask*K727*pr_tax/(1-pr_tax)+K733+K734+K735</f>
        <v/>
      </c>
      <c r="L740" s="23">
        <f>(pr_eq*pr_roe_ask+(1-pr_eq)*L728)*L727+pr_eq*pr_roe_ask*L727*pr_tax/(1-pr_tax)+L733+L734+L735</f>
        <v/>
      </c>
      <c r="M740" s="23">
        <f>(pr_eq*pr_roe_ask+(1-pr_eq)*M728)*M727+pr_eq*pr_roe_ask*M727*pr_tax/(1-pr_tax)+M733+M734+M735</f>
        <v/>
      </c>
      <c r="N740" s="23">
        <f>(pr_eq*pr_roe_ask+(1-pr_eq)*N728)*N727+pr_eq*pr_roe_ask*N727*pr_tax/(1-pr_tax)+N733+N734+N735</f>
        <v/>
      </c>
    </row>
    <row r="741">
      <c r="B741" s="2" t="inlineStr">
        <is>
          <t>Increase requested</t>
        </is>
      </c>
      <c r="C741" s="5" t="inlineStr">
        <is>
          <t>share</t>
        </is>
      </c>
      <c r="E741" s="20">
        <f>E740*(1+Inputs!$C$240)/E738-1</f>
        <v/>
      </c>
      <c r="F741" s="20">
        <f>F740*(1+Inputs!$C$240)/F738-1</f>
        <v/>
      </c>
      <c r="G741" s="20">
        <f>G740*(1+Inputs!$C$240)/G738-1</f>
        <v/>
      </c>
      <c r="H741" s="20">
        <f>H740*(1+Inputs!$C$240)/H738-1</f>
        <v/>
      </c>
      <c r="I741" s="20">
        <f>I740*(1+Inputs!$C$240)/I738-1</f>
        <v/>
      </c>
      <c r="J741" s="20">
        <f>J740*(1+Inputs!$C$240)/J738-1</f>
        <v/>
      </c>
      <c r="K741" s="20">
        <f>K740*(1+Inputs!$C$240)/K738-1</f>
        <v/>
      </c>
      <c r="L741" s="20">
        <f>L740*(1+Inputs!$C$240)/L738-1</f>
        <v/>
      </c>
      <c r="M741" s="20">
        <f>M740*(1+Inputs!$C$240)/M738-1</f>
        <v/>
      </c>
      <c r="N741" s="20">
        <f>N740*(1+Inputs!$C$240)/N738-1</f>
        <v/>
      </c>
    </row>
    <row r="743">
      <c r="B743" s="6" t="inlineStr">
        <is>
          <t>Revenue ($ million)</t>
        </is>
      </c>
      <c r="C743" s="7" t="n"/>
      <c r="D743" s="7" t="n"/>
      <c r="E743" s="7" t="n"/>
      <c r="F743" s="7" t="n"/>
      <c r="G743" s="7" t="n"/>
      <c r="H743" s="7" t="n"/>
      <c r="I743" s="7" t="n"/>
      <c r="J743" s="7" t="n"/>
      <c r="K743" s="7" t="n"/>
      <c r="L743" s="7" t="n"/>
      <c r="M743" s="7" t="n"/>
      <c r="N743" s="7" t="n"/>
    </row>
    <row r="744">
      <c r="B744" s="2" t="inlineStr">
        <is>
          <t>Base revenue (rate case, or prior year x growth x volume erosion)</t>
        </is>
      </c>
      <c r="C744" s="5" t="inlineStr">
        <is>
          <t>$ million</t>
        </is>
      </c>
      <c r="D744" s="23">
        <f>pr_rev_2028/((1+Inputs!$C$240)*(1-pr_vol_share*IF(pr_decoupling=1,0,pr_usage)))</f>
        <v/>
      </c>
      <c r="E744" s="23">
        <f>IF(E724=1,E737,D744*(1+Inputs!$C$240)*(1-pr_vol_share*IF(pr_decoupling=1,0,pr_usage)))</f>
        <v/>
      </c>
      <c r="F744" s="23">
        <f>IF(F724=1,F737,E744*(1+Inputs!$C$240)*(1-pr_vol_share*IF(pr_decoupling=1,0,pr_usage)))</f>
        <v/>
      </c>
      <c r="G744" s="23">
        <f>IF(G724=1,G737,F744*(1+Inputs!$C$240)*(1-pr_vol_share*IF(pr_decoupling=1,0,pr_usage)))</f>
        <v/>
      </c>
      <c r="H744" s="23">
        <f>IF(H724=1,H737,G744*(1+Inputs!$C$240)*(1-pr_vol_share*IF(pr_decoupling=1,0,pr_usage)))</f>
        <v/>
      </c>
      <c r="I744" s="23">
        <f>IF(I724=1,I737,H744*(1+Inputs!$C$240)*(1-pr_vol_share*IF(pr_decoupling=1,0,pr_usage)))</f>
        <v/>
      </c>
      <c r="J744" s="23">
        <f>IF(J724=1,J737,I744*(1+Inputs!$C$240)*(1-pr_vol_share*IF(pr_decoupling=1,0,pr_usage)))</f>
        <v/>
      </c>
      <c r="K744" s="23">
        <f>IF(K724=1,K737,J744*(1+Inputs!$C$240)*(1-pr_vol_share*IF(pr_decoupling=1,0,pr_usage)))</f>
        <v/>
      </c>
      <c r="L744" s="23">
        <f>IF(L724=1,L737,K744*(1+Inputs!$C$240)*(1-pr_vol_share*IF(pr_decoupling=1,0,pr_usage)))</f>
        <v/>
      </c>
      <c r="M744" s="23">
        <f>IF(M724=1,M737,L744*(1+Inputs!$C$240)*(1-pr_vol_share*IF(pr_decoupling=1,0,pr_usage)))</f>
        <v/>
      </c>
      <c r="N744" s="23">
        <f>IF(N724=1,N737,M744*(1+Inputs!$C$240)*(1-pr_vol_share*IF(pr_decoupling=1,0,pr_usage)))</f>
        <v/>
      </c>
    </row>
    <row r="745">
      <c r="B745" s="2" t="inlineStr">
        <is>
          <t>Fennick revenue at its old rates (until the next rate case)</t>
        </is>
      </c>
      <c r="C745" s="5" t="inlineStr">
        <is>
          <t>$ million</t>
        </is>
      </c>
      <c r="E745" s="23">
        <f>IF(AND(pr_fen_on=1,E709&gt;pr_fen_year,SUMIFS($D$724:E$724,$D$709:E$709,"&gt;"&amp;pr_fen_year)=0),pr_fen_rev,0)</f>
        <v/>
      </c>
      <c r="F745" s="23">
        <f>IF(AND(pr_fen_on=1,F709&gt;pr_fen_year,SUMIFS($D$724:F$724,$D$709:F$709,"&gt;"&amp;pr_fen_year)=0),pr_fen_rev,0)</f>
        <v/>
      </c>
      <c r="G745" s="23">
        <f>IF(AND(pr_fen_on=1,G709&gt;pr_fen_year,SUMIFS($D$724:G$724,$D$709:G$709,"&gt;"&amp;pr_fen_year)=0),pr_fen_rev,0)</f>
        <v/>
      </c>
      <c r="H745" s="23">
        <f>IF(AND(pr_fen_on=1,H709&gt;pr_fen_year,SUMIFS($D$724:H$724,$D$709:H$709,"&gt;"&amp;pr_fen_year)=0),pr_fen_rev,0)</f>
        <v/>
      </c>
      <c r="I745" s="23">
        <f>IF(AND(pr_fen_on=1,I709&gt;pr_fen_year,SUMIFS($D$724:I$724,$D$709:I$709,"&gt;"&amp;pr_fen_year)=0),pr_fen_rev,0)</f>
        <v/>
      </c>
      <c r="J745" s="23">
        <f>IF(AND(pr_fen_on=1,J709&gt;pr_fen_year,SUMIFS($D$724:J$724,$D$709:J$709,"&gt;"&amp;pr_fen_year)=0),pr_fen_rev,0)</f>
        <v/>
      </c>
      <c r="K745" s="23">
        <f>IF(AND(pr_fen_on=1,K709&gt;pr_fen_year,SUMIFS($D$724:K$724,$D$709:K$709,"&gt;"&amp;pr_fen_year)=0),pr_fen_rev,0)</f>
        <v/>
      </c>
      <c r="L745" s="23">
        <f>IF(AND(pr_fen_on=1,L709&gt;pr_fen_year,SUMIFS($D$724:L$724,$D$709:L$709,"&gt;"&amp;pr_fen_year)=0),pr_fen_rev,0)</f>
        <v/>
      </c>
      <c r="M745" s="23">
        <f>IF(AND(pr_fen_on=1,M709&gt;pr_fen_year,SUMIFS($D$724:M$724,$D$709:M$709,"&gt;"&amp;pr_fen_year)=0),pr_fen_rev,0)</f>
        <v/>
      </c>
      <c r="N745" s="23">
        <f>IF(AND(pr_fen_on=1,N709&gt;pr_fen_year,SUMIFS($D$724:N$724,$D$709:N$709,"&gt;"&amp;pr_fen_year)=0),pr_fen_rev,0)</f>
        <v/>
      </c>
    </row>
    <row r="746">
      <c r="B746" s="2" t="inlineStr">
        <is>
          <t>DSIC pool: eligible plant since the latest test year</t>
        </is>
      </c>
      <c r="C746" s="5" t="inlineStr">
        <is>
          <t>$ million</t>
        </is>
      </c>
      <c r="E746" s="23">
        <f>IF(E709=(pr_close+1),0,SUMIFS($D$721:D$721,$D$709:D$709,"&gt;"&amp;E726))</f>
        <v/>
      </c>
      <c r="F746" s="23">
        <f>IF(F709=(pr_close+1),0,SUMIFS($D$721:E$721,$D$709:E$709,"&gt;"&amp;F726))</f>
        <v/>
      </c>
      <c r="G746" s="23">
        <f>IF(G709=(pr_close+1),0,SUMIFS($D$721:F$721,$D$709:F$709,"&gt;"&amp;G726))</f>
        <v/>
      </c>
      <c r="H746" s="23">
        <f>IF(H709=(pr_close+1),0,SUMIFS($D$721:G$721,$D$709:G$709,"&gt;"&amp;H726))</f>
        <v/>
      </c>
      <c r="I746" s="23">
        <f>IF(I709=(pr_close+1),0,SUMIFS($D$721:H$721,$D$709:H$709,"&gt;"&amp;I726))</f>
        <v/>
      </c>
      <c r="J746" s="23">
        <f>IF(J709=(pr_close+1),0,SUMIFS($D$721:I$721,$D$709:I$709,"&gt;"&amp;J726))</f>
        <v/>
      </c>
      <c r="K746" s="23">
        <f>IF(K709=(pr_close+1),0,SUMIFS($D$721:J$721,$D$709:J$709,"&gt;"&amp;K726))</f>
        <v/>
      </c>
      <c r="L746" s="23">
        <f>IF(L709=(pr_close+1),0,SUMIFS($D$721:K$721,$D$709:K$709,"&gt;"&amp;L726))</f>
        <v/>
      </c>
      <c r="M746" s="23">
        <f>IF(M709=(pr_close+1),0,SUMIFS($D$721:L$721,$D$709:L$709,"&gt;"&amp;M726))</f>
        <v/>
      </c>
      <c r="N746" s="23">
        <f>IF(N709=(pr_close+1),0,SUMIFS($D$721:M$721,$D$709:M$709,"&gt;"&amp;N726))</f>
        <v/>
      </c>
    </row>
    <row r="747">
      <c r="B747" s="2" t="inlineStr">
        <is>
          <t>DSIC surcharge (capped)</t>
        </is>
      </c>
      <c r="C747" s="5" t="inlineStr">
        <is>
          <t>$ million</t>
        </is>
      </c>
      <c r="E747" s="23">
        <f>IF(AND(pr_dsic=1,E709&gt;(pr_close+1)),MIN(pr_dsic_cap*E744,E746*((pr_eq*pr_roe+(1-pr_eq)*D770)+(pr_eq*pr_roe*pr_tax/(1-pr_tax))+pr_dep)),0)</f>
        <v/>
      </c>
      <c r="F747" s="23">
        <f>IF(AND(pr_dsic=1,F709&gt;(pr_close+1)),MIN(pr_dsic_cap*F744,F746*((pr_eq*pr_roe+(1-pr_eq)*E770)+(pr_eq*pr_roe*pr_tax/(1-pr_tax))+pr_dep)),0)</f>
        <v/>
      </c>
      <c r="G747" s="23">
        <f>IF(AND(pr_dsic=1,G709&gt;(pr_close+1)),MIN(pr_dsic_cap*G744,G746*((pr_eq*pr_roe+(1-pr_eq)*F770)+(pr_eq*pr_roe*pr_tax/(1-pr_tax))+pr_dep)),0)</f>
        <v/>
      </c>
      <c r="H747" s="23">
        <f>IF(AND(pr_dsic=1,H709&gt;(pr_close+1)),MIN(pr_dsic_cap*H744,H746*((pr_eq*pr_roe+(1-pr_eq)*G770)+(pr_eq*pr_roe*pr_tax/(1-pr_tax))+pr_dep)),0)</f>
        <v/>
      </c>
      <c r="I747" s="23">
        <f>IF(AND(pr_dsic=1,I709&gt;(pr_close+1)),MIN(pr_dsic_cap*I744,I746*((pr_eq*pr_roe+(1-pr_eq)*H770)+(pr_eq*pr_roe*pr_tax/(1-pr_tax))+pr_dep)),0)</f>
        <v/>
      </c>
      <c r="J747" s="23">
        <f>IF(AND(pr_dsic=1,J709&gt;(pr_close+1)),MIN(pr_dsic_cap*J744,J746*((pr_eq*pr_roe+(1-pr_eq)*I770)+(pr_eq*pr_roe*pr_tax/(1-pr_tax))+pr_dep)),0)</f>
        <v/>
      </c>
      <c r="K747" s="23">
        <f>IF(AND(pr_dsic=1,K709&gt;(pr_close+1)),MIN(pr_dsic_cap*K744,K746*((pr_eq*pr_roe+(1-pr_eq)*J770)+(pr_eq*pr_roe*pr_tax/(1-pr_tax))+pr_dep)),0)</f>
        <v/>
      </c>
      <c r="L747" s="23">
        <f>IF(AND(pr_dsic=1,L709&gt;(pr_close+1)),MIN(pr_dsic_cap*L744,L746*((pr_eq*pr_roe+(1-pr_eq)*K770)+(pr_eq*pr_roe*pr_tax/(1-pr_tax))+pr_dep)),0)</f>
        <v/>
      </c>
      <c r="M747" s="23">
        <f>IF(AND(pr_dsic=1,M709&gt;(pr_close+1)),MIN(pr_dsic_cap*M744,M746*((pr_eq*pr_roe+(1-pr_eq)*L770)+(pr_eq*pr_roe*pr_tax/(1-pr_tax))+pr_dep)),0)</f>
        <v/>
      </c>
      <c r="N747" s="23">
        <f>IF(AND(pr_dsic=1,N709&gt;(pr_close+1)),MIN(pr_dsic_cap*N744,N746*((pr_eq*pr_roe+(1-pr_eq)*M770)+(pr_eq*pr_roe*pr_tax/(1-pr_tax))+pr_dep)),0)</f>
        <v/>
      </c>
    </row>
    <row r="748">
      <c r="B748" s="3" t="inlineStr">
        <is>
          <t>Revenue</t>
        </is>
      </c>
      <c r="C748" s="5" t="inlineStr">
        <is>
          <t>$ million</t>
        </is>
      </c>
      <c r="E748" s="23">
        <f>E744+E745+E747</f>
        <v/>
      </c>
      <c r="F748" s="23">
        <f>F744+F745+F747</f>
        <v/>
      </c>
      <c r="G748" s="23">
        <f>G744+G745+G747</f>
        <v/>
      </c>
      <c r="H748" s="23">
        <f>H744+H745+H747</f>
        <v/>
      </c>
      <c r="I748" s="23">
        <f>I744+I745+I747</f>
        <v/>
      </c>
      <c r="J748" s="23">
        <f>J744+J745+J747</f>
        <v/>
      </c>
      <c r="K748" s="23">
        <f>K744+K745+K747</f>
        <v/>
      </c>
      <c r="L748" s="23">
        <f>L744+L745+L747</f>
        <v/>
      </c>
      <c r="M748" s="23">
        <f>M744+M745+M747</f>
        <v/>
      </c>
      <c r="N748" s="23">
        <f>N744+N745+N747</f>
        <v/>
      </c>
    </row>
    <row r="750">
      <c r="B750" s="6" t="inlineStr">
        <is>
          <t>Costs and income ($ million)</t>
        </is>
      </c>
      <c r="C750" s="7" t="n"/>
      <c r="D750" s="7" t="n"/>
      <c r="E750" s="7" t="n"/>
      <c r="F750" s="7" t="n"/>
      <c r="G750" s="7" t="n"/>
      <c r="H750" s="7" t="n"/>
      <c r="I750" s="7" t="n"/>
      <c r="J750" s="7" t="n"/>
      <c r="K750" s="7" t="n"/>
      <c r="L750" s="7" t="n"/>
      <c r="M750" s="7" t="n"/>
      <c r="N750" s="7" t="n"/>
    </row>
    <row r="751">
      <c r="B751" s="2" t="inlineStr">
        <is>
          <t>Operation and maintenance (with PFAS and Fennick)</t>
        </is>
      </c>
      <c r="C751" s="5" t="inlineStr">
        <is>
          <t>$ million</t>
        </is>
      </c>
      <c r="D751" s="23">
        <f>pr_om_2028/((1+pr_om_infl)*(1+Inputs!$C$240))</f>
        <v/>
      </c>
      <c r="E751" s="23">
        <f>pr_om_2028*((1+pr_om_infl)*(1+Inputs!$C$240))^E710+IF(E709&gt;=pr_pfas_om_y+pr_pfas_delay,pr_pfas_om*(1+pr_pfas_om_esc)^(E709-pr_pfas_om_y),0)+IF(AND(pr_fen_on=1,E709&gt;pr_fen_year),pr_fen_om*(1+pr_fen_esc)^(E709-pr_fen_year-1),0)</f>
        <v/>
      </c>
      <c r="F751" s="23">
        <f>pr_om_2028*((1+pr_om_infl)*(1+Inputs!$C$240))^F710+IF(F709&gt;=pr_pfas_om_y+pr_pfas_delay,pr_pfas_om*(1+pr_pfas_om_esc)^(F709-pr_pfas_om_y),0)+IF(AND(pr_fen_on=1,F709&gt;pr_fen_year),pr_fen_om*(1+pr_fen_esc)^(F709-pr_fen_year-1),0)</f>
        <v/>
      </c>
      <c r="G751" s="23">
        <f>pr_om_2028*((1+pr_om_infl)*(1+Inputs!$C$240))^G710+IF(G709&gt;=pr_pfas_om_y+pr_pfas_delay,pr_pfas_om*(1+pr_pfas_om_esc)^(G709-pr_pfas_om_y),0)+IF(AND(pr_fen_on=1,G709&gt;pr_fen_year),pr_fen_om*(1+pr_fen_esc)^(G709-pr_fen_year-1),0)</f>
        <v/>
      </c>
      <c r="H751" s="23">
        <f>pr_om_2028*((1+pr_om_infl)*(1+Inputs!$C$240))^H710+IF(H709&gt;=pr_pfas_om_y+pr_pfas_delay,pr_pfas_om*(1+pr_pfas_om_esc)^(H709-pr_pfas_om_y),0)+IF(AND(pr_fen_on=1,H709&gt;pr_fen_year),pr_fen_om*(1+pr_fen_esc)^(H709-pr_fen_year-1),0)</f>
        <v/>
      </c>
      <c r="I751" s="23">
        <f>pr_om_2028*((1+pr_om_infl)*(1+Inputs!$C$240))^I710+IF(I709&gt;=pr_pfas_om_y+pr_pfas_delay,pr_pfas_om*(1+pr_pfas_om_esc)^(I709-pr_pfas_om_y),0)+IF(AND(pr_fen_on=1,I709&gt;pr_fen_year),pr_fen_om*(1+pr_fen_esc)^(I709-pr_fen_year-1),0)</f>
        <v/>
      </c>
      <c r="J751" s="23">
        <f>pr_om_2028*((1+pr_om_infl)*(1+Inputs!$C$240))^J710+IF(J709&gt;=pr_pfas_om_y+pr_pfas_delay,pr_pfas_om*(1+pr_pfas_om_esc)^(J709-pr_pfas_om_y),0)+IF(AND(pr_fen_on=1,J709&gt;pr_fen_year),pr_fen_om*(1+pr_fen_esc)^(J709-pr_fen_year-1),0)</f>
        <v/>
      </c>
      <c r="K751" s="23">
        <f>pr_om_2028*((1+pr_om_infl)*(1+Inputs!$C$240))^K710+IF(K709&gt;=pr_pfas_om_y+pr_pfas_delay,pr_pfas_om*(1+pr_pfas_om_esc)^(K709-pr_pfas_om_y),0)+IF(AND(pr_fen_on=1,K709&gt;pr_fen_year),pr_fen_om*(1+pr_fen_esc)^(K709-pr_fen_year-1),0)</f>
        <v/>
      </c>
      <c r="L751" s="23">
        <f>pr_om_2028*((1+pr_om_infl)*(1+Inputs!$C$240))^L710+IF(L709&gt;=pr_pfas_om_y+pr_pfas_delay,pr_pfas_om*(1+pr_pfas_om_esc)^(L709-pr_pfas_om_y),0)+IF(AND(pr_fen_on=1,L709&gt;pr_fen_year),pr_fen_om*(1+pr_fen_esc)^(L709-pr_fen_year-1),0)</f>
        <v/>
      </c>
      <c r="M751" s="23">
        <f>pr_om_2028*((1+pr_om_infl)*(1+Inputs!$C$240))^M710+IF(M709&gt;=pr_pfas_om_y+pr_pfas_delay,pr_pfas_om*(1+pr_pfas_om_esc)^(M709-pr_pfas_om_y),0)+IF(AND(pr_fen_on=1,M709&gt;pr_fen_year),pr_fen_om*(1+pr_fen_esc)^(M709-pr_fen_year-1),0)</f>
        <v/>
      </c>
      <c r="N751" s="23">
        <f>pr_om_2028*((1+pr_om_infl)*(1+Inputs!$C$240))^N710+IF(N709&gt;=pr_pfas_om_y+pr_pfas_delay,pr_pfas_om*(1+pr_pfas_om_esc)^(N709-pr_pfas_om_y),0)+IF(AND(pr_fen_on=1,N709&gt;pr_fen_year),pr_fen_om*(1+pr_fen_esc)^(N709-pr_fen_year-1),0)</f>
        <v/>
      </c>
    </row>
    <row r="752">
      <c r="B752" s="2" t="inlineStr">
        <is>
          <t>Customer-side lead cost expensed</t>
        </is>
      </c>
      <c r="C752" s="5" t="inlineStr">
        <is>
          <t>$ million</t>
        </is>
      </c>
      <c r="E752" s="23">
        <f>pr_lead_exp*E718*pr_lead_cust</f>
        <v/>
      </c>
      <c r="F752" s="23">
        <f>pr_lead_exp*F718*pr_lead_cust</f>
        <v/>
      </c>
      <c r="G752" s="23">
        <f>pr_lead_exp*G718*pr_lead_cust</f>
        <v/>
      </c>
      <c r="H752" s="23">
        <f>pr_lead_exp*H718*pr_lead_cust</f>
        <v/>
      </c>
      <c r="I752" s="23">
        <f>pr_lead_exp*I718*pr_lead_cust</f>
        <v/>
      </c>
      <c r="J752" s="23">
        <f>pr_lead_exp*J718*pr_lead_cust</f>
        <v/>
      </c>
      <c r="K752" s="23">
        <f>pr_lead_exp*K718*pr_lead_cust</f>
        <v/>
      </c>
      <c r="L752" s="23">
        <f>pr_lead_exp*L718*pr_lead_cust</f>
        <v/>
      </c>
      <c r="M752" s="23">
        <f>pr_lead_exp*M718*pr_lead_cust</f>
        <v/>
      </c>
      <c r="N752" s="23">
        <f>pr_lead_exp*N718*pr_lead_cust</f>
        <v/>
      </c>
    </row>
    <row r="753">
      <c r="B753" s="2" t="inlineStr">
        <is>
          <t>Other taxes</t>
        </is>
      </c>
      <c r="C753" s="5" t="inlineStr">
        <is>
          <t>$ million</t>
        </is>
      </c>
      <c r="E753" s="23">
        <f>pr_ptax*E762</f>
        <v/>
      </c>
      <c r="F753" s="23">
        <f>pr_ptax*F762</f>
        <v/>
      </c>
      <c r="G753" s="23">
        <f>pr_ptax*G762</f>
        <v/>
      </c>
      <c r="H753" s="23">
        <f>pr_ptax*H762</f>
        <v/>
      </c>
      <c r="I753" s="23">
        <f>pr_ptax*I762</f>
        <v/>
      </c>
      <c r="J753" s="23">
        <f>pr_ptax*J762</f>
        <v/>
      </c>
      <c r="K753" s="23">
        <f>pr_ptax*K762</f>
        <v/>
      </c>
      <c r="L753" s="23">
        <f>pr_ptax*L762</f>
        <v/>
      </c>
      <c r="M753" s="23">
        <f>pr_ptax*M762</f>
        <v/>
      </c>
      <c r="N753" s="23">
        <f>pr_ptax*N762</f>
        <v/>
      </c>
    </row>
    <row r="754">
      <c r="B754" s="2" t="inlineStr">
        <is>
          <t>EBITDA</t>
        </is>
      </c>
      <c r="C754" s="5" t="inlineStr">
        <is>
          <t>$ million</t>
        </is>
      </c>
      <c r="E754" s="23">
        <f>E748-E751-E753-E752</f>
        <v/>
      </c>
      <c r="F754" s="23">
        <f>F748-F751-F753-F752</f>
        <v/>
      </c>
      <c r="G754" s="23">
        <f>G748-G751-G753-G752</f>
        <v/>
      </c>
      <c r="H754" s="23">
        <f>H748-H751-H753-H752</f>
        <v/>
      </c>
      <c r="I754" s="23">
        <f>I748-I751-I753-I752</f>
        <v/>
      </c>
      <c r="J754" s="23">
        <f>J748-J751-J753-J752</f>
        <v/>
      </c>
      <c r="K754" s="23">
        <f>K748-K751-K753-K752</f>
        <v/>
      </c>
      <c r="L754" s="23">
        <f>L748-L751-L753-L752</f>
        <v/>
      </c>
      <c r="M754" s="23">
        <f>M748-M751-M753-M752</f>
        <v/>
      </c>
      <c r="N754" s="23">
        <f>N748-N751-N753-N752</f>
        <v/>
      </c>
    </row>
    <row r="755">
      <c r="B755" s="2" t="inlineStr">
        <is>
          <t>Depreciation</t>
        </is>
      </c>
      <c r="C755" s="5" t="inlineStr">
        <is>
          <t>$ million</t>
        </is>
      </c>
      <c r="E755" s="23">
        <f>pr_dep*E762</f>
        <v/>
      </c>
      <c r="F755" s="23">
        <f>pr_dep*F762</f>
        <v/>
      </c>
      <c r="G755" s="23">
        <f>pr_dep*G762</f>
        <v/>
      </c>
      <c r="H755" s="23">
        <f>pr_dep*H762</f>
        <v/>
      </c>
      <c r="I755" s="23">
        <f>pr_dep*I762</f>
        <v/>
      </c>
      <c r="J755" s="23">
        <f>pr_dep*J762</f>
        <v/>
      </c>
      <c r="K755" s="23">
        <f>pr_dep*K762</f>
        <v/>
      </c>
      <c r="L755" s="23">
        <f>pr_dep*L762</f>
        <v/>
      </c>
      <c r="M755" s="23">
        <f>pr_dep*M762</f>
        <v/>
      </c>
      <c r="N755" s="23">
        <f>pr_dep*N762</f>
        <v/>
      </c>
    </row>
    <row r="756">
      <c r="B756" s="2" t="inlineStr">
        <is>
          <t>Interest (average of opening and closing debt)</t>
        </is>
      </c>
      <c r="C756" s="5" t="inlineStr">
        <is>
          <t>$ million</t>
        </is>
      </c>
      <c r="E756" s="23">
        <f>0.5*(D768*D770+E768*E770)</f>
        <v/>
      </c>
      <c r="F756" s="23">
        <f>0.5*(E768*E770+F768*F770)</f>
        <v/>
      </c>
      <c r="G756" s="23">
        <f>0.5*(F768*F770+G768*G770)</f>
        <v/>
      </c>
      <c r="H756" s="23">
        <f>0.5*(G768*G770+H768*H770)</f>
        <v/>
      </c>
      <c r="I756" s="23">
        <f>0.5*(H768*H770+I768*I770)</f>
        <v/>
      </c>
      <c r="J756" s="23">
        <f>0.5*(I768*I770+J768*J770)</f>
        <v/>
      </c>
      <c r="K756" s="23">
        <f>0.5*(J768*J770+K768*K770)</f>
        <v/>
      </c>
      <c r="L756" s="23">
        <f>0.5*(K768*K770+L768*L770)</f>
        <v/>
      </c>
      <c r="M756" s="23">
        <f>0.5*(L768*L770+M768*M770)</f>
        <v/>
      </c>
      <c r="N756" s="23">
        <f>0.5*(M768*M770+N768*N770)</f>
        <v/>
      </c>
    </row>
    <row r="757">
      <c r="B757" s="2" t="inlineStr">
        <is>
          <t>Income before tax</t>
        </is>
      </c>
      <c r="C757" s="5" t="inlineStr">
        <is>
          <t>$ million</t>
        </is>
      </c>
      <c r="E757" s="23">
        <f>E754-E755-E756</f>
        <v/>
      </c>
      <c r="F757" s="23">
        <f>F754-F755-F756</f>
        <v/>
      </c>
      <c r="G757" s="23">
        <f>G754-G755-G756</f>
        <v/>
      </c>
      <c r="H757" s="23">
        <f>H754-H755-H756</f>
        <v/>
      </c>
      <c r="I757" s="23">
        <f>I754-I755-I756</f>
        <v/>
      </c>
      <c r="J757" s="23">
        <f>J754-J755-J756</f>
        <v/>
      </c>
      <c r="K757" s="23">
        <f>K754-K755-K756</f>
        <v/>
      </c>
      <c r="L757" s="23">
        <f>L754-L755-L756</f>
        <v/>
      </c>
      <c r="M757" s="23">
        <f>M754-M755-M756</f>
        <v/>
      </c>
      <c r="N757" s="23">
        <f>N754-N755-N756</f>
        <v/>
      </c>
    </row>
    <row r="758">
      <c r="B758" s="2" t="inlineStr">
        <is>
          <t>Income tax</t>
        </is>
      </c>
      <c r="C758" s="5" t="inlineStr">
        <is>
          <t>$ million</t>
        </is>
      </c>
      <c r="E758" s="23">
        <f>pr_tax*E757</f>
        <v/>
      </c>
      <c r="F758" s="23">
        <f>pr_tax*F757</f>
        <v/>
      </c>
      <c r="G758" s="23">
        <f>pr_tax*G757</f>
        <v/>
      </c>
      <c r="H758" s="23">
        <f>pr_tax*H757</f>
        <v/>
      </c>
      <c r="I758" s="23">
        <f>pr_tax*I757</f>
        <v/>
      </c>
      <c r="J758" s="23">
        <f>pr_tax*J757</f>
        <v/>
      </c>
      <c r="K758" s="23">
        <f>pr_tax*K757</f>
        <v/>
      </c>
      <c r="L758" s="23">
        <f>pr_tax*L757</f>
        <v/>
      </c>
      <c r="M758" s="23">
        <f>pr_tax*M757</f>
        <v/>
      </c>
      <c r="N758" s="23">
        <f>pr_tax*N757</f>
        <v/>
      </c>
    </row>
    <row r="759">
      <c r="B759" s="3" t="inlineStr">
        <is>
          <t>Net income</t>
        </is>
      </c>
      <c r="C759" s="5" t="inlineStr">
        <is>
          <t>$ million</t>
        </is>
      </c>
      <c r="E759" s="23">
        <f>E757-E758</f>
        <v/>
      </c>
      <c r="F759" s="23">
        <f>F757-F758</f>
        <v/>
      </c>
      <c r="G759" s="23">
        <f>G757-G758</f>
        <v/>
      </c>
      <c r="H759" s="23">
        <f>H757-H758</f>
        <v/>
      </c>
      <c r="I759" s="23">
        <f>I757-I758</f>
        <v/>
      </c>
      <c r="J759" s="23">
        <f>J757-J758</f>
        <v/>
      </c>
      <c r="K759" s="23">
        <f>K757-K758</f>
        <v/>
      </c>
      <c r="L759" s="23">
        <f>L757-L758</f>
        <v/>
      </c>
      <c r="M759" s="23">
        <f>M757-M758</f>
        <v/>
      </c>
      <c r="N759" s="23">
        <f>N757-N758</f>
        <v/>
      </c>
    </row>
    <row r="761">
      <c r="B761" s="6" t="inlineStr">
        <is>
          <t>Rate base and debt ($ million)</t>
        </is>
      </c>
      <c r="C761" s="7" t="n"/>
      <c r="D761" s="7" t="n"/>
      <c r="E761" s="7" t="n"/>
      <c r="F761" s="7" t="n"/>
      <c r="G761" s="7" t="n"/>
      <c r="H761" s="7" t="n"/>
      <c r="I761" s="7" t="n"/>
      <c r="J761" s="7" t="n"/>
      <c r="K761" s="7" t="n"/>
      <c r="L761" s="7" t="n"/>
      <c r="M761" s="7" t="n"/>
      <c r="N761" s="7" t="n"/>
    </row>
    <row r="762">
      <c r="B762" s="2" t="inlineStr">
        <is>
          <t>Opening rate base</t>
        </is>
      </c>
      <c r="C762" s="5" t="inlineStr">
        <is>
          <t>$ million</t>
        </is>
      </c>
      <c r="E762" s="23">
        <f>D766</f>
        <v/>
      </c>
      <c r="F762" s="23">
        <f>E766</f>
        <v/>
      </c>
      <c r="G762" s="23">
        <f>F766</f>
        <v/>
      </c>
      <c r="H762" s="23">
        <f>G766</f>
        <v/>
      </c>
      <c r="I762" s="23">
        <f>H766</f>
        <v/>
      </c>
      <c r="J762" s="23">
        <f>I766</f>
        <v/>
      </c>
      <c r="K762" s="23">
        <f>J766</f>
        <v/>
      </c>
      <c r="L762" s="23">
        <f>K766</f>
        <v/>
      </c>
      <c r="M762" s="23">
        <f>L766</f>
        <v/>
      </c>
      <c r="N762" s="23">
        <f>M766</f>
        <v/>
      </c>
    </row>
    <row r="763">
      <c r="B763" s="2" t="inlineStr">
        <is>
          <t>Spending disallowed (never in rate base)</t>
        </is>
      </c>
      <c r="C763" s="5" t="inlineStr">
        <is>
          <t>$ million</t>
        </is>
      </c>
      <c r="E763" s="23">
        <f>pr_disallow*(E717+E718-E752)</f>
        <v/>
      </c>
      <c r="F763" s="23">
        <f>pr_disallow*(F717+F718-F752)</f>
        <v/>
      </c>
      <c r="G763" s="23">
        <f>pr_disallow*(G717+G718-G752)</f>
        <v/>
      </c>
      <c r="H763" s="23">
        <f>pr_disallow*(H717+H718-H752)</f>
        <v/>
      </c>
      <c r="I763" s="23">
        <f>pr_disallow*(I717+I718-I752)</f>
        <v/>
      </c>
      <c r="J763" s="23">
        <f>pr_disallow*(J717+J718-J752)</f>
        <v/>
      </c>
      <c r="K763" s="23">
        <f>pr_disallow*(K717+K718-K752)</f>
        <v/>
      </c>
      <c r="L763" s="23">
        <f>pr_disallow*(L717+L718-L752)</f>
        <v/>
      </c>
      <c r="M763" s="23">
        <f>pr_disallow*(M717+M718-M752)</f>
        <v/>
      </c>
      <c r="N763" s="23">
        <f>pr_disallow*(N717+N718-N752)</f>
        <v/>
      </c>
    </row>
    <row r="764">
      <c r="B764" s="2" t="inlineStr">
        <is>
          <t>Acquisitions (Fennick at its price)</t>
        </is>
      </c>
      <c r="C764" s="5" t="inlineStr">
        <is>
          <t>$ million</t>
        </is>
      </c>
      <c r="E764" s="23">
        <f>IF(AND(pr_fen_on=1,E709=pr_fen_year),pr_fen_price,0)</f>
        <v/>
      </c>
      <c r="F764" s="23">
        <f>IF(AND(pr_fen_on=1,F709=pr_fen_year),pr_fen_price,0)</f>
        <v/>
      </c>
      <c r="G764" s="23">
        <f>IF(AND(pr_fen_on=1,G709=pr_fen_year),pr_fen_price,0)</f>
        <v/>
      </c>
      <c r="H764" s="23">
        <f>IF(AND(pr_fen_on=1,H709=pr_fen_year),pr_fen_price,0)</f>
        <v/>
      </c>
      <c r="I764" s="23">
        <f>IF(AND(pr_fen_on=1,I709=pr_fen_year),pr_fen_price,0)</f>
        <v/>
      </c>
      <c r="J764" s="23">
        <f>IF(AND(pr_fen_on=1,J709=pr_fen_year),pr_fen_price,0)</f>
        <v/>
      </c>
      <c r="K764" s="23">
        <f>IF(AND(pr_fen_on=1,K709=pr_fen_year),pr_fen_price,0)</f>
        <v/>
      </c>
      <c r="L764" s="23">
        <f>IF(AND(pr_fen_on=1,L709=pr_fen_year),pr_fen_price,0)</f>
        <v/>
      </c>
      <c r="M764" s="23">
        <f>IF(AND(pr_fen_on=1,M709=pr_fen_year),pr_fen_price,0)</f>
        <v/>
      </c>
      <c r="N764" s="23">
        <f>IF(AND(pr_fen_on=1,N709=pr_fen_year),pr_fen_price,0)</f>
        <v/>
      </c>
    </row>
    <row r="765">
      <c r="B765" s="2" t="inlineStr">
        <is>
          <t>Settlement credited against rate base</t>
        </is>
      </c>
      <c r="C765" s="5" t="inlineStr">
        <is>
          <t>$ million</t>
        </is>
      </c>
      <c r="E765" s="23">
        <f>IF(E709=pr_settle_y,pr_settle,0)</f>
        <v/>
      </c>
      <c r="F765" s="23">
        <f>IF(F709=pr_settle_y,pr_settle,0)</f>
        <v/>
      </c>
      <c r="G765" s="23">
        <f>IF(G709=pr_settle_y,pr_settle,0)</f>
        <v/>
      </c>
      <c r="H765" s="23">
        <f>IF(H709=pr_settle_y,pr_settle,0)</f>
        <v/>
      </c>
      <c r="I765" s="23">
        <f>IF(I709=pr_settle_y,pr_settle,0)</f>
        <v/>
      </c>
      <c r="J765" s="23">
        <f>IF(J709=pr_settle_y,pr_settle,0)</f>
        <v/>
      </c>
      <c r="K765" s="23">
        <f>IF(K709=pr_settle_y,pr_settle,0)</f>
        <v/>
      </c>
      <c r="L765" s="23">
        <f>IF(L709=pr_settle_y,pr_settle,0)</f>
        <v/>
      </c>
      <c r="M765" s="23">
        <f>IF(M709=pr_settle_y,pr_settle,0)</f>
        <v/>
      </c>
      <c r="N765" s="23">
        <f>IF(N709=pr_settle_y,pr_settle,0)</f>
        <v/>
      </c>
    </row>
    <row r="766">
      <c r="B766" s="3" t="inlineStr">
        <is>
          <t>Closing rate base</t>
        </is>
      </c>
      <c r="C766" s="5" t="inlineStr">
        <is>
          <t>$ million</t>
        </is>
      </c>
      <c r="D766" s="23">
        <f>pr_rb0</f>
        <v/>
      </c>
      <c r="E766" s="23">
        <f>E762+E720-E752-E763+E764-E755-E765</f>
        <v/>
      </c>
      <c r="F766" s="23">
        <f>F762+F720-F752-F763+F764-F755-F765</f>
        <v/>
      </c>
      <c r="G766" s="23">
        <f>G762+G720-G752-G763+G764-G755-G765</f>
        <v/>
      </c>
      <c r="H766" s="23">
        <f>H762+H720-H752-H763+H764-H755-H765</f>
        <v/>
      </c>
      <c r="I766" s="23">
        <f>I762+I720-I752-I763+I764-I755-I765</f>
        <v/>
      </c>
      <c r="J766" s="23">
        <f>J762+J720-J752-J763+J764-J755-J765</f>
        <v/>
      </c>
      <c r="K766" s="23">
        <f>K762+K720-K752-K763+K764-K755-K765</f>
        <v/>
      </c>
      <c r="L766" s="23">
        <f>L762+L720-L752-L763+L764-L755-L765</f>
        <v/>
      </c>
      <c r="M766" s="23">
        <f>M762+M720-M752-M763+M764-M755-M765</f>
        <v/>
      </c>
      <c r="N766" s="23">
        <f>N762+N720-N752-N763+N764-N755-N765</f>
        <v/>
      </c>
    </row>
    <row r="767">
      <c r="B767" s="2" t="inlineStr">
        <is>
          <t>Original bonds outstanding</t>
        </is>
      </c>
      <c r="C767" s="5" t="inlineStr">
        <is>
          <t>$ million</t>
        </is>
      </c>
      <c r="D767" s="23">
        <f>(1-pr_eq)*pr_rb0</f>
        <v/>
      </c>
      <c r="E767" s="23">
        <f>MAX(0,D767-pr_amort*(1-pr_eq)*pr_rb0)</f>
        <v/>
      </c>
      <c r="F767" s="23">
        <f>MAX(0,E767-pr_amort*(1-pr_eq)*pr_rb0)</f>
        <v/>
      </c>
      <c r="G767" s="23">
        <f>MAX(0,F767-pr_amort*(1-pr_eq)*pr_rb0)</f>
        <v/>
      </c>
      <c r="H767" s="23">
        <f>MAX(0,G767-pr_amort*(1-pr_eq)*pr_rb0)</f>
        <v/>
      </c>
      <c r="I767" s="23">
        <f>MAX(0,H767-pr_amort*(1-pr_eq)*pr_rb0)</f>
        <v/>
      </c>
      <c r="J767" s="23">
        <f>MAX(0,I767-pr_amort*(1-pr_eq)*pr_rb0)</f>
        <v/>
      </c>
      <c r="K767" s="23">
        <f>MAX(0,J767-pr_amort*(1-pr_eq)*pr_rb0)</f>
        <v/>
      </c>
      <c r="L767" s="23">
        <f>MAX(0,K767-pr_amort*(1-pr_eq)*pr_rb0)</f>
        <v/>
      </c>
      <c r="M767" s="23">
        <f>MAX(0,L767-pr_amort*(1-pr_eq)*pr_rb0)</f>
        <v/>
      </c>
      <c r="N767" s="23">
        <f>MAX(0,M767-pr_amort*(1-pr_eq)*pr_rb0)</f>
        <v/>
      </c>
    </row>
    <row r="768">
      <c r="B768" s="2" t="inlineStr">
        <is>
          <t>Operating company debt (debt share of rate base)</t>
        </is>
      </c>
      <c r="C768" s="5" t="inlineStr">
        <is>
          <t>$ million</t>
        </is>
      </c>
      <c r="D768" s="23">
        <f>(1-pr_eq)*D766</f>
        <v/>
      </c>
      <c r="E768" s="23">
        <f>(1-pr_eq)*E766</f>
        <v/>
      </c>
      <c r="F768" s="23">
        <f>(1-pr_eq)*F766</f>
        <v/>
      </c>
      <c r="G768" s="23">
        <f>(1-pr_eq)*G766</f>
        <v/>
      </c>
      <c r="H768" s="23">
        <f>(1-pr_eq)*H766</f>
        <v/>
      </c>
      <c r="I768" s="23">
        <f>(1-pr_eq)*I766</f>
        <v/>
      </c>
      <c r="J768" s="23">
        <f>(1-pr_eq)*J766</f>
        <v/>
      </c>
      <c r="K768" s="23">
        <f>(1-pr_eq)*K766</f>
        <v/>
      </c>
      <c r="L768" s="23">
        <f>(1-pr_eq)*L766</f>
        <v/>
      </c>
      <c r="M768" s="23">
        <f>(1-pr_eq)*M766</f>
        <v/>
      </c>
      <c r="N768" s="23">
        <f>(1-pr_eq)*N766</f>
        <v/>
      </c>
    </row>
    <row r="769">
      <c r="B769" s="2" t="inlineStr">
        <is>
          <t>New bonds outstanding</t>
        </is>
      </c>
      <c r="C769" s="5" t="inlineStr">
        <is>
          <t>$ million</t>
        </is>
      </c>
      <c r="D769" s="23">
        <f>D768-D767</f>
        <v/>
      </c>
      <c r="E769" s="23">
        <f>E768-E767</f>
        <v/>
      </c>
      <c r="F769" s="23">
        <f>F768-F767</f>
        <v/>
      </c>
      <c r="G769" s="23">
        <f>G768-G767</f>
        <v/>
      </c>
      <c r="H769" s="23">
        <f>H768-H767</f>
        <v/>
      </c>
      <c r="I769" s="23">
        <f>I768-I767</f>
        <v/>
      </c>
      <c r="J769" s="23">
        <f>J768-J767</f>
        <v/>
      </c>
      <c r="K769" s="23">
        <f>K768-K767</f>
        <v/>
      </c>
      <c r="L769" s="23">
        <f>L768-L767</f>
        <v/>
      </c>
      <c r="M769" s="23">
        <f>M768-M767</f>
        <v/>
      </c>
      <c r="N769" s="23">
        <f>N768-N767</f>
        <v/>
      </c>
    </row>
    <row r="770">
      <c r="B770" s="2" t="inlineStr">
        <is>
          <t>Embedded cost of debt at year end</t>
        </is>
      </c>
      <c r="C770" s="5" t="inlineStr">
        <is>
          <t>rate</t>
        </is>
      </c>
      <c r="D770" s="27">
        <f>pr_kd_old</f>
        <v/>
      </c>
      <c r="E770" s="27">
        <f>(E767*pr_kd_old+E769*pr_kd_new)/E768</f>
        <v/>
      </c>
      <c r="F770" s="27">
        <f>(F767*pr_kd_old+F769*pr_kd_new)/F768</f>
        <v/>
      </c>
      <c r="G770" s="27">
        <f>(G767*pr_kd_old+G769*pr_kd_new)/G768</f>
        <v/>
      </c>
      <c r="H770" s="27">
        <f>(H767*pr_kd_old+H769*pr_kd_new)/H768</f>
        <v/>
      </c>
      <c r="I770" s="27">
        <f>(I767*pr_kd_old+I769*pr_kd_new)/I768</f>
        <v/>
      </c>
      <c r="J770" s="27">
        <f>(J767*pr_kd_old+J769*pr_kd_new)/J768</f>
        <v/>
      </c>
      <c r="K770" s="27">
        <f>(K767*pr_kd_old+K769*pr_kd_new)/K768</f>
        <v/>
      </c>
      <c r="L770" s="27">
        <f>(L767*pr_kd_old+L769*pr_kd_new)/L768</f>
        <v/>
      </c>
      <c r="M770" s="27">
        <f>(M767*pr_kd_old+M769*pr_kd_new)/M768</f>
        <v/>
      </c>
      <c r="N770" s="27">
        <f>(N767*pr_kd_old+N769*pr_kd_new)/N768</f>
        <v/>
      </c>
    </row>
    <row r="772">
      <c r="B772" s="6" t="inlineStr">
        <is>
          <t>Returns and cash ($ million)</t>
        </is>
      </c>
      <c r="C772" s="7" t="n"/>
      <c r="D772" s="7" t="n"/>
      <c r="E772" s="7" t="n"/>
      <c r="F772" s="7" t="n"/>
      <c r="G772" s="7" t="n"/>
      <c r="H772" s="7" t="n"/>
      <c r="I772" s="7" t="n"/>
      <c r="J772" s="7" t="n"/>
      <c r="K772" s="7" t="n"/>
      <c r="L772" s="7" t="n"/>
      <c r="M772" s="7" t="n"/>
      <c r="N772" s="7" t="n"/>
    </row>
    <row r="773">
      <c r="B773" s="2" t="inlineStr">
        <is>
          <t>Average equity share of rate base</t>
        </is>
      </c>
      <c r="C773" s="5" t="inlineStr">
        <is>
          <t>$ million</t>
        </is>
      </c>
      <c r="E773" s="23">
        <f>pr_eq*0.5*(E762+E766)</f>
        <v/>
      </c>
      <c r="F773" s="23">
        <f>pr_eq*0.5*(F762+F766)</f>
        <v/>
      </c>
      <c r="G773" s="23">
        <f>pr_eq*0.5*(G762+G766)</f>
        <v/>
      </c>
      <c r="H773" s="23">
        <f>pr_eq*0.5*(H762+H766)</f>
        <v/>
      </c>
      <c r="I773" s="23">
        <f>pr_eq*0.5*(I762+I766)</f>
        <v/>
      </c>
      <c r="J773" s="23">
        <f>pr_eq*0.5*(J762+J766)</f>
        <v/>
      </c>
      <c r="K773" s="23">
        <f>pr_eq*0.5*(K762+K766)</f>
        <v/>
      </c>
      <c r="L773" s="23">
        <f>pr_eq*0.5*(L762+L766)</f>
        <v/>
      </c>
      <c r="M773" s="23">
        <f>pr_eq*0.5*(M762+M766)</f>
        <v/>
      </c>
      <c r="N773" s="23">
        <f>pr_eq*0.5*(N762+N766)</f>
        <v/>
      </c>
    </row>
    <row r="774">
      <c r="B774" s="2" t="inlineStr">
        <is>
          <t>Earned return on equity</t>
        </is>
      </c>
      <c r="C774" s="5" t="inlineStr">
        <is>
          <t>rate</t>
        </is>
      </c>
      <c r="E774" s="27">
        <f>E759/E773</f>
        <v/>
      </c>
      <c r="F774" s="27">
        <f>F759/F773</f>
        <v/>
      </c>
      <c r="G774" s="27">
        <f>G759/G773</f>
        <v/>
      </c>
      <c r="H774" s="27">
        <f>H759/H773</f>
        <v/>
      </c>
      <c r="I774" s="27">
        <f>I759/I773</f>
        <v/>
      </c>
      <c r="J774" s="27">
        <f>J759/J773</f>
        <v/>
      </c>
      <c r="K774" s="27">
        <f>K759/K773</f>
        <v/>
      </c>
      <c r="L774" s="27">
        <f>L759/L773</f>
        <v/>
      </c>
      <c r="M774" s="27">
        <f>M759/M773</f>
        <v/>
      </c>
      <c r="N774" s="27">
        <f>N759/N773</f>
        <v/>
      </c>
    </row>
    <row r="775">
      <c r="B775" s="2" t="inlineStr">
        <is>
          <t>Authorized return on equity</t>
        </is>
      </c>
      <c r="C775" s="5" t="inlineStr">
        <is>
          <t>rate</t>
        </is>
      </c>
      <c r="E775" s="27">
        <f>pr_roe</f>
        <v/>
      </c>
      <c r="F775" s="27">
        <f>pr_roe</f>
        <v/>
      </c>
      <c r="G775" s="27">
        <f>pr_roe</f>
        <v/>
      </c>
      <c r="H775" s="27">
        <f>pr_roe</f>
        <v/>
      </c>
      <c r="I775" s="27">
        <f>pr_roe</f>
        <v/>
      </c>
      <c r="J775" s="27">
        <f>pr_roe</f>
        <v/>
      </c>
      <c r="K775" s="27">
        <f>pr_roe</f>
        <v/>
      </c>
      <c r="L775" s="27">
        <f>pr_roe</f>
        <v/>
      </c>
      <c r="M775" s="27">
        <f>pr_roe</f>
        <v/>
      </c>
      <c r="N775" s="27">
        <f>pr_roe</f>
        <v/>
      </c>
    </row>
    <row r="776">
      <c r="B776" s="3" t="inlineStr">
        <is>
          <t>Cash to the shareholder (FCFE)</t>
        </is>
      </c>
      <c r="C776" s="5" t="inlineStr">
        <is>
          <t>$ million</t>
        </is>
      </c>
      <c r="E776" s="23">
        <f>E759+E755-E720-E764+E765+E768-D768</f>
        <v/>
      </c>
      <c r="F776" s="23">
        <f>F759+F755-F720-F764+F765+F768-E768</f>
        <v/>
      </c>
      <c r="G776" s="23">
        <f>G759+G755-G720-G764+G765+G768-F768</f>
        <v/>
      </c>
      <c r="H776" s="23">
        <f>H759+H755-H720-H764+H765+H768-G768</f>
        <v/>
      </c>
      <c r="I776" s="23">
        <f>I759+I755-I720-I764+I765+I768-H768</f>
        <v/>
      </c>
      <c r="J776" s="23">
        <f>J759+J755-J720-J764+J765+J768-I768</f>
        <v/>
      </c>
      <c r="K776" s="23">
        <f>K759+K755-K720-K764+K765+K768-J768</f>
        <v/>
      </c>
      <c r="L776" s="23">
        <f>L759+L755-L720-L764+L765+L768-K768</f>
        <v/>
      </c>
      <c r="M776" s="23">
        <f>M759+M755-M720-M764+M765+M768-L768</f>
        <v/>
      </c>
      <c r="N776" s="23">
        <f>N759+N755-N720-N764+N765+N768-M768</f>
        <v/>
      </c>
    </row>
    <row r="777">
      <c r="B777" s="2" t="inlineStr">
        <is>
          <t>Funds from operations (net income + depreciation)</t>
        </is>
      </c>
      <c r="C777" s="5" t="inlineStr">
        <is>
          <t>$ million</t>
        </is>
      </c>
      <c r="E777" s="23">
        <f>E759+E755</f>
        <v/>
      </c>
      <c r="F777" s="23">
        <f>F759+F755</f>
        <v/>
      </c>
      <c r="G777" s="23">
        <f>G759+G755</f>
        <v/>
      </c>
      <c r="H777" s="23">
        <f>H759+H755</f>
        <v/>
      </c>
      <c r="I777" s="23">
        <f>I759+I755</f>
        <v/>
      </c>
      <c r="J777" s="23">
        <f>J759+J755</f>
        <v/>
      </c>
      <c r="K777" s="23">
        <f>K759+K755</f>
        <v/>
      </c>
      <c r="L777" s="23">
        <f>L759+L755</f>
        <v/>
      </c>
      <c r="M777" s="23">
        <f>M759+M755</f>
        <v/>
      </c>
      <c r="N777" s="23">
        <f>N759+N755</f>
        <v/>
      </c>
    </row>
    <row r="778">
      <c r="B778" s="3" t="inlineStr">
        <is>
          <t>Brannock's net flows (exit at the exit multiple)</t>
        </is>
      </c>
      <c r="C778" s="5" t="inlineStr">
        <is>
          <t>$ million</t>
        </is>
      </c>
      <c r="D778" s="23">
        <f>-(pr_ev_mult*pr_rb0-(1-pr_eq)*pr_rb0+pr_costs-pr_holdco)</f>
        <v/>
      </c>
      <c r="E778" s="23">
        <f>E776-pr_holdco*pr_kd_holdco*(1-pr_tax)</f>
        <v/>
      </c>
      <c r="F778" s="23">
        <f>F776-pr_holdco*pr_kd_holdco*(1-pr_tax)</f>
        <v/>
      </c>
      <c r="G778" s="23">
        <f>G776-pr_holdco*pr_kd_holdco*(1-pr_tax)</f>
        <v/>
      </c>
      <c r="H778" s="23">
        <f>H776-pr_holdco*pr_kd_holdco*(1-pr_tax)</f>
        <v/>
      </c>
      <c r="I778" s="23">
        <f>I776-pr_holdco*pr_kd_holdco*(1-pr_tax)</f>
        <v/>
      </c>
      <c r="J778" s="23">
        <f>J776-pr_holdco*pr_kd_holdco*(1-pr_tax)</f>
        <v/>
      </c>
      <c r="K778" s="23">
        <f>K776-pr_holdco*pr_kd_holdco*(1-pr_tax)</f>
        <v/>
      </c>
      <c r="L778" s="23">
        <f>L776-pr_holdco*pr_kd_holdco*(1-pr_tax)</f>
        <v/>
      </c>
      <c r="M778" s="23">
        <f>M776-pr_holdco*pr_kd_holdco*(1-pr_tax)</f>
        <v/>
      </c>
      <c r="N778" s="23">
        <f>N776-pr_holdco*pr_kd_holdco*(1-pr_tax)+pr_exit_mult*N766-N768-pr_holdco</f>
        <v/>
      </c>
    </row>
    <row r="779">
      <c r="B779" s="2" t="inlineStr">
        <is>
          <t>Levered IRR</t>
        </is>
      </c>
      <c r="C779" s="5" t="inlineStr">
        <is>
          <t>rate</t>
        </is>
      </c>
      <c r="D779" s="27">
        <f>IRR($D$778:N$778,0.08)</f>
        <v/>
      </c>
    </row>
    <row r="780">
      <c r="B780" s="2" t="inlineStr">
        <is>
          <t>Average earned return on equity 2028 to 2037</t>
        </is>
      </c>
      <c r="C780" s="5" t="inlineStr">
        <is>
          <t>rate</t>
        </is>
      </c>
      <c r="D780" s="27">
        <f>AVERAGE($E$774:N$774)</f>
        <v/>
      </c>
    </row>
    <row r="781">
      <c r="B781" s="2" t="inlineStr">
        <is>
          <t>Price at the target return (enterprise value)</t>
        </is>
      </c>
      <c r="C781" s="5" t="inlineStr">
        <is>
          <t>$ million</t>
        </is>
      </c>
      <c r="D781" s="23">
        <f>NPV(pr_target,$E$778:N$778)+(1-pr_eq)*pr_rb0-pr_costs+pr_holdco</f>
        <v/>
      </c>
    </row>
    <row r="782">
      <c r="B782" s="2" t="inlineStr">
        <is>
          <t>Exit equity</t>
        </is>
      </c>
      <c r="C782" s="5" t="inlineStr">
        <is>
          <t>$ million</t>
        </is>
      </c>
      <c r="D782" s="23">
        <f>pr_exit_mult*N766-N768-pr_holdco</f>
        <v/>
      </c>
    </row>
    <row r="783">
      <c r="B783" s="2" t="inlineStr">
        <is>
          <t>Rate base at exit</t>
        </is>
      </c>
      <c r="C783" s="5" t="inlineStr">
        <is>
          <t>$ million</t>
        </is>
      </c>
      <c r="D783" s="23">
        <f>N766</f>
        <v/>
      </c>
    </row>
    <row r="786">
      <c r="B786" s="6" t="inlineStr">
        <is>
          <t>P1: PFAS built two years later (compliance extension) (Pell River, after tax)</t>
        </is>
      </c>
      <c r="C786" s="7" t="n"/>
      <c r="D786" s="7" t="n"/>
      <c r="E786" s="7" t="n"/>
      <c r="F786" s="7" t="n"/>
      <c r="G786" s="7" t="n"/>
      <c r="H786" s="7" t="n"/>
      <c r="I786" s="7" t="n"/>
      <c r="J786" s="7" t="n"/>
      <c r="K786" s="7" t="n"/>
      <c r="L786" s="7" t="n"/>
      <c r="M786" s="7" t="n"/>
      <c r="N786" s="7" t="n"/>
    </row>
    <row r="787">
      <c r="B787" s="2" t="inlineStr">
        <is>
          <t>Year (31 December)</t>
        </is>
      </c>
      <c r="D787" s="26">
        <f>pr_close</f>
        <v/>
      </c>
      <c r="E787" s="26">
        <f>D787+1</f>
        <v/>
      </c>
      <c r="F787" s="26">
        <f>E787+1</f>
        <v/>
      </c>
      <c r="G787" s="26">
        <f>F787+1</f>
        <v/>
      </c>
      <c r="H787" s="26">
        <f>G787+1</f>
        <v/>
      </c>
      <c r="I787" s="26">
        <f>H787+1</f>
        <v/>
      </c>
      <c r="J787" s="26">
        <f>I787+1</f>
        <v/>
      </c>
      <c r="K787" s="26">
        <f>J787+1</f>
        <v/>
      </c>
      <c r="L787" s="26">
        <f>K787+1</f>
        <v/>
      </c>
      <c r="M787" s="26">
        <f>L787+1</f>
        <v/>
      </c>
      <c r="N787" s="26">
        <f>M787+1</f>
        <v/>
      </c>
    </row>
    <row r="788">
      <c r="B788" s="2" t="inlineStr">
        <is>
          <t>Years after the first year of the hold (2028 = 0)</t>
        </is>
      </c>
      <c r="D788" s="26">
        <f>D787-(pr_close+1)</f>
        <v/>
      </c>
      <c r="E788" s="26">
        <f>E787-(pr_close+1)</f>
        <v/>
      </c>
      <c r="F788" s="26">
        <f>F787-(pr_close+1)</f>
        <v/>
      </c>
      <c r="G788" s="26">
        <f>G787-(pr_close+1)</f>
        <v/>
      </c>
      <c r="H788" s="26">
        <f>H787-(pr_close+1)</f>
        <v/>
      </c>
      <c r="I788" s="26">
        <f>I787-(pr_close+1)</f>
        <v/>
      </c>
      <c r="J788" s="26">
        <f>J787-(pr_close+1)</f>
        <v/>
      </c>
      <c r="K788" s="26">
        <f>K787-(pr_close+1)</f>
        <v/>
      </c>
      <c r="L788" s="26">
        <f>L787-(pr_close+1)</f>
        <v/>
      </c>
      <c r="M788" s="26">
        <f>M787-(pr_close+1)</f>
        <v/>
      </c>
      <c r="N788" s="26">
        <f>N787-(pr_close+1)</f>
        <v/>
      </c>
    </row>
    <row r="789">
      <c r="B789" s="2" t="inlineStr">
        <is>
          <t>Connections (water and wastewater), year end</t>
        </is>
      </c>
      <c r="C789" s="5" t="inlineStr">
        <is>
          <t>number</t>
        </is>
      </c>
      <c r="D789" s="19">
        <f>pr_water_conn+pr_ww_conn</f>
        <v/>
      </c>
      <c r="E789" s="19">
        <f>D789*(1+pr_growth)+IF(AND(pr_fen_on=1,E787=pr_fen_year+1),pr_fen_conn,0)</f>
        <v/>
      </c>
      <c r="F789" s="19">
        <f>E789*(1+pr_growth)+IF(AND(pr_fen_on=1,F787=pr_fen_year+1),pr_fen_conn,0)</f>
        <v/>
      </c>
      <c r="G789" s="19">
        <f>F789*(1+pr_growth)+IF(AND(pr_fen_on=1,G787=pr_fen_year+1),pr_fen_conn,0)</f>
        <v/>
      </c>
      <c r="H789" s="19">
        <f>G789*(1+pr_growth)+IF(AND(pr_fen_on=1,H787=pr_fen_year+1),pr_fen_conn,0)</f>
        <v/>
      </c>
      <c r="I789" s="19">
        <f>H789*(1+pr_growth)+IF(AND(pr_fen_on=1,I787=pr_fen_year+1),pr_fen_conn,0)</f>
        <v/>
      </c>
      <c r="J789" s="19">
        <f>I789*(1+pr_growth)+IF(AND(pr_fen_on=1,J787=pr_fen_year+1),pr_fen_conn,0)</f>
        <v/>
      </c>
      <c r="K789" s="19">
        <f>J789*(1+pr_growth)+IF(AND(pr_fen_on=1,K787=pr_fen_year+1),pr_fen_conn,0)</f>
        <v/>
      </c>
      <c r="L789" s="19">
        <f>K789*(1+pr_growth)+IF(AND(pr_fen_on=1,L787=pr_fen_year+1),pr_fen_conn,0)</f>
        <v/>
      </c>
      <c r="M789" s="19">
        <f>L789*(1+pr_growth)+IF(AND(pr_fen_on=1,M787=pr_fen_year+1),pr_fen_conn,0)</f>
        <v/>
      </c>
      <c r="N789" s="19">
        <f>M789*(1+pr_growth)+IF(AND(pr_fen_on=1,N787=pr_fen_year+1),pr_fen_conn,0)</f>
        <v/>
      </c>
    </row>
    <row r="791">
      <c r="B791" s="6" t="inlineStr">
        <is>
          <t>Capital spending ($ million)</t>
        </is>
      </c>
      <c r="C791" s="7" t="n"/>
      <c r="D791" s="7" t="n"/>
      <c r="E791" s="7" t="n"/>
      <c r="F791" s="7" t="n"/>
      <c r="G791" s="7" t="n"/>
      <c r="H791" s="7" t="n"/>
      <c r="I791" s="7" t="n"/>
      <c r="J791" s="7" t="n"/>
      <c r="K791" s="7" t="n"/>
      <c r="L791" s="7" t="n"/>
      <c r="M791" s="7" t="n"/>
      <c r="N791" s="7" t="n"/>
    </row>
    <row r="792">
      <c r="B792" s="2" t="inlineStr">
        <is>
          <t>Cost escalation index (2028 = 1)</t>
        </is>
      </c>
      <c r="E792" s="28">
        <f>(1+pr_capex_esc)^(E787-(pr_close+1))</f>
        <v/>
      </c>
      <c r="F792" s="28">
        <f>(1+pr_capex_esc)^(F787-(pr_close+1))</f>
        <v/>
      </c>
      <c r="G792" s="28">
        <f>(1+pr_capex_esc)^(G787-(pr_close+1))</f>
        <v/>
      </c>
      <c r="H792" s="28">
        <f>(1+pr_capex_esc)^(H787-(pr_close+1))</f>
        <v/>
      </c>
      <c r="I792" s="28">
        <f>(1+pr_capex_esc)^(I787-(pr_close+1))</f>
        <v/>
      </c>
      <c r="J792" s="28">
        <f>(1+pr_capex_esc)^(J787-(pr_close+1))</f>
        <v/>
      </c>
      <c r="K792" s="28">
        <f>(1+pr_capex_esc)^(K787-(pr_close+1))</f>
        <v/>
      </c>
      <c r="L792" s="28">
        <f>(1+pr_capex_esc)^(L787-(pr_close+1))</f>
        <v/>
      </c>
      <c r="M792" s="28">
        <f>(1+pr_capex_esc)^(M787-(pr_close+1))</f>
        <v/>
      </c>
      <c r="N792" s="28">
        <f>(1+pr_capex_esc)^(N787-(pr_close+1))</f>
        <v/>
      </c>
    </row>
    <row r="793">
      <c r="B793" s="2" t="inlineStr">
        <is>
          <t>Main renewal</t>
        </is>
      </c>
      <c r="C793" s="5" t="inlineStr">
        <is>
          <t>$ million</t>
        </is>
      </c>
      <c r="E793" s="23">
        <f>pr_renewal*pr_mains_miles*pr_cost_mile*E792*(1+pr_capex_shift)</f>
        <v/>
      </c>
      <c r="F793" s="23">
        <f>pr_renewal*pr_mains_miles*pr_cost_mile*F792*(1+pr_capex_shift)</f>
        <v/>
      </c>
      <c r="G793" s="23">
        <f>pr_renewal*pr_mains_miles*pr_cost_mile*G792*(1+pr_capex_shift)</f>
        <v/>
      </c>
      <c r="H793" s="23">
        <f>pr_renewal*pr_mains_miles*pr_cost_mile*H792*(1+pr_capex_shift)</f>
        <v/>
      </c>
      <c r="I793" s="23">
        <f>pr_renewal*pr_mains_miles*pr_cost_mile*I792*(1+pr_capex_shift)</f>
        <v/>
      </c>
      <c r="J793" s="23">
        <f>pr_renewal*pr_mains_miles*pr_cost_mile*J792*(1+pr_capex_shift)</f>
        <v/>
      </c>
      <c r="K793" s="23">
        <f>pr_renewal*pr_mains_miles*pr_cost_mile*K792*(1+pr_capex_shift)</f>
        <v/>
      </c>
      <c r="L793" s="23">
        <f>pr_renewal*pr_mains_miles*pr_cost_mile*L792*(1+pr_capex_shift)</f>
        <v/>
      </c>
      <c r="M793" s="23">
        <f>pr_renewal*pr_mains_miles*pr_cost_mile*M792*(1+pr_capex_shift)</f>
        <v/>
      </c>
      <c r="N793" s="23">
        <f>pr_renewal*pr_mains_miles*pr_cost_mile*N792*(1+pr_capex_shift)</f>
        <v/>
      </c>
    </row>
    <row r="794">
      <c r="B794" s="2" t="inlineStr">
        <is>
          <t>Treatment, storage, meters, IT and growth</t>
        </is>
      </c>
      <c r="C794" s="5" t="inlineStr">
        <is>
          <t>$ million</t>
        </is>
      </c>
      <c r="E794" s="23">
        <f>pr_other_capex*E792*(1+pr_capex_shift)</f>
        <v/>
      </c>
      <c r="F794" s="23">
        <f>pr_other_capex*F792*(1+pr_capex_shift)</f>
        <v/>
      </c>
      <c r="G794" s="23">
        <f>pr_other_capex*G792*(1+pr_capex_shift)</f>
        <v/>
      </c>
      <c r="H794" s="23">
        <f>pr_other_capex*H792*(1+pr_capex_shift)</f>
        <v/>
      </c>
      <c r="I794" s="23">
        <f>pr_other_capex*I792*(1+pr_capex_shift)</f>
        <v/>
      </c>
      <c r="J794" s="23">
        <f>pr_other_capex*J792*(1+pr_capex_shift)</f>
        <v/>
      </c>
      <c r="K794" s="23">
        <f>pr_other_capex*K792*(1+pr_capex_shift)</f>
        <v/>
      </c>
      <c r="L794" s="23">
        <f>pr_other_capex*L792*(1+pr_capex_shift)</f>
        <v/>
      </c>
      <c r="M794" s="23">
        <f>pr_other_capex*M792*(1+pr_capex_shift)</f>
        <v/>
      </c>
      <c r="N794" s="23">
        <f>pr_other_capex*N792*(1+pr_capex_shift)</f>
        <v/>
      </c>
    </row>
    <row r="795">
      <c r="B795" s="2" t="inlineStr">
        <is>
          <t>PFAS treatment</t>
        </is>
      </c>
      <c r="C795" s="5" t="inlineStr">
        <is>
          <t>$ million</t>
        </is>
      </c>
      <c r="E795" s="23">
        <f>(IF(E787-Inputs!$C$241=pr_pfas_y1,pr_pfas_1,0)+IF(E787-Inputs!$C$241=pr_pfas_y1+1,pr_pfas_2,0)+IF(E787-Inputs!$C$241=pr_pfas_y1+2,pr_pfas_3,0))*(1+pr_capex_esc)^Inputs!$C$241*(1+pr_capex_shift)</f>
        <v/>
      </c>
      <c r="F795" s="23">
        <f>(IF(F787-Inputs!$C$241=pr_pfas_y1,pr_pfas_1,0)+IF(F787-Inputs!$C$241=pr_pfas_y1+1,pr_pfas_2,0)+IF(F787-Inputs!$C$241=pr_pfas_y1+2,pr_pfas_3,0))*(1+pr_capex_esc)^Inputs!$C$241*(1+pr_capex_shift)</f>
        <v/>
      </c>
      <c r="G795" s="23">
        <f>(IF(G787-Inputs!$C$241=pr_pfas_y1,pr_pfas_1,0)+IF(G787-Inputs!$C$241=pr_pfas_y1+1,pr_pfas_2,0)+IF(G787-Inputs!$C$241=pr_pfas_y1+2,pr_pfas_3,0))*(1+pr_capex_esc)^Inputs!$C$241*(1+pr_capex_shift)</f>
        <v/>
      </c>
      <c r="H795" s="23">
        <f>(IF(H787-Inputs!$C$241=pr_pfas_y1,pr_pfas_1,0)+IF(H787-Inputs!$C$241=pr_pfas_y1+1,pr_pfas_2,0)+IF(H787-Inputs!$C$241=pr_pfas_y1+2,pr_pfas_3,0))*(1+pr_capex_esc)^Inputs!$C$241*(1+pr_capex_shift)</f>
        <v/>
      </c>
      <c r="I795" s="23">
        <f>(IF(I787-Inputs!$C$241=pr_pfas_y1,pr_pfas_1,0)+IF(I787-Inputs!$C$241=pr_pfas_y1+1,pr_pfas_2,0)+IF(I787-Inputs!$C$241=pr_pfas_y1+2,pr_pfas_3,0))*(1+pr_capex_esc)^Inputs!$C$241*(1+pr_capex_shift)</f>
        <v/>
      </c>
      <c r="J795" s="23">
        <f>(IF(J787-Inputs!$C$241=pr_pfas_y1,pr_pfas_1,0)+IF(J787-Inputs!$C$241=pr_pfas_y1+1,pr_pfas_2,0)+IF(J787-Inputs!$C$241=pr_pfas_y1+2,pr_pfas_3,0))*(1+pr_capex_esc)^Inputs!$C$241*(1+pr_capex_shift)</f>
        <v/>
      </c>
      <c r="K795" s="23">
        <f>(IF(K787-Inputs!$C$241=pr_pfas_y1,pr_pfas_1,0)+IF(K787-Inputs!$C$241=pr_pfas_y1+1,pr_pfas_2,0)+IF(K787-Inputs!$C$241=pr_pfas_y1+2,pr_pfas_3,0))*(1+pr_capex_esc)^Inputs!$C$241*(1+pr_capex_shift)</f>
        <v/>
      </c>
      <c r="L795" s="23">
        <f>(IF(L787-Inputs!$C$241=pr_pfas_y1,pr_pfas_1,0)+IF(L787-Inputs!$C$241=pr_pfas_y1+1,pr_pfas_2,0)+IF(L787-Inputs!$C$241=pr_pfas_y1+2,pr_pfas_3,0))*(1+pr_capex_esc)^Inputs!$C$241*(1+pr_capex_shift)</f>
        <v/>
      </c>
      <c r="M795" s="23">
        <f>(IF(M787-Inputs!$C$241=pr_pfas_y1,pr_pfas_1,0)+IF(M787-Inputs!$C$241=pr_pfas_y1+1,pr_pfas_2,0)+IF(M787-Inputs!$C$241=pr_pfas_y1+2,pr_pfas_3,0))*(1+pr_capex_esc)^Inputs!$C$241*(1+pr_capex_shift)</f>
        <v/>
      </c>
      <c r="N795" s="23">
        <f>(IF(N787-Inputs!$C$241=pr_pfas_y1,pr_pfas_1,0)+IF(N787-Inputs!$C$241=pr_pfas_y1+1,pr_pfas_2,0)+IF(N787-Inputs!$C$241=pr_pfas_y1+2,pr_pfas_3,0))*(1+pr_capex_esc)^Inputs!$C$241*(1+pr_capex_shift)</f>
        <v/>
      </c>
    </row>
    <row r="796">
      <c r="B796" s="2" t="inlineStr">
        <is>
          <t>Lead service lines</t>
        </is>
      </c>
      <c r="C796" s="5" t="inlineStr">
        <is>
          <t>$ million</t>
        </is>
      </c>
      <c r="E796" s="23">
        <f>IF(AND(E787&gt;=(pr_close+1),E787&lt;(pr_close+1)+pr_lead_years),pr_lead_lines/pr_lead_years*pr_lead_cost/1000000*E792,0)*(1+pr_capex_shift)</f>
        <v/>
      </c>
      <c r="F796" s="23">
        <f>IF(AND(F787&gt;=(pr_close+1),F787&lt;(pr_close+1)+pr_lead_years),pr_lead_lines/pr_lead_years*pr_lead_cost/1000000*F792,0)*(1+pr_capex_shift)</f>
        <v/>
      </c>
      <c r="G796" s="23">
        <f>IF(AND(G787&gt;=(pr_close+1),G787&lt;(pr_close+1)+pr_lead_years),pr_lead_lines/pr_lead_years*pr_lead_cost/1000000*G792,0)*(1+pr_capex_shift)</f>
        <v/>
      </c>
      <c r="H796" s="23">
        <f>IF(AND(H787&gt;=(pr_close+1),H787&lt;(pr_close+1)+pr_lead_years),pr_lead_lines/pr_lead_years*pr_lead_cost/1000000*H792,0)*(1+pr_capex_shift)</f>
        <v/>
      </c>
      <c r="I796" s="23">
        <f>IF(AND(I787&gt;=(pr_close+1),I787&lt;(pr_close+1)+pr_lead_years),pr_lead_lines/pr_lead_years*pr_lead_cost/1000000*I792,0)*(1+pr_capex_shift)</f>
        <v/>
      </c>
      <c r="J796" s="23">
        <f>IF(AND(J787&gt;=(pr_close+1),J787&lt;(pr_close+1)+pr_lead_years),pr_lead_lines/pr_lead_years*pr_lead_cost/1000000*J792,0)*(1+pr_capex_shift)</f>
        <v/>
      </c>
      <c r="K796" s="23">
        <f>IF(AND(K787&gt;=(pr_close+1),K787&lt;(pr_close+1)+pr_lead_years),pr_lead_lines/pr_lead_years*pr_lead_cost/1000000*K792,0)*(1+pr_capex_shift)</f>
        <v/>
      </c>
      <c r="L796" s="23">
        <f>IF(AND(L787&gt;=(pr_close+1),L787&lt;(pr_close+1)+pr_lead_years),pr_lead_lines/pr_lead_years*pr_lead_cost/1000000*L792,0)*(1+pr_capex_shift)</f>
        <v/>
      </c>
      <c r="M796" s="23">
        <f>IF(AND(M787&gt;=(pr_close+1),M787&lt;(pr_close+1)+pr_lead_years),pr_lead_lines/pr_lead_years*pr_lead_cost/1000000*M792,0)*(1+pr_capex_shift)</f>
        <v/>
      </c>
      <c r="N796" s="23">
        <f>IF(AND(N787&gt;=(pr_close+1),N787&lt;(pr_close+1)+pr_lead_years),pr_lead_lines/pr_lead_years*pr_lead_cost/1000000*N792,0)*(1+pr_capex_shift)</f>
        <v/>
      </c>
    </row>
    <row r="797">
      <c r="B797" s="2" t="inlineStr">
        <is>
          <t>Fennick system</t>
        </is>
      </c>
      <c r="C797" s="5" t="inlineStr">
        <is>
          <t>$ million</t>
        </is>
      </c>
      <c r="E797" s="23">
        <f>IF(AND(pr_fen_on=1,E787&gt;pr_fen_year),pr_fen_capex*(1+pr_capex_esc)^(E787-pr_fen_year-1),0)*(1+pr_capex_shift)</f>
        <v/>
      </c>
      <c r="F797" s="23">
        <f>IF(AND(pr_fen_on=1,F787&gt;pr_fen_year),pr_fen_capex*(1+pr_capex_esc)^(F787-pr_fen_year-1),0)*(1+pr_capex_shift)</f>
        <v/>
      </c>
      <c r="G797" s="23">
        <f>IF(AND(pr_fen_on=1,G787&gt;pr_fen_year),pr_fen_capex*(1+pr_capex_esc)^(G787-pr_fen_year-1),0)*(1+pr_capex_shift)</f>
        <v/>
      </c>
      <c r="H797" s="23">
        <f>IF(AND(pr_fen_on=1,H787&gt;pr_fen_year),pr_fen_capex*(1+pr_capex_esc)^(H787-pr_fen_year-1),0)*(1+pr_capex_shift)</f>
        <v/>
      </c>
      <c r="I797" s="23">
        <f>IF(AND(pr_fen_on=1,I787&gt;pr_fen_year),pr_fen_capex*(1+pr_capex_esc)^(I787-pr_fen_year-1),0)*(1+pr_capex_shift)</f>
        <v/>
      </c>
      <c r="J797" s="23">
        <f>IF(AND(pr_fen_on=1,J787&gt;pr_fen_year),pr_fen_capex*(1+pr_capex_esc)^(J787-pr_fen_year-1),0)*(1+pr_capex_shift)</f>
        <v/>
      </c>
      <c r="K797" s="23">
        <f>IF(AND(pr_fen_on=1,K787&gt;pr_fen_year),pr_fen_capex*(1+pr_capex_esc)^(K787-pr_fen_year-1),0)*(1+pr_capex_shift)</f>
        <v/>
      </c>
      <c r="L797" s="23">
        <f>IF(AND(pr_fen_on=1,L787&gt;pr_fen_year),pr_fen_capex*(1+pr_capex_esc)^(L787-pr_fen_year-1),0)*(1+pr_capex_shift)</f>
        <v/>
      </c>
      <c r="M797" s="23">
        <f>IF(AND(pr_fen_on=1,M787&gt;pr_fen_year),pr_fen_capex*(1+pr_capex_esc)^(M787-pr_fen_year-1),0)*(1+pr_capex_shift)</f>
        <v/>
      </c>
      <c r="N797" s="23">
        <f>IF(AND(pr_fen_on=1,N787&gt;pr_fen_year),pr_fen_capex*(1+pr_capex_esc)^(N787-pr_fen_year-1),0)*(1+pr_capex_shift)</f>
        <v/>
      </c>
    </row>
    <row r="798">
      <c r="B798" s="2" t="inlineStr">
        <is>
          <t>Total capital spending</t>
        </is>
      </c>
      <c r="C798" s="5" t="inlineStr">
        <is>
          <t>$ million</t>
        </is>
      </c>
      <c r="E798" s="23">
        <f>SUM(E793:E797)</f>
        <v/>
      </c>
      <c r="F798" s="23">
        <f>SUM(F793:F797)</f>
        <v/>
      </c>
      <c r="G798" s="23">
        <f>SUM(G793:G797)</f>
        <v/>
      </c>
      <c r="H798" s="23">
        <f>SUM(H793:H797)</f>
        <v/>
      </c>
      <c r="I798" s="23">
        <f>SUM(I793:I797)</f>
        <v/>
      </c>
      <c r="J798" s="23">
        <f>SUM(J793:J797)</f>
        <v/>
      </c>
      <c r="K798" s="23">
        <f>SUM(K793:K797)</f>
        <v/>
      </c>
      <c r="L798" s="23">
        <f>SUM(L793:L797)</f>
        <v/>
      </c>
      <c r="M798" s="23">
        <f>SUM(M793:M797)</f>
        <v/>
      </c>
      <c r="N798" s="23">
        <f>SUM(N793:N797)</f>
        <v/>
      </c>
    </row>
    <row r="799">
      <c r="B799" s="2" t="inlineStr">
        <is>
          <t>DSIC-eligible (mains and lead lines)</t>
        </is>
      </c>
      <c r="C799" s="5" t="inlineStr">
        <is>
          <t>$ million</t>
        </is>
      </c>
      <c r="E799" s="23">
        <f>E793+E796</f>
        <v/>
      </c>
      <c r="F799" s="23">
        <f>F793+F796</f>
        <v/>
      </c>
      <c r="G799" s="23">
        <f>G793+G796</f>
        <v/>
      </c>
      <c r="H799" s="23">
        <f>H793+H796</f>
        <v/>
      </c>
      <c r="I799" s="23">
        <f>I793+I796</f>
        <v/>
      </c>
      <c r="J799" s="23">
        <f>J793+J796</f>
        <v/>
      </c>
      <c r="K799" s="23">
        <f>K793+K796</f>
        <v/>
      </c>
      <c r="L799" s="23">
        <f>L793+L796</f>
        <v/>
      </c>
      <c r="M799" s="23">
        <f>M793+M796</f>
        <v/>
      </c>
      <c r="N799" s="23">
        <f>N793+N796</f>
        <v/>
      </c>
    </row>
    <row r="801">
      <c r="B801" s="6" t="inlineStr">
        <is>
          <t>Rate case (rates effective 1 January of the year; test-year values looked up to the left)</t>
        </is>
      </c>
      <c r="C801" s="7" t="n"/>
      <c r="D801" s="7" t="n"/>
      <c r="E801" s="7" t="n"/>
      <c r="F801" s="7" t="n"/>
      <c r="G801" s="7" t="n"/>
      <c r="H801" s="7" t="n"/>
      <c r="I801" s="7" t="n"/>
      <c r="J801" s="7" t="n"/>
      <c r="K801" s="7" t="n"/>
      <c r="L801" s="7" t="n"/>
      <c r="M801" s="7" t="n"/>
      <c r="N801" s="7" t="n"/>
    </row>
    <row r="802">
      <c r="B802" s="2" t="inlineStr">
        <is>
          <t>Rate case this year (1 = yes)</t>
        </is>
      </c>
      <c r="E802" s="26">
        <f>IF(AND(E787&gt;=pr_rc_first,MOD(E787-pr_rc_first,pr_rc_cycle)=0),1,0)</f>
        <v/>
      </c>
      <c r="F802" s="26">
        <f>IF(AND(F787&gt;=pr_rc_first,MOD(F787-pr_rc_first,pr_rc_cycle)=0),1,0)</f>
        <v/>
      </c>
      <c r="G802" s="26">
        <f>IF(AND(G787&gt;=pr_rc_first,MOD(G787-pr_rc_first,pr_rc_cycle)=0),1,0)</f>
        <v/>
      </c>
      <c r="H802" s="26">
        <f>IF(AND(H787&gt;=pr_rc_first,MOD(H787-pr_rc_first,pr_rc_cycle)=0),1,0)</f>
        <v/>
      </c>
      <c r="I802" s="26">
        <f>IF(AND(I787&gt;=pr_rc_first,MOD(I787-pr_rc_first,pr_rc_cycle)=0),1,0)</f>
        <v/>
      </c>
      <c r="J802" s="26">
        <f>IF(AND(J787&gt;=pr_rc_first,MOD(J787-pr_rc_first,pr_rc_cycle)=0),1,0)</f>
        <v/>
      </c>
      <c r="K802" s="26">
        <f>IF(AND(K787&gt;=pr_rc_first,MOD(K787-pr_rc_first,pr_rc_cycle)=0),1,0)</f>
        <v/>
      </c>
      <c r="L802" s="26">
        <f>IF(AND(L787&gt;=pr_rc_first,MOD(L787-pr_rc_first,pr_rc_cycle)=0),1,0)</f>
        <v/>
      </c>
      <c r="M802" s="26">
        <f>IF(AND(M787&gt;=pr_rc_first,MOD(M787-pr_rc_first,pr_rc_cycle)=0),1,0)</f>
        <v/>
      </c>
      <c r="N802" s="26">
        <f>IF(AND(N787&gt;=pr_rc_first,MOD(N787-pr_rc_first,pr_rc_cycle)=0),1,0)</f>
        <v/>
      </c>
    </row>
    <row r="803">
      <c r="B803" s="2" t="inlineStr">
        <is>
          <t>Test year</t>
        </is>
      </c>
      <c r="E803" s="26">
        <f>E787-pr_test_lag</f>
        <v/>
      </c>
      <c r="F803" s="26">
        <f>F787-pr_test_lag</f>
        <v/>
      </c>
      <c r="G803" s="26">
        <f>G787-pr_test_lag</f>
        <v/>
      </c>
      <c r="H803" s="26">
        <f>H787-pr_test_lag</f>
        <v/>
      </c>
      <c r="I803" s="26">
        <f>I787-pr_test_lag</f>
        <v/>
      </c>
      <c r="J803" s="26">
        <f>J787-pr_test_lag</f>
        <v/>
      </c>
      <c r="K803" s="26">
        <f>K787-pr_test_lag</f>
        <v/>
      </c>
      <c r="L803" s="26">
        <f>L787-pr_test_lag</f>
        <v/>
      </c>
      <c r="M803" s="26">
        <f>M787-pr_test_lag</f>
        <v/>
      </c>
      <c r="N803" s="26">
        <f>N787-pr_test_lag</f>
        <v/>
      </c>
    </row>
    <row r="804">
      <c r="B804" s="2" t="inlineStr">
        <is>
          <t>Test year of the latest rate case</t>
        </is>
      </c>
      <c r="D804" s="26">
        <f>pr_close</f>
        <v/>
      </c>
      <c r="E804" s="26">
        <f>IF(E802=1,E803,D804)</f>
        <v/>
      </c>
      <c r="F804" s="26">
        <f>IF(F802=1,F803,E804)</f>
        <v/>
      </c>
      <c r="G804" s="26">
        <f>IF(G802=1,G803,F804)</f>
        <v/>
      </c>
      <c r="H804" s="26">
        <f>IF(H802=1,H803,G804)</f>
        <v/>
      </c>
      <c r="I804" s="26">
        <f>IF(I802=1,I803,H804)</f>
        <v/>
      </c>
      <c r="J804" s="26">
        <f>IF(J802=1,J803,I804)</f>
        <v/>
      </c>
      <c r="K804" s="26">
        <f>IF(K802=1,K803,J804)</f>
        <v/>
      </c>
      <c r="L804" s="26">
        <f>IF(L802=1,L803,K804)</f>
        <v/>
      </c>
      <c r="M804" s="26">
        <f>IF(M802=1,M803,L804)</f>
        <v/>
      </c>
      <c r="N804" s="26">
        <f>IF(N802=1,N803,M804)</f>
        <v/>
      </c>
    </row>
    <row r="805">
      <c r="B805" s="2" t="inlineStr">
        <is>
          <t>Rate base at the end of the test year</t>
        </is>
      </c>
      <c r="C805" s="5" t="inlineStr">
        <is>
          <t>$ million</t>
        </is>
      </c>
      <c r="E805" s="23">
        <f>INDEX($D$844:D$844,MATCH(MAX(E803,pr_close),$D$787:D$787,0))</f>
        <v/>
      </c>
      <c r="F805" s="23">
        <f>INDEX($D$844:E$844,MATCH(MAX(F803,pr_close),$D$787:E$787,0))</f>
        <v/>
      </c>
      <c r="G805" s="23">
        <f>INDEX($D$844:F$844,MATCH(MAX(G803,pr_close),$D$787:F$787,0))</f>
        <v/>
      </c>
      <c r="H805" s="23">
        <f>INDEX($D$844:G$844,MATCH(MAX(H803,pr_close),$D$787:G$787,0))</f>
        <v/>
      </c>
      <c r="I805" s="23">
        <f>INDEX($D$844:H$844,MATCH(MAX(I803,pr_close),$D$787:H$787,0))</f>
        <v/>
      </c>
      <c r="J805" s="23">
        <f>INDEX($D$844:I$844,MATCH(MAX(J803,pr_close),$D$787:I$787,0))</f>
        <v/>
      </c>
      <c r="K805" s="23">
        <f>INDEX($D$844:J$844,MATCH(MAX(K803,pr_close),$D$787:J$787,0))</f>
        <v/>
      </c>
      <c r="L805" s="23">
        <f>INDEX($D$844:K$844,MATCH(MAX(L803,pr_close),$D$787:K$787,0))</f>
        <v/>
      </c>
      <c r="M805" s="23">
        <f>INDEX($D$844:L$844,MATCH(MAX(M803,pr_close),$D$787:L$787,0))</f>
        <v/>
      </c>
      <c r="N805" s="23">
        <f>INDEX($D$844:M$844,MATCH(MAX(N803,pr_close),$D$787:M$787,0))</f>
        <v/>
      </c>
    </row>
    <row r="806">
      <c r="B806" s="2" t="inlineStr">
        <is>
          <t>Embedded cost of debt in the test year</t>
        </is>
      </c>
      <c r="C806" s="5" t="inlineStr">
        <is>
          <t>rate</t>
        </is>
      </c>
      <c r="E806" s="27">
        <f>INDEX($D$848:D$848,MATCH(MAX(E803,pr_close),$D$787:D$787,0))</f>
        <v/>
      </c>
      <c r="F806" s="27">
        <f>INDEX($D$848:E$848,MATCH(MAX(F803,pr_close),$D$787:E$787,0))</f>
        <v/>
      </c>
      <c r="G806" s="27">
        <f>INDEX($D$848:F$848,MATCH(MAX(G803,pr_close),$D$787:F$787,0))</f>
        <v/>
      </c>
      <c r="H806" s="27">
        <f>INDEX($D$848:G$848,MATCH(MAX(H803,pr_close),$D$787:G$787,0))</f>
        <v/>
      </c>
      <c r="I806" s="27">
        <f>INDEX($D$848:H$848,MATCH(MAX(I803,pr_close),$D$787:H$787,0))</f>
        <v/>
      </c>
      <c r="J806" s="27">
        <f>INDEX($D$848:I$848,MATCH(MAX(J803,pr_close),$D$787:I$787,0))</f>
        <v/>
      </c>
      <c r="K806" s="27">
        <f>INDEX($D$848:J$848,MATCH(MAX(K803,pr_close),$D$787:J$787,0))</f>
        <v/>
      </c>
      <c r="L806" s="27">
        <f>INDEX($D$848:K$848,MATCH(MAX(L803,pr_close),$D$787:K$787,0))</f>
        <v/>
      </c>
      <c r="M806" s="27">
        <f>INDEX($D$848:L$848,MATCH(MAX(M803,pr_close),$D$787:L$787,0))</f>
        <v/>
      </c>
      <c r="N806" s="27">
        <f>INDEX($D$848:M$848,MATCH(MAX(N803,pr_close),$D$787:M$787,0))</f>
        <v/>
      </c>
    </row>
    <row r="807">
      <c r="B807" s="2" t="inlineStr">
        <is>
          <t>O&amp;M in the test year</t>
        </is>
      </c>
      <c r="C807" s="5" t="inlineStr">
        <is>
          <t>$ million</t>
        </is>
      </c>
      <c r="E807" s="23">
        <f>INDEX($D$829:D$829,MATCH(MAX(E803,pr_close),$D$787:D$787,0))</f>
        <v/>
      </c>
      <c r="F807" s="23">
        <f>INDEX($D$829:E$829,MATCH(MAX(F803,pr_close),$D$787:E$787,0))</f>
        <v/>
      </c>
      <c r="G807" s="23">
        <f>INDEX($D$829:F$829,MATCH(MAX(G803,pr_close),$D$787:F$787,0))</f>
        <v/>
      </c>
      <c r="H807" s="23">
        <f>INDEX($D$829:G$829,MATCH(MAX(H803,pr_close),$D$787:G$787,0))</f>
        <v/>
      </c>
      <c r="I807" s="23">
        <f>INDEX($D$829:H$829,MATCH(MAX(I803,pr_close),$D$787:H$787,0))</f>
        <v/>
      </c>
      <c r="J807" s="23">
        <f>INDEX($D$829:I$829,MATCH(MAX(J803,pr_close),$D$787:I$787,0))</f>
        <v/>
      </c>
      <c r="K807" s="23">
        <f>INDEX($D$829:J$829,MATCH(MAX(K803,pr_close),$D$787:J$787,0))</f>
        <v/>
      </c>
      <c r="L807" s="23">
        <f>INDEX($D$829:K$829,MATCH(MAX(L803,pr_close),$D$787:K$787,0))</f>
        <v/>
      </c>
      <c r="M807" s="23">
        <f>INDEX($D$829:L$829,MATCH(MAX(M803,pr_close),$D$787:L$787,0))</f>
        <v/>
      </c>
      <c r="N807" s="23">
        <f>INDEX($D$829:M$829,MATCH(MAX(N803,pr_close),$D$787:M$787,0))</f>
        <v/>
      </c>
    </row>
    <row r="808">
      <c r="B808" s="2" t="inlineStr">
        <is>
          <t>Authorized return on rate base</t>
        </is>
      </c>
      <c r="C808" s="5" t="inlineStr">
        <is>
          <t>rate</t>
        </is>
      </c>
      <c r="E808" s="27">
        <f>(pr_eq*pr_roe+(1-pr_eq)*E806)</f>
        <v/>
      </c>
      <c r="F808" s="27">
        <f>(pr_eq*pr_roe+(1-pr_eq)*F806)</f>
        <v/>
      </c>
      <c r="G808" s="27">
        <f>(pr_eq*pr_roe+(1-pr_eq)*G806)</f>
        <v/>
      </c>
      <c r="H808" s="27">
        <f>(pr_eq*pr_roe+(1-pr_eq)*H806)</f>
        <v/>
      </c>
      <c r="I808" s="27">
        <f>(pr_eq*pr_roe+(1-pr_eq)*I806)</f>
        <v/>
      </c>
      <c r="J808" s="27">
        <f>(pr_eq*pr_roe+(1-pr_eq)*J806)</f>
        <v/>
      </c>
      <c r="K808" s="27">
        <f>(pr_eq*pr_roe+(1-pr_eq)*K806)</f>
        <v/>
      </c>
      <c r="L808" s="27">
        <f>(pr_eq*pr_roe+(1-pr_eq)*L806)</f>
        <v/>
      </c>
      <c r="M808" s="27">
        <f>(pr_eq*pr_roe+(1-pr_eq)*M806)</f>
        <v/>
      </c>
      <c r="N808" s="27">
        <f>(pr_eq*pr_roe+(1-pr_eq)*N806)</f>
        <v/>
      </c>
    </row>
    <row r="809">
      <c r="B809" s="2" t="inlineStr">
        <is>
          <t>Return</t>
        </is>
      </c>
      <c r="C809" s="5" t="inlineStr">
        <is>
          <t>$ million</t>
        </is>
      </c>
      <c r="E809" s="23">
        <f>E808*E805</f>
        <v/>
      </c>
      <c r="F809" s="23">
        <f>F808*F805</f>
        <v/>
      </c>
      <c r="G809" s="23">
        <f>G808*G805</f>
        <v/>
      </c>
      <c r="H809" s="23">
        <f>H808*H805</f>
        <v/>
      </c>
      <c r="I809" s="23">
        <f>I808*I805</f>
        <v/>
      </c>
      <c r="J809" s="23">
        <f>J808*J805</f>
        <v/>
      </c>
      <c r="K809" s="23">
        <f>K808*K805</f>
        <v/>
      </c>
      <c r="L809" s="23">
        <f>L808*L805</f>
        <v/>
      </c>
      <c r="M809" s="23">
        <f>M808*M805</f>
        <v/>
      </c>
      <c r="N809" s="23">
        <f>N808*N805</f>
        <v/>
      </c>
    </row>
    <row r="810">
      <c r="B810" s="2" t="inlineStr">
        <is>
          <t>Income tax gross-up</t>
        </is>
      </c>
      <c r="C810" s="5" t="inlineStr">
        <is>
          <t>$ million</t>
        </is>
      </c>
      <c r="E810" s="23">
        <f>(pr_eq*pr_roe*pr_tax/(1-pr_tax))*E805</f>
        <v/>
      </c>
      <c r="F810" s="23">
        <f>(pr_eq*pr_roe*pr_tax/(1-pr_tax))*F805</f>
        <v/>
      </c>
      <c r="G810" s="23">
        <f>(pr_eq*pr_roe*pr_tax/(1-pr_tax))*G805</f>
        <v/>
      </c>
      <c r="H810" s="23">
        <f>(pr_eq*pr_roe*pr_tax/(1-pr_tax))*H805</f>
        <v/>
      </c>
      <c r="I810" s="23">
        <f>(pr_eq*pr_roe*pr_tax/(1-pr_tax))*I805</f>
        <v/>
      </c>
      <c r="J810" s="23">
        <f>(pr_eq*pr_roe*pr_tax/(1-pr_tax))*J805</f>
        <v/>
      </c>
      <c r="K810" s="23">
        <f>(pr_eq*pr_roe*pr_tax/(1-pr_tax))*K805</f>
        <v/>
      </c>
      <c r="L810" s="23">
        <f>(pr_eq*pr_roe*pr_tax/(1-pr_tax))*L805</f>
        <v/>
      </c>
      <c r="M810" s="23">
        <f>(pr_eq*pr_roe*pr_tax/(1-pr_tax))*M805</f>
        <v/>
      </c>
      <c r="N810" s="23">
        <f>(pr_eq*pr_roe*pr_tax/(1-pr_tax))*N805</f>
        <v/>
      </c>
    </row>
    <row r="811">
      <c r="B811" s="2" t="inlineStr">
        <is>
          <t>Depreciation</t>
        </is>
      </c>
      <c r="C811" s="5" t="inlineStr">
        <is>
          <t>$ million</t>
        </is>
      </c>
      <c r="E811" s="23">
        <f>pr_dep*E805</f>
        <v/>
      </c>
      <c r="F811" s="23">
        <f>pr_dep*F805</f>
        <v/>
      </c>
      <c r="G811" s="23">
        <f>pr_dep*G805</f>
        <v/>
      </c>
      <c r="H811" s="23">
        <f>pr_dep*H805</f>
        <v/>
      </c>
      <c r="I811" s="23">
        <f>pr_dep*I805</f>
        <v/>
      </c>
      <c r="J811" s="23">
        <f>pr_dep*J805</f>
        <v/>
      </c>
      <c r="K811" s="23">
        <f>pr_dep*K805</f>
        <v/>
      </c>
      <c r="L811" s="23">
        <f>pr_dep*L805</f>
        <v/>
      </c>
      <c r="M811" s="23">
        <f>pr_dep*M805</f>
        <v/>
      </c>
      <c r="N811" s="23">
        <f>pr_dep*N805</f>
        <v/>
      </c>
    </row>
    <row r="812">
      <c r="B812" s="2" t="inlineStr">
        <is>
          <t>Other taxes</t>
        </is>
      </c>
      <c r="C812" s="5" t="inlineStr">
        <is>
          <t>$ million</t>
        </is>
      </c>
      <c r="E812" s="23">
        <f>pr_ptax*E805</f>
        <v/>
      </c>
      <c r="F812" s="23">
        <f>pr_ptax*F805</f>
        <v/>
      </c>
      <c r="G812" s="23">
        <f>pr_ptax*G805</f>
        <v/>
      </c>
      <c r="H812" s="23">
        <f>pr_ptax*H805</f>
        <v/>
      </c>
      <c r="I812" s="23">
        <f>pr_ptax*I805</f>
        <v/>
      </c>
      <c r="J812" s="23">
        <f>pr_ptax*J805</f>
        <v/>
      </c>
      <c r="K812" s="23">
        <f>pr_ptax*K805</f>
        <v/>
      </c>
      <c r="L812" s="23">
        <f>pr_ptax*L805</f>
        <v/>
      </c>
      <c r="M812" s="23">
        <f>pr_ptax*M805</f>
        <v/>
      </c>
      <c r="N812" s="23">
        <f>pr_ptax*N805</f>
        <v/>
      </c>
    </row>
    <row r="813">
      <c r="B813" s="2" t="inlineStr">
        <is>
          <t>O&amp;M (test year, known and measurable)</t>
        </is>
      </c>
      <c r="C813" s="5" t="inlineStr">
        <is>
          <t>$ million</t>
        </is>
      </c>
      <c r="E813" s="23">
        <f>E807*(1+pr_om_infl)*(1+pr_growth)</f>
        <v/>
      </c>
      <c r="F813" s="23">
        <f>F807*(1+pr_om_infl)*(1+pr_growth)</f>
        <v/>
      </c>
      <c r="G813" s="23">
        <f>G807*(1+pr_om_infl)*(1+pr_growth)</f>
        <v/>
      </c>
      <c r="H813" s="23">
        <f>H807*(1+pr_om_infl)*(1+pr_growth)</f>
        <v/>
      </c>
      <c r="I813" s="23">
        <f>I807*(1+pr_om_infl)*(1+pr_growth)</f>
        <v/>
      </c>
      <c r="J813" s="23">
        <f>J807*(1+pr_om_infl)*(1+pr_growth)</f>
        <v/>
      </c>
      <c r="K813" s="23">
        <f>K807*(1+pr_om_infl)*(1+pr_growth)</f>
        <v/>
      </c>
      <c r="L813" s="23">
        <f>L807*(1+pr_om_infl)*(1+pr_growth)</f>
        <v/>
      </c>
      <c r="M813" s="23">
        <f>M807*(1+pr_om_infl)*(1+pr_growth)</f>
        <v/>
      </c>
      <c r="N813" s="23">
        <f>N807*(1+pr_om_infl)*(1+pr_growth)</f>
        <v/>
      </c>
    </row>
    <row r="814">
      <c r="B814" s="2" t="inlineStr">
        <is>
          <t>Revenue requirement (test-year connections)</t>
        </is>
      </c>
      <c r="C814" s="5" t="inlineStr">
        <is>
          <t>$ million</t>
        </is>
      </c>
      <c r="E814" s="23">
        <f>SUM(E809:E813)</f>
        <v/>
      </c>
      <c r="F814" s="23">
        <f>SUM(F809:F813)</f>
        <v/>
      </c>
      <c r="G814" s="23">
        <f>SUM(G809:G813)</f>
        <v/>
      </c>
      <c r="H814" s="23">
        <f>SUM(H809:H813)</f>
        <v/>
      </c>
      <c r="I814" s="23">
        <f>SUM(I809:I813)</f>
        <v/>
      </c>
      <c r="J814" s="23">
        <f>SUM(J809:J813)</f>
        <v/>
      </c>
      <c r="K814" s="23">
        <f>SUM(K809:K813)</f>
        <v/>
      </c>
      <c r="L814" s="23">
        <f>SUM(L809:L813)</f>
        <v/>
      </c>
      <c r="M814" s="23">
        <f>SUM(M809:M813)</f>
        <v/>
      </c>
      <c r="N814" s="23">
        <f>SUM(N809:N813)</f>
        <v/>
      </c>
    </row>
    <row r="815">
      <c r="B815" s="2" t="inlineStr">
        <is>
          <t>Revenue requirement on effective-year connections</t>
        </is>
      </c>
      <c r="C815" s="5" t="inlineStr">
        <is>
          <t>$ million</t>
        </is>
      </c>
      <c r="E815" s="23">
        <f>E814*(1+pr_growth)</f>
        <v/>
      </c>
      <c r="F815" s="23">
        <f>F814*(1+pr_growth)</f>
        <v/>
      </c>
      <c r="G815" s="23">
        <f>G814*(1+pr_growth)</f>
        <v/>
      </c>
      <c r="H815" s="23">
        <f>H814*(1+pr_growth)</f>
        <v/>
      </c>
      <c r="I815" s="23">
        <f>I814*(1+pr_growth)</f>
        <v/>
      </c>
      <c r="J815" s="23">
        <f>J814*(1+pr_growth)</f>
        <v/>
      </c>
      <c r="K815" s="23">
        <f>K814*(1+pr_growth)</f>
        <v/>
      </c>
      <c r="L815" s="23">
        <f>L814*(1+pr_growth)</f>
        <v/>
      </c>
      <c r="M815" s="23">
        <f>M814*(1+pr_growth)</f>
        <v/>
      </c>
      <c r="N815" s="23">
        <f>N814*(1+pr_growth)</f>
        <v/>
      </c>
    </row>
    <row r="816">
      <c r="B816" s="2" t="inlineStr">
        <is>
          <t>Revenue at existing rates</t>
        </is>
      </c>
      <c r="C816" s="5" t="inlineStr">
        <is>
          <t>$ million</t>
        </is>
      </c>
      <c r="E816" s="23">
        <f>IF(E787=(pr_close+1),D822,D822*(1+pr_growth)*(1-pr_vol_share*IF(pr_decoupling=1,0,pr_usage))+D823+D825)</f>
        <v/>
      </c>
      <c r="F816" s="23">
        <f>IF(F787=(pr_close+1),E822,E822*(1+pr_growth)*(1-pr_vol_share*IF(pr_decoupling=1,0,pr_usage))+E823+E825)</f>
        <v/>
      </c>
      <c r="G816" s="23">
        <f>IF(G787=(pr_close+1),F822,F822*(1+pr_growth)*(1-pr_vol_share*IF(pr_decoupling=1,0,pr_usage))+F823+F825)</f>
        <v/>
      </c>
      <c r="H816" s="23">
        <f>IF(H787=(pr_close+1),G822,G822*(1+pr_growth)*(1-pr_vol_share*IF(pr_decoupling=1,0,pr_usage))+G823+G825)</f>
        <v/>
      </c>
      <c r="I816" s="23">
        <f>IF(I787=(pr_close+1),H822,H822*(1+pr_growth)*(1-pr_vol_share*IF(pr_decoupling=1,0,pr_usage))+H823+H825)</f>
        <v/>
      </c>
      <c r="J816" s="23">
        <f>IF(J787=(pr_close+1),I822,I822*(1+pr_growth)*(1-pr_vol_share*IF(pr_decoupling=1,0,pr_usage))+I823+I825)</f>
        <v/>
      </c>
      <c r="K816" s="23">
        <f>IF(K787=(pr_close+1),J822,J822*(1+pr_growth)*(1-pr_vol_share*IF(pr_decoupling=1,0,pr_usage))+J823+J825)</f>
        <v/>
      </c>
      <c r="L816" s="23">
        <f>IF(L787=(pr_close+1),K822,K822*(1+pr_growth)*(1-pr_vol_share*IF(pr_decoupling=1,0,pr_usage))+K823+K825)</f>
        <v/>
      </c>
      <c r="M816" s="23">
        <f>IF(M787=(pr_close+1),L822,L822*(1+pr_growth)*(1-pr_vol_share*IF(pr_decoupling=1,0,pr_usage))+L823+L825)</f>
        <v/>
      </c>
      <c r="N816" s="23">
        <f>IF(N787=(pr_close+1),M822,M822*(1+pr_growth)*(1-pr_vol_share*IF(pr_decoupling=1,0,pr_usage))+M823+M825)</f>
        <v/>
      </c>
    </row>
    <row r="817">
      <c r="B817" s="2" t="inlineStr">
        <is>
          <t>Increase granted</t>
        </is>
      </c>
      <c r="C817" s="5" t="inlineStr">
        <is>
          <t>share</t>
        </is>
      </c>
      <c r="E817" s="20">
        <f>E815/E816-1</f>
        <v/>
      </c>
      <c r="F817" s="20">
        <f>F815/F816-1</f>
        <v/>
      </c>
      <c r="G817" s="20">
        <f>G815/G816-1</f>
        <v/>
      </c>
      <c r="H817" s="20">
        <f>H815/H816-1</f>
        <v/>
      </c>
      <c r="I817" s="20">
        <f>I815/I816-1</f>
        <v/>
      </c>
      <c r="J817" s="20">
        <f>J815/J816-1</f>
        <v/>
      </c>
      <c r="K817" s="20">
        <f>K815/K816-1</f>
        <v/>
      </c>
      <c r="L817" s="20">
        <f>L815/L816-1</f>
        <v/>
      </c>
      <c r="M817" s="20">
        <f>M815/M816-1</f>
        <v/>
      </c>
      <c r="N817" s="20">
        <f>N815/N816-1</f>
        <v/>
      </c>
    </row>
    <row r="818">
      <c r="B818" s="2" t="inlineStr">
        <is>
          <t>Revenue requirement requested (at the requested ROE)</t>
        </is>
      </c>
      <c r="C818" s="5" t="inlineStr">
        <is>
          <t>$ million</t>
        </is>
      </c>
      <c r="E818" s="23">
        <f>(pr_eq*pr_roe_ask+(1-pr_eq)*E806)*E805+pr_eq*pr_roe_ask*E805*pr_tax/(1-pr_tax)+E811+E812+E813</f>
        <v/>
      </c>
      <c r="F818" s="23">
        <f>(pr_eq*pr_roe_ask+(1-pr_eq)*F806)*F805+pr_eq*pr_roe_ask*F805*pr_tax/(1-pr_tax)+F811+F812+F813</f>
        <v/>
      </c>
      <c r="G818" s="23">
        <f>(pr_eq*pr_roe_ask+(1-pr_eq)*G806)*G805+pr_eq*pr_roe_ask*G805*pr_tax/(1-pr_tax)+G811+G812+G813</f>
        <v/>
      </c>
      <c r="H818" s="23">
        <f>(pr_eq*pr_roe_ask+(1-pr_eq)*H806)*H805+pr_eq*pr_roe_ask*H805*pr_tax/(1-pr_tax)+H811+H812+H813</f>
        <v/>
      </c>
      <c r="I818" s="23">
        <f>(pr_eq*pr_roe_ask+(1-pr_eq)*I806)*I805+pr_eq*pr_roe_ask*I805*pr_tax/(1-pr_tax)+I811+I812+I813</f>
        <v/>
      </c>
      <c r="J818" s="23">
        <f>(pr_eq*pr_roe_ask+(1-pr_eq)*J806)*J805+pr_eq*pr_roe_ask*J805*pr_tax/(1-pr_tax)+J811+J812+J813</f>
        <v/>
      </c>
      <c r="K818" s="23">
        <f>(pr_eq*pr_roe_ask+(1-pr_eq)*K806)*K805+pr_eq*pr_roe_ask*K805*pr_tax/(1-pr_tax)+K811+K812+K813</f>
        <v/>
      </c>
      <c r="L818" s="23">
        <f>(pr_eq*pr_roe_ask+(1-pr_eq)*L806)*L805+pr_eq*pr_roe_ask*L805*pr_tax/(1-pr_tax)+L811+L812+L813</f>
        <v/>
      </c>
      <c r="M818" s="23">
        <f>(pr_eq*pr_roe_ask+(1-pr_eq)*M806)*M805+pr_eq*pr_roe_ask*M805*pr_tax/(1-pr_tax)+M811+M812+M813</f>
        <v/>
      </c>
      <c r="N818" s="23">
        <f>(pr_eq*pr_roe_ask+(1-pr_eq)*N806)*N805+pr_eq*pr_roe_ask*N805*pr_tax/(1-pr_tax)+N811+N812+N813</f>
        <v/>
      </c>
    </row>
    <row r="819">
      <c r="B819" s="2" t="inlineStr">
        <is>
          <t>Increase requested</t>
        </is>
      </c>
      <c r="C819" s="5" t="inlineStr">
        <is>
          <t>share</t>
        </is>
      </c>
      <c r="E819" s="20">
        <f>E818*(1+pr_growth)/E816-1</f>
        <v/>
      </c>
      <c r="F819" s="20">
        <f>F818*(1+pr_growth)/F816-1</f>
        <v/>
      </c>
      <c r="G819" s="20">
        <f>G818*(1+pr_growth)/G816-1</f>
        <v/>
      </c>
      <c r="H819" s="20">
        <f>H818*(1+pr_growth)/H816-1</f>
        <v/>
      </c>
      <c r="I819" s="20">
        <f>I818*(1+pr_growth)/I816-1</f>
        <v/>
      </c>
      <c r="J819" s="20">
        <f>J818*(1+pr_growth)/J816-1</f>
        <v/>
      </c>
      <c r="K819" s="20">
        <f>K818*(1+pr_growth)/K816-1</f>
        <v/>
      </c>
      <c r="L819" s="20">
        <f>L818*(1+pr_growth)/L816-1</f>
        <v/>
      </c>
      <c r="M819" s="20">
        <f>M818*(1+pr_growth)/M816-1</f>
        <v/>
      </c>
      <c r="N819" s="20">
        <f>N818*(1+pr_growth)/N816-1</f>
        <v/>
      </c>
    </row>
    <row r="821">
      <c r="B821" s="6" t="inlineStr">
        <is>
          <t>Revenue ($ million)</t>
        </is>
      </c>
      <c r="C821" s="7" t="n"/>
      <c r="D821" s="7" t="n"/>
      <c r="E821" s="7" t="n"/>
      <c r="F821" s="7" t="n"/>
      <c r="G821" s="7" t="n"/>
      <c r="H821" s="7" t="n"/>
      <c r="I821" s="7" t="n"/>
      <c r="J821" s="7" t="n"/>
      <c r="K821" s="7" t="n"/>
      <c r="L821" s="7" t="n"/>
      <c r="M821" s="7" t="n"/>
      <c r="N821" s="7" t="n"/>
    </row>
    <row r="822">
      <c r="B822" s="2" t="inlineStr">
        <is>
          <t>Base revenue (rate case, or prior year x growth x volume erosion)</t>
        </is>
      </c>
      <c r="C822" s="5" t="inlineStr">
        <is>
          <t>$ million</t>
        </is>
      </c>
      <c r="D822" s="23">
        <f>pr_rev_2028/((1+pr_growth)*(1-pr_vol_share*IF(pr_decoupling=1,0,pr_usage)))</f>
        <v/>
      </c>
      <c r="E822" s="23">
        <f>IF(E802=1,E815,D822*(1+pr_growth)*(1-pr_vol_share*IF(pr_decoupling=1,0,pr_usage)))</f>
        <v/>
      </c>
      <c r="F822" s="23">
        <f>IF(F802=1,F815,E822*(1+pr_growth)*(1-pr_vol_share*IF(pr_decoupling=1,0,pr_usage)))</f>
        <v/>
      </c>
      <c r="G822" s="23">
        <f>IF(G802=1,G815,F822*(1+pr_growth)*(1-pr_vol_share*IF(pr_decoupling=1,0,pr_usage)))</f>
        <v/>
      </c>
      <c r="H822" s="23">
        <f>IF(H802=1,H815,G822*(1+pr_growth)*(1-pr_vol_share*IF(pr_decoupling=1,0,pr_usage)))</f>
        <v/>
      </c>
      <c r="I822" s="23">
        <f>IF(I802=1,I815,H822*(1+pr_growth)*(1-pr_vol_share*IF(pr_decoupling=1,0,pr_usage)))</f>
        <v/>
      </c>
      <c r="J822" s="23">
        <f>IF(J802=1,J815,I822*(1+pr_growth)*(1-pr_vol_share*IF(pr_decoupling=1,0,pr_usage)))</f>
        <v/>
      </c>
      <c r="K822" s="23">
        <f>IF(K802=1,K815,J822*(1+pr_growth)*(1-pr_vol_share*IF(pr_decoupling=1,0,pr_usage)))</f>
        <v/>
      </c>
      <c r="L822" s="23">
        <f>IF(L802=1,L815,K822*(1+pr_growth)*(1-pr_vol_share*IF(pr_decoupling=1,0,pr_usage)))</f>
        <v/>
      </c>
      <c r="M822" s="23">
        <f>IF(M802=1,M815,L822*(1+pr_growth)*(1-pr_vol_share*IF(pr_decoupling=1,0,pr_usage)))</f>
        <v/>
      </c>
      <c r="N822" s="23">
        <f>IF(N802=1,N815,M822*(1+pr_growth)*(1-pr_vol_share*IF(pr_decoupling=1,0,pr_usage)))</f>
        <v/>
      </c>
    </row>
    <row r="823">
      <c r="B823" s="2" t="inlineStr">
        <is>
          <t>Fennick revenue at its old rates (until the next rate case)</t>
        </is>
      </c>
      <c r="C823" s="5" t="inlineStr">
        <is>
          <t>$ million</t>
        </is>
      </c>
      <c r="E823" s="23">
        <f>IF(AND(pr_fen_on=1,E787&gt;pr_fen_year,SUMIFS($D$802:E$802,$D$787:E$787,"&gt;"&amp;pr_fen_year)=0),pr_fen_rev,0)</f>
        <v/>
      </c>
      <c r="F823" s="23">
        <f>IF(AND(pr_fen_on=1,F787&gt;pr_fen_year,SUMIFS($D$802:F$802,$D$787:F$787,"&gt;"&amp;pr_fen_year)=0),pr_fen_rev,0)</f>
        <v/>
      </c>
      <c r="G823" s="23">
        <f>IF(AND(pr_fen_on=1,G787&gt;pr_fen_year,SUMIFS($D$802:G$802,$D$787:G$787,"&gt;"&amp;pr_fen_year)=0),pr_fen_rev,0)</f>
        <v/>
      </c>
      <c r="H823" s="23">
        <f>IF(AND(pr_fen_on=1,H787&gt;pr_fen_year,SUMIFS($D$802:H$802,$D$787:H$787,"&gt;"&amp;pr_fen_year)=0),pr_fen_rev,0)</f>
        <v/>
      </c>
      <c r="I823" s="23">
        <f>IF(AND(pr_fen_on=1,I787&gt;pr_fen_year,SUMIFS($D$802:I$802,$D$787:I$787,"&gt;"&amp;pr_fen_year)=0),pr_fen_rev,0)</f>
        <v/>
      </c>
      <c r="J823" s="23">
        <f>IF(AND(pr_fen_on=1,J787&gt;pr_fen_year,SUMIFS($D$802:J$802,$D$787:J$787,"&gt;"&amp;pr_fen_year)=0),pr_fen_rev,0)</f>
        <v/>
      </c>
      <c r="K823" s="23">
        <f>IF(AND(pr_fen_on=1,K787&gt;pr_fen_year,SUMIFS($D$802:K$802,$D$787:K$787,"&gt;"&amp;pr_fen_year)=0),pr_fen_rev,0)</f>
        <v/>
      </c>
      <c r="L823" s="23">
        <f>IF(AND(pr_fen_on=1,L787&gt;pr_fen_year,SUMIFS($D$802:L$802,$D$787:L$787,"&gt;"&amp;pr_fen_year)=0),pr_fen_rev,0)</f>
        <v/>
      </c>
      <c r="M823" s="23">
        <f>IF(AND(pr_fen_on=1,M787&gt;pr_fen_year,SUMIFS($D$802:M$802,$D$787:M$787,"&gt;"&amp;pr_fen_year)=0),pr_fen_rev,0)</f>
        <v/>
      </c>
      <c r="N823" s="23">
        <f>IF(AND(pr_fen_on=1,N787&gt;pr_fen_year,SUMIFS($D$802:N$802,$D$787:N$787,"&gt;"&amp;pr_fen_year)=0),pr_fen_rev,0)</f>
        <v/>
      </c>
    </row>
    <row r="824">
      <c r="B824" s="2" t="inlineStr">
        <is>
          <t>DSIC pool: eligible plant since the latest test year</t>
        </is>
      </c>
      <c r="C824" s="5" t="inlineStr">
        <is>
          <t>$ million</t>
        </is>
      </c>
      <c r="E824" s="23">
        <f>IF(E787=(pr_close+1),0,SUMIFS($D$799:D$799,$D$787:D$787,"&gt;"&amp;E804))</f>
        <v/>
      </c>
      <c r="F824" s="23">
        <f>IF(F787=(pr_close+1),0,SUMIFS($D$799:E$799,$D$787:E$787,"&gt;"&amp;F804))</f>
        <v/>
      </c>
      <c r="G824" s="23">
        <f>IF(G787=(pr_close+1),0,SUMIFS($D$799:F$799,$D$787:F$787,"&gt;"&amp;G804))</f>
        <v/>
      </c>
      <c r="H824" s="23">
        <f>IF(H787=(pr_close+1),0,SUMIFS($D$799:G$799,$D$787:G$787,"&gt;"&amp;H804))</f>
        <v/>
      </c>
      <c r="I824" s="23">
        <f>IF(I787=(pr_close+1),0,SUMIFS($D$799:H$799,$D$787:H$787,"&gt;"&amp;I804))</f>
        <v/>
      </c>
      <c r="J824" s="23">
        <f>IF(J787=(pr_close+1),0,SUMIFS($D$799:I$799,$D$787:I$787,"&gt;"&amp;J804))</f>
        <v/>
      </c>
      <c r="K824" s="23">
        <f>IF(K787=(pr_close+1),0,SUMIFS($D$799:J$799,$D$787:J$787,"&gt;"&amp;K804))</f>
        <v/>
      </c>
      <c r="L824" s="23">
        <f>IF(L787=(pr_close+1),0,SUMIFS($D$799:K$799,$D$787:K$787,"&gt;"&amp;L804))</f>
        <v/>
      </c>
      <c r="M824" s="23">
        <f>IF(M787=(pr_close+1),0,SUMIFS($D$799:L$799,$D$787:L$787,"&gt;"&amp;M804))</f>
        <v/>
      </c>
      <c r="N824" s="23">
        <f>IF(N787=(pr_close+1),0,SUMIFS($D$799:M$799,$D$787:M$787,"&gt;"&amp;N804))</f>
        <v/>
      </c>
    </row>
    <row r="825">
      <c r="B825" s="2" t="inlineStr">
        <is>
          <t>DSIC surcharge (capped)</t>
        </is>
      </c>
      <c r="C825" s="5" t="inlineStr">
        <is>
          <t>$ million</t>
        </is>
      </c>
      <c r="E825" s="23">
        <f>IF(AND(pr_dsic=1,E787&gt;(pr_close+1)),MIN(pr_dsic_cap*E822,E824*((pr_eq*pr_roe+(1-pr_eq)*D848)+(pr_eq*pr_roe*pr_tax/(1-pr_tax))+pr_dep)),0)</f>
        <v/>
      </c>
      <c r="F825" s="23">
        <f>IF(AND(pr_dsic=1,F787&gt;(pr_close+1)),MIN(pr_dsic_cap*F822,F824*((pr_eq*pr_roe+(1-pr_eq)*E848)+(pr_eq*pr_roe*pr_tax/(1-pr_tax))+pr_dep)),0)</f>
        <v/>
      </c>
      <c r="G825" s="23">
        <f>IF(AND(pr_dsic=1,G787&gt;(pr_close+1)),MIN(pr_dsic_cap*G822,G824*((pr_eq*pr_roe+(1-pr_eq)*F848)+(pr_eq*pr_roe*pr_tax/(1-pr_tax))+pr_dep)),0)</f>
        <v/>
      </c>
      <c r="H825" s="23">
        <f>IF(AND(pr_dsic=1,H787&gt;(pr_close+1)),MIN(pr_dsic_cap*H822,H824*((pr_eq*pr_roe+(1-pr_eq)*G848)+(pr_eq*pr_roe*pr_tax/(1-pr_tax))+pr_dep)),0)</f>
        <v/>
      </c>
      <c r="I825" s="23">
        <f>IF(AND(pr_dsic=1,I787&gt;(pr_close+1)),MIN(pr_dsic_cap*I822,I824*((pr_eq*pr_roe+(1-pr_eq)*H848)+(pr_eq*pr_roe*pr_tax/(1-pr_tax))+pr_dep)),0)</f>
        <v/>
      </c>
      <c r="J825" s="23">
        <f>IF(AND(pr_dsic=1,J787&gt;(pr_close+1)),MIN(pr_dsic_cap*J822,J824*((pr_eq*pr_roe+(1-pr_eq)*I848)+(pr_eq*pr_roe*pr_tax/(1-pr_tax))+pr_dep)),0)</f>
        <v/>
      </c>
      <c r="K825" s="23">
        <f>IF(AND(pr_dsic=1,K787&gt;(pr_close+1)),MIN(pr_dsic_cap*K822,K824*((pr_eq*pr_roe+(1-pr_eq)*J848)+(pr_eq*pr_roe*pr_tax/(1-pr_tax))+pr_dep)),0)</f>
        <v/>
      </c>
      <c r="L825" s="23">
        <f>IF(AND(pr_dsic=1,L787&gt;(pr_close+1)),MIN(pr_dsic_cap*L822,L824*((pr_eq*pr_roe+(1-pr_eq)*K848)+(pr_eq*pr_roe*pr_tax/(1-pr_tax))+pr_dep)),0)</f>
        <v/>
      </c>
      <c r="M825" s="23">
        <f>IF(AND(pr_dsic=1,M787&gt;(pr_close+1)),MIN(pr_dsic_cap*M822,M824*((pr_eq*pr_roe+(1-pr_eq)*L848)+(pr_eq*pr_roe*pr_tax/(1-pr_tax))+pr_dep)),0)</f>
        <v/>
      </c>
      <c r="N825" s="23">
        <f>IF(AND(pr_dsic=1,N787&gt;(pr_close+1)),MIN(pr_dsic_cap*N822,N824*((pr_eq*pr_roe+(1-pr_eq)*M848)+(pr_eq*pr_roe*pr_tax/(1-pr_tax))+pr_dep)),0)</f>
        <v/>
      </c>
    </row>
    <row r="826">
      <c r="B826" s="3" t="inlineStr">
        <is>
          <t>Revenue</t>
        </is>
      </c>
      <c r="C826" s="5" t="inlineStr">
        <is>
          <t>$ million</t>
        </is>
      </c>
      <c r="E826" s="23">
        <f>E822+E823+E825</f>
        <v/>
      </c>
      <c r="F826" s="23">
        <f>F822+F823+F825</f>
        <v/>
      </c>
      <c r="G826" s="23">
        <f>G822+G823+G825</f>
        <v/>
      </c>
      <c r="H826" s="23">
        <f>H822+H823+H825</f>
        <v/>
      </c>
      <c r="I826" s="23">
        <f>I822+I823+I825</f>
        <v/>
      </c>
      <c r="J826" s="23">
        <f>J822+J823+J825</f>
        <v/>
      </c>
      <c r="K826" s="23">
        <f>K822+K823+K825</f>
        <v/>
      </c>
      <c r="L826" s="23">
        <f>L822+L823+L825</f>
        <v/>
      </c>
      <c r="M826" s="23">
        <f>M822+M823+M825</f>
        <v/>
      </c>
      <c r="N826" s="23">
        <f>N822+N823+N825</f>
        <v/>
      </c>
    </row>
    <row r="828">
      <c r="B828" s="6" t="inlineStr">
        <is>
          <t>Costs and income ($ million)</t>
        </is>
      </c>
      <c r="C828" s="7" t="n"/>
      <c r="D828" s="7" t="n"/>
      <c r="E828" s="7" t="n"/>
      <c r="F828" s="7" t="n"/>
      <c r="G828" s="7" t="n"/>
      <c r="H828" s="7" t="n"/>
      <c r="I828" s="7" t="n"/>
      <c r="J828" s="7" t="n"/>
      <c r="K828" s="7" t="n"/>
      <c r="L828" s="7" t="n"/>
      <c r="M828" s="7" t="n"/>
      <c r="N828" s="7" t="n"/>
    </row>
    <row r="829">
      <c r="B829" s="2" t="inlineStr">
        <is>
          <t>Operation and maintenance (with PFAS and Fennick)</t>
        </is>
      </c>
      <c r="C829" s="5" t="inlineStr">
        <is>
          <t>$ million</t>
        </is>
      </c>
      <c r="D829" s="23">
        <f>pr_om_2028/((1+pr_om_infl)*(1+pr_growth))</f>
        <v/>
      </c>
      <c r="E829" s="23">
        <f>pr_om_2028*((1+pr_om_infl)*(1+pr_growth))^E788+IF(E787&gt;=pr_pfas_om_y+Inputs!$C$241,pr_pfas_om*(1+pr_pfas_om_esc)^(E787-pr_pfas_om_y),0)+IF(AND(pr_fen_on=1,E787&gt;pr_fen_year),pr_fen_om*(1+pr_fen_esc)^(E787-pr_fen_year-1),0)</f>
        <v/>
      </c>
      <c r="F829" s="23">
        <f>pr_om_2028*((1+pr_om_infl)*(1+pr_growth))^F788+IF(F787&gt;=pr_pfas_om_y+Inputs!$C$241,pr_pfas_om*(1+pr_pfas_om_esc)^(F787-pr_pfas_om_y),0)+IF(AND(pr_fen_on=1,F787&gt;pr_fen_year),pr_fen_om*(1+pr_fen_esc)^(F787-pr_fen_year-1),0)</f>
        <v/>
      </c>
      <c r="G829" s="23">
        <f>pr_om_2028*((1+pr_om_infl)*(1+pr_growth))^G788+IF(G787&gt;=pr_pfas_om_y+Inputs!$C$241,pr_pfas_om*(1+pr_pfas_om_esc)^(G787-pr_pfas_om_y),0)+IF(AND(pr_fen_on=1,G787&gt;pr_fen_year),pr_fen_om*(1+pr_fen_esc)^(G787-pr_fen_year-1),0)</f>
        <v/>
      </c>
      <c r="H829" s="23">
        <f>pr_om_2028*((1+pr_om_infl)*(1+pr_growth))^H788+IF(H787&gt;=pr_pfas_om_y+Inputs!$C$241,pr_pfas_om*(1+pr_pfas_om_esc)^(H787-pr_pfas_om_y),0)+IF(AND(pr_fen_on=1,H787&gt;pr_fen_year),pr_fen_om*(1+pr_fen_esc)^(H787-pr_fen_year-1),0)</f>
        <v/>
      </c>
      <c r="I829" s="23">
        <f>pr_om_2028*((1+pr_om_infl)*(1+pr_growth))^I788+IF(I787&gt;=pr_pfas_om_y+Inputs!$C$241,pr_pfas_om*(1+pr_pfas_om_esc)^(I787-pr_pfas_om_y),0)+IF(AND(pr_fen_on=1,I787&gt;pr_fen_year),pr_fen_om*(1+pr_fen_esc)^(I787-pr_fen_year-1),0)</f>
        <v/>
      </c>
      <c r="J829" s="23">
        <f>pr_om_2028*((1+pr_om_infl)*(1+pr_growth))^J788+IF(J787&gt;=pr_pfas_om_y+Inputs!$C$241,pr_pfas_om*(1+pr_pfas_om_esc)^(J787-pr_pfas_om_y),0)+IF(AND(pr_fen_on=1,J787&gt;pr_fen_year),pr_fen_om*(1+pr_fen_esc)^(J787-pr_fen_year-1),0)</f>
        <v/>
      </c>
      <c r="K829" s="23">
        <f>pr_om_2028*((1+pr_om_infl)*(1+pr_growth))^K788+IF(K787&gt;=pr_pfas_om_y+Inputs!$C$241,pr_pfas_om*(1+pr_pfas_om_esc)^(K787-pr_pfas_om_y),0)+IF(AND(pr_fen_on=1,K787&gt;pr_fen_year),pr_fen_om*(1+pr_fen_esc)^(K787-pr_fen_year-1),0)</f>
        <v/>
      </c>
      <c r="L829" s="23">
        <f>pr_om_2028*((1+pr_om_infl)*(1+pr_growth))^L788+IF(L787&gt;=pr_pfas_om_y+Inputs!$C$241,pr_pfas_om*(1+pr_pfas_om_esc)^(L787-pr_pfas_om_y),0)+IF(AND(pr_fen_on=1,L787&gt;pr_fen_year),pr_fen_om*(1+pr_fen_esc)^(L787-pr_fen_year-1),0)</f>
        <v/>
      </c>
      <c r="M829" s="23">
        <f>pr_om_2028*((1+pr_om_infl)*(1+pr_growth))^M788+IF(M787&gt;=pr_pfas_om_y+Inputs!$C$241,pr_pfas_om*(1+pr_pfas_om_esc)^(M787-pr_pfas_om_y),0)+IF(AND(pr_fen_on=1,M787&gt;pr_fen_year),pr_fen_om*(1+pr_fen_esc)^(M787-pr_fen_year-1),0)</f>
        <v/>
      </c>
      <c r="N829" s="23">
        <f>pr_om_2028*((1+pr_om_infl)*(1+pr_growth))^N788+IF(N787&gt;=pr_pfas_om_y+Inputs!$C$241,pr_pfas_om*(1+pr_pfas_om_esc)^(N787-pr_pfas_om_y),0)+IF(AND(pr_fen_on=1,N787&gt;pr_fen_year),pr_fen_om*(1+pr_fen_esc)^(N787-pr_fen_year-1),0)</f>
        <v/>
      </c>
    </row>
    <row r="830">
      <c r="B830" s="2" t="inlineStr">
        <is>
          <t>Customer-side lead cost expensed</t>
        </is>
      </c>
      <c r="C830" s="5" t="inlineStr">
        <is>
          <t>$ million</t>
        </is>
      </c>
      <c r="E830" s="23">
        <f>pr_lead_exp*E796*pr_lead_cust</f>
        <v/>
      </c>
      <c r="F830" s="23">
        <f>pr_lead_exp*F796*pr_lead_cust</f>
        <v/>
      </c>
      <c r="G830" s="23">
        <f>pr_lead_exp*G796*pr_lead_cust</f>
        <v/>
      </c>
      <c r="H830" s="23">
        <f>pr_lead_exp*H796*pr_lead_cust</f>
        <v/>
      </c>
      <c r="I830" s="23">
        <f>pr_lead_exp*I796*pr_lead_cust</f>
        <v/>
      </c>
      <c r="J830" s="23">
        <f>pr_lead_exp*J796*pr_lead_cust</f>
        <v/>
      </c>
      <c r="K830" s="23">
        <f>pr_lead_exp*K796*pr_lead_cust</f>
        <v/>
      </c>
      <c r="L830" s="23">
        <f>pr_lead_exp*L796*pr_lead_cust</f>
        <v/>
      </c>
      <c r="M830" s="23">
        <f>pr_lead_exp*M796*pr_lead_cust</f>
        <v/>
      </c>
      <c r="N830" s="23">
        <f>pr_lead_exp*N796*pr_lead_cust</f>
        <v/>
      </c>
    </row>
    <row r="831">
      <c r="B831" s="2" t="inlineStr">
        <is>
          <t>Other taxes</t>
        </is>
      </c>
      <c r="C831" s="5" t="inlineStr">
        <is>
          <t>$ million</t>
        </is>
      </c>
      <c r="E831" s="23">
        <f>pr_ptax*E840</f>
        <v/>
      </c>
      <c r="F831" s="23">
        <f>pr_ptax*F840</f>
        <v/>
      </c>
      <c r="G831" s="23">
        <f>pr_ptax*G840</f>
        <v/>
      </c>
      <c r="H831" s="23">
        <f>pr_ptax*H840</f>
        <v/>
      </c>
      <c r="I831" s="23">
        <f>pr_ptax*I840</f>
        <v/>
      </c>
      <c r="J831" s="23">
        <f>pr_ptax*J840</f>
        <v/>
      </c>
      <c r="K831" s="23">
        <f>pr_ptax*K840</f>
        <v/>
      </c>
      <c r="L831" s="23">
        <f>pr_ptax*L840</f>
        <v/>
      </c>
      <c r="M831" s="23">
        <f>pr_ptax*M840</f>
        <v/>
      </c>
      <c r="N831" s="23">
        <f>pr_ptax*N840</f>
        <v/>
      </c>
    </row>
    <row r="832">
      <c r="B832" s="2" t="inlineStr">
        <is>
          <t>EBITDA</t>
        </is>
      </c>
      <c r="C832" s="5" t="inlineStr">
        <is>
          <t>$ million</t>
        </is>
      </c>
      <c r="E832" s="23">
        <f>E826-E829-E831-E830</f>
        <v/>
      </c>
      <c r="F832" s="23">
        <f>F826-F829-F831-F830</f>
        <v/>
      </c>
      <c r="G832" s="23">
        <f>G826-G829-G831-G830</f>
        <v/>
      </c>
      <c r="H832" s="23">
        <f>H826-H829-H831-H830</f>
        <v/>
      </c>
      <c r="I832" s="23">
        <f>I826-I829-I831-I830</f>
        <v/>
      </c>
      <c r="J832" s="23">
        <f>J826-J829-J831-J830</f>
        <v/>
      </c>
      <c r="K832" s="23">
        <f>K826-K829-K831-K830</f>
        <v/>
      </c>
      <c r="L832" s="23">
        <f>L826-L829-L831-L830</f>
        <v/>
      </c>
      <c r="M832" s="23">
        <f>M826-M829-M831-M830</f>
        <v/>
      </c>
      <c r="N832" s="23">
        <f>N826-N829-N831-N830</f>
        <v/>
      </c>
    </row>
    <row r="833">
      <c r="B833" s="2" t="inlineStr">
        <is>
          <t>Depreciation</t>
        </is>
      </c>
      <c r="C833" s="5" t="inlineStr">
        <is>
          <t>$ million</t>
        </is>
      </c>
      <c r="E833" s="23">
        <f>pr_dep*E840</f>
        <v/>
      </c>
      <c r="F833" s="23">
        <f>pr_dep*F840</f>
        <v/>
      </c>
      <c r="G833" s="23">
        <f>pr_dep*G840</f>
        <v/>
      </c>
      <c r="H833" s="23">
        <f>pr_dep*H840</f>
        <v/>
      </c>
      <c r="I833" s="23">
        <f>pr_dep*I840</f>
        <v/>
      </c>
      <c r="J833" s="23">
        <f>pr_dep*J840</f>
        <v/>
      </c>
      <c r="K833" s="23">
        <f>pr_dep*K840</f>
        <v/>
      </c>
      <c r="L833" s="23">
        <f>pr_dep*L840</f>
        <v/>
      </c>
      <c r="M833" s="23">
        <f>pr_dep*M840</f>
        <v/>
      </c>
      <c r="N833" s="23">
        <f>pr_dep*N840</f>
        <v/>
      </c>
    </row>
    <row r="834">
      <c r="B834" s="2" t="inlineStr">
        <is>
          <t>Interest (average of opening and closing debt)</t>
        </is>
      </c>
      <c r="C834" s="5" t="inlineStr">
        <is>
          <t>$ million</t>
        </is>
      </c>
      <c r="E834" s="23">
        <f>0.5*(D846*D848+E846*E848)</f>
        <v/>
      </c>
      <c r="F834" s="23">
        <f>0.5*(E846*E848+F846*F848)</f>
        <v/>
      </c>
      <c r="G834" s="23">
        <f>0.5*(F846*F848+G846*G848)</f>
        <v/>
      </c>
      <c r="H834" s="23">
        <f>0.5*(G846*G848+H846*H848)</f>
        <v/>
      </c>
      <c r="I834" s="23">
        <f>0.5*(H846*H848+I846*I848)</f>
        <v/>
      </c>
      <c r="J834" s="23">
        <f>0.5*(I846*I848+J846*J848)</f>
        <v/>
      </c>
      <c r="K834" s="23">
        <f>0.5*(J846*J848+K846*K848)</f>
        <v/>
      </c>
      <c r="L834" s="23">
        <f>0.5*(K846*K848+L846*L848)</f>
        <v/>
      </c>
      <c r="M834" s="23">
        <f>0.5*(L846*L848+M846*M848)</f>
        <v/>
      </c>
      <c r="N834" s="23">
        <f>0.5*(M846*M848+N846*N848)</f>
        <v/>
      </c>
    </row>
    <row r="835">
      <c r="B835" s="2" t="inlineStr">
        <is>
          <t>Income before tax</t>
        </is>
      </c>
      <c r="C835" s="5" t="inlineStr">
        <is>
          <t>$ million</t>
        </is>
      </c>
      <c r="E835" s="23">
        <f>E832-E833-E834</f>
        <v/>
      </c>
      <c r="F835" s="23">
        <f>F832-F833-F834</f>
        <v/>
      </c>
      <c r="G835" s="23">
        <f>G832-G833-G834</f>
        <v/>
      </c>
      <c r="H835" s="23">
        <f>H832-H833-H834</f>
        <v/>
      </c>
      <c r="I835" s="23">
        <f>I832-I833-I834</f>
        <v/>
      </c>
      <c r="J835" s="23">
        <f>J832-J833-J834</f>
        <v/>
      </c>
      <c r="K835" s="23">
        <f>K832-K833-K834</f>
        <v/>
      </c>
      <c r="L835" s="23">
        <f>L832-L833-L834</f>
        <v/>
      </c>
      <c r="M835" s="23">
        <f>M832-M833-M834</f>
        <v/>
      </c>
      <c r="N835" s="23">
        <f>N832-N833-N834</f>
        <v/>
      </c>
    </row>
    <row r="836">
      <c r="B836" s="2" t="inlineStr">
        <is>
          <t>Income tax</t>
        </is>
      </c>
      <c r="C836" s="5" t="inlineStr">
        <is>
          <t>$ million</t>
        </is>
      </c>
      <c r="E836" s="23">
        <f>pr_tax*E835</f>
        <v/>
      </c>
      <c r="F836" s="23">
        <f>pr_tax*F835</f>
        <v/>
      </c>
      <c r="G836" s="23">
        <f>pr_tax*G835</f>
        <v/>
      </c>
      <c r="H836" s="23">
        <f>pr_tax*H835</f>
        <v/>
      </c>
      <c r="I836" s="23">
        <f>pr_tax*I835</f>
        <v/>
      </c>
      <c r="J836" s="23">
        <f>pr_tax*J835</f>
        <v/>
      </c>
      <c r="K836" s="23">
        <f>pr_tax*K835</f>
        <v/>
      </c>
      <c r="L836" s="23">
        <f>pr_tax*L835</f>
        <v/>
      </c>
      <c r="M836" s="23">
        <f>pr_tax*M835</f>
        <v/>
      </c>
      <c r="N836" s="23">
        <f>pr_tax*N835</f>
        <v/>
      </c>
    </row>
    <row r="837">
      <c r="B837" s="3" t="inlineStr">
        <is>
          <t>Net income</t>
        </is>
      </c>
      <c r="C837" s="5" t="inlineStr">
        <is>
          <t>$ million</t>
        </is>
      </c>
      <c r="E837" s="23">
        <f>E835-E836</f>
        <v/>
      </c>
      <c r="F837" s="23">
        <f>F835-F836</f>
        <v/>
      </c>
      <c r="G837" s="23">
        <f>G835-G836</f>
        <v/>
      </c>
      <c r="H837" s="23">
        <f>H835-H836</f>
        <v/>
      </c>
      <c r="I837" s="23">
        <f>I835-I836</f>
        <v/>
      </c>
      <c r="J837" s="23">
        <f>J835-J836</f>
        <v/>
      </c>
      <c r="K837" s="23">
        <f>K835-K836</f>
        <v/>
      </c>
      <c r="L837" s="23">
        <f>L835-L836</f>
        <v/>
      </c>
      <c r="M837" s="23">
        <f>M835-M836</f>
        <v/>
      </c>
      <c r="N837" s="23">
        <f>N835-N836</f>
        <v/>
      </c>
    </row>
    <row r="839">
      <c r="B839" s="6" t="inlineStr">
        <is>
          <t>Rate base and debt ($ million)</t>
        </is>
      </c>
      <c r="C839" s="7" t="n"/>
      <c r="D839" s="7" t="n"/>
      <c r="E839" s="7" t="n"/>
      <c r="F839" s="7" t="n"/>
      <c r="G839" s="7" t="n"/>
      <c r="H839" s="7" t="n"/>
      <c r="I839" s="7" t="n"/>
      <c r="J839" s="7" t="n"/>
      <c r="K839" s="7" t="n"/>
      <c r="L839" s="7" t="n"/>
      <c r="M839" s="7" t="n"/>
      <c r="N839" s="7" t="n"/>
    </row>
    <row r="840">
      <c r="B840" s="2" t="inlineStr">
        <is>
          <t>Opening rate base</t>
        </is>
      </c>
      <c r="C840" s="5" t="inlineStr">
        <is>
          <t>$ million</t>
        </is>
      </c>
      <c r="E840" s="23">
        <f>D844</f>
        <v/>
      </c>
      <c r="F840" s="23">
        <f>E844</f>
        <v/>
      </c>
      <c r="G840" s="23">
        <f>F844</f>
        <v/>
      </c>
      <c r="H840" s="23">
        <f>G844</f>
        <v/>
      </c>
      <c r="I840" s="23">
        <f>H844</f>
        <v/>
      </c>
      <c r="J840" s="23">
        <f>I844</f>
        <v/>
      </c>
      <c r="K840" s="23">
        <f>J844</f>
        <v/>
      </c>
      <c r="L840" s="23">
        <f>K844</f>
        <v/>
      </c>
      <c r="M840" s="23">
        <f>L844</f>
        <v/>
      </c>
      <c r="N840" s="23">
        <f>M844</f>
        <v/>
      </c>
    </row>
    <row r="841">
      <c r="B841" s="2" t="inlineStr">
        <is>
          <t>Spending disallowed (never in rate base)</t>
        </is>
      </c>
      <c r="C841" s="5" t="inlineStr">
        <is>
          <t>$ million</t>
        </is>
      </c>
      <c r="E841" s="23">
        <f>pr_disallow*(E795+E796-E830)</f>
        <v/>
      </c>
      <c r="F841" s="23">
        <f>pr_disallow*(F795+F796-F830)</f>
        <v/>
      </c>
      <c r="G841" s="23">
        <f>pr_disallow*(G795+G796-G830)</f>
        <v/>
      </c>
      <c r="H841" s="23">
        <f>pr_disallow*(H795+H796-H830)</f>
        <v/>
      </c>
      <c r="I841" s="23">
        <f>pr_disallow*(I795+I796-I830)</f>
        <v/>
      </c>
      <c r="J841" s="23">
        <f>pr_disallow*(J795+J796-J830)</f>
        <v/>
      </c>
      <c r="K841" s="23">
        <f>pr_disallow*(K795+K796-K830)</f>
        <v/>
      </c>
      <c r="L841" s="23">
        <f>pr_disallow*(L795+L796-L830)</f>
        <v/>
      </c>
      <c r="M841" s="23">
        <f>pr_disallow*(M795+M796-M830)</f>
        <v/>
      </c>
      <c r="N841" s="23">
        <f>pr_disallow*(N795+N796-N830)</f>
        <v/>
      </c>
    </row>
    <row r="842">
      <c r="B842" s="2" t="inlineStr">
        <is>
          <t>Acquisitions (Fennick at its price)</t>
        </is>
      </c>
      <c r="C842" s="5" t="inlineStr">
        <is>
          <t>$ million</t>
        </is>
      </c>
      <c r="E842" s="23">
        <f>IF(AND(pr_fen_on=1,E787=pr_fen_year),pr_fen_price,0)</f>
        <v/>
      </c>
      <c r="F842" s="23">
        <f>IF(AND(pr_fen_on=1,F787=pr_fen_year),pr_fen_price,0)</f>
        <v/>
      </c>
      <c r="G842" s="23">
        <f>IF(AND(pr_fen_on=1,G787=pr_fen_year),pr_fen_price,0)</f>
        <v/>
      </c>
      <c r="H842" s="23">
        <f>IF(AND(pr_fen_on=1,H787=pr_fen_year),pr_fen_price,0)</f>
        <v/>
      </c>
      <c r="I842" s="23">
        <f>IF(AND(pr_fen_on=1,I787=pr_fen_year),pr_fen_price,0)</f>
        <v/>
      </c>
      <c r="J842" s="23">
        <f>IF(AND(pr_fen_on=1,J787=pr_fen_year),pr_fen_price,0)</f>
        <v/>
      </c>
      <c r="K842" s="23">
        <f>IF(AND(pr_fen_on=1,K787=pr_fen_year),pr_fen_price,0)</f>
        <v/>
      </c>
      <c r="L842" s="23">
        <f>IF(AND(pr_fen_on=1,L787=pr_fen_year),pr_fen_price,0)</f>
        <v/>
      </c>
      <c r="M842" s="23">
        <f>IF(AND(pr_fen_on=1,M787=pr_fen_year),pr_fen_price,0)</f>
        <v/>
      </c>
      <c r="N842" s="23">
        <f>IF(AND(pr_fen_on=1,N787=pr_fen_year),pr_fen_price,0)</f>
        <v/>
      </c>
    </row>
    <row r="843">
      <c r="B843" s="2" t="inlineStr">
        <is>
          <t>Settlement credited against rate base</t>
        </is>
      </c>
      <c r="C843" s="5" t="inlineStr">
        <is>
          <t>$ million</t>
        </is>
      </c>
      <c r="E843" s="23">
        <f>IF(E787=pr_settle_y,pr_settle,0)</f>
        <v/>
      </c>
      <c r="F843" s="23">
        <f>IF(F787=pr_settle_y,pr_settle,0)</f>
        <v/>
      </c>
      <c r="G843" s="23">
        <f>IF(G787=pr_settle_y,pr_settle,0)</f>
        <v/>
      </c>
      <c r="H843" s="23">
        <f>IF(H787=pr_settle_y,pr_settle,0)</f>
        <v/>
      </c>
      <c r="I843" s="23">
        <f>IF(I787=pr_settle_y,pr_settle,0)</f>
        <v/>
      </c>
      <c r="J843" s="23">
        <f>IF(J787=pr_settle_y,pr_settle,0)</f>
        <v/>
      </c>
      <c r="K843" s="23">
        <f>IF(K787=pr_settle_y,pr_settle,0)</f>
        <v/>
      </c>
      <c r="L843" s="23">
        <f>IF(L787=pr_settle_y,pr_settle,0)</f>
        <v/>
      </c>
      <c r="M843" s="23">
        <f>IF(M787=pr_settle_y,pr_settle,0)</f>
        <v/>
      </c>
      <c r="N843" s="23">
        <f>IF(N787=pr_settle_y,pr_settle,0)</f>
        <v/>
      </c>
    </row>
    <row r="844">
      <c r="B844" s="3" t="inlineStr">
        <is>
          <t>Closing rate base</t>
        </is>
      </c>
      <c r="C844" s="5" t="inlineStr">
        <is>
          <t>$ million</t>
        </is>
      </c>
      <c r="D844" s="23">
        <f>pr_rb0</f>
        <v/>
      </c>
      <c r="E844" s="23">
        <f>E840+E798-E830-E841+E842-E833-E843</f>
        <v/>
      </c>
      <c r="F844" s="23">
        <f>F840+F798-F830-F841+F842-F833-F843</f>
        <v/>
      </c>
      <c r="G844" s="23">
        <f>G840+G798-G830-G841+G842-G833-G843</f>
        <v/>
      </c>
      <c r="H844" s="23">
        <f>H840+H798-H830-H841+H842-H833-H843</f>
        <v/>
      </c>
      <c r="I844" s="23">
        <f>I840+I798-I830-I841+I842-I833-I843</f>
        <v/>
      </c>
      <c r="J844" s="23">
        <f>J840+J798-J830-J841+J842-J833-J843</f>
        <v/>
      </c>
      <c r="K844" s="23">
        <f>K840+K798-K830-K841+K842-K833-K843</f>
        <v/>
      </c>
      <c r="L844" s="23">
        <f>L840+L798-L830-L841+L842-L833-L843</f>
        <v/>
      </c>
      <c r="M844" s="23">
        <f>M840+M798-M830-M841+M842-M833-M843</f>
        <v/>
      </c>
      <c r="N844" s="23">
        <f>N840+N798-N830-N841+N842-N833-N843</f>
        <v/>
      </c>
    </row>
    <row r="845">
      <c r="B845" s="2" t="inlineStr">
        <is>
          <t>Original bonds outstanding</t>
        </is>
      </c>
      <c r="C845" s="5" t="inlineStr">
        <is>
          <t>$ million</t>
        </is>
      </c>
      <c r="D845" s="23">
        <f>(1-pr_eq)*pr_rb0</f>
        <v/>
      </c>
      <c r="E845" s="23">
        <f>MAX(0,D845-pr_amort*(1-pr_eq)*pr_rb0)</f>
        <v/>
      </c>
      <c r="F845" s="23">
        <f>MAX(0,E845-pr_amort*(1-pr_eq)*pr_rb0)</f>
        <v/>
      </c>
      <c r="G845" s="23">
        <f>MAX(0,F845-pr_amort*(1-pr_eq)*pr_rb0)</f>
        <v/>
      </c>
      <c r="H845" s="23">
        <f>MAX(0,G845-pr_amort*(1-pr_eq)*pr_rb0)</f>
        <v/>
      </c>
      <c r="I845" s="23">
        <f>MAX(0,H845-pr_amort*(1-pr_eq)*pr_rb0)</f>
        <v/>
      </c>
      <c r="J845" s="23">
        <f>MAX(0,I845-pr_amort*(1-pr_eq)*pr_rb0)</f>
        <v/>
      </c>
      <c r="K845" s="23">
        <f>MAX(0,J845-pr_amort*(1-pr_eq)*pr_rb0)</f>
        <v/>
      </c>
      <c r="L845" s="23">
        <f>MAX(0,K845-pr_amort*(1-pr_eq)*pr_rb0)</f>
        <v/>
      </c>
      <c r="M845" s="23">
        <f>MAX(0,L845-pr_amort*(1-pr_eq)*pr_rb0)</f>
        <v/>
      </c>
      <c r="N845" s="23">
        <f>MAX(0,M845-pr_amort*(1-pr_eq)*pr_rb0)</f>
        <v/>
      </c>
    </row>
    <row r="846">
      <c r="B846" s="2" t="inlineStr">
        <is>
          <t>Operating company debt (debt share of rate base)</t>
        </is>
      </c>
      <c r="C846" s="5" t="inlineStr">
        <is>
          <t>$ million</t>
        </is>
      </c>
      <c r="D846" s="23">
        <f>(1-pr_eq)*D844</f>
        <v/>
      </c>
      <c r="E846" s="23">
        <f>(1-pr_eq)*E844</f>
        <v/>
      </c>
      <c r="F846" s="23">
        <f>(1-pr_eq)*F844</f>
        <v/>
      </c>
      <c r="G846" s="23">
        <f>(1-pr_eq)*G844</f>
        <v/>
      </c>
      <c r="H846" s="23">
        <f>(1-pr_eq)*H844</f>
        <v/>
      </c>
      <c r="I846" s="23">
        <f>(1-pr_eq)*I844</f>
        <v/>
      </c>
      <c r="J846" s="23">
        <f>(1-pr_eq)*J844</f>
        <v/>
      </c>
      <c r="K846" s="23">
        <f>(1-pr_eq)*K844</f>
        <v/>
      </c>
      <c r="L846" s="23">
        <f>(1-pr_eq)*L844</f>
        <v/>
      </c>
      <c r="M846" s="23">
        <f>(1-pr_eq)*M844</f>
        <v/>
      </c>
      <c r="N846" s="23">
        <f>(1-pr_eq)*N844</f>
        <v/>
      </c>
    </row>
    <row r="847">
      <c r="B847" s="2" t="inlineStr">
        <is>
          <t>New bonds outstanding</t>
        </is>
      </c>
      <c r="C847" s="5" t="inlineStr">
        <is>
          <t>$ million</t>
        </is>
      </c>
      <c r="D847" s="23">
        <f>D846-D845</f>
        <v/>
      </c>
      <c r="E847" s="23">
        <f>E846-E845</f>
        <v/>
      </c>
      <c r="F847" s="23">
        <f>F846-F845</f>
        <v/>
      </c>
      <c r="G847" s="23">
        <f>G846-G845</f>
        <v/>
      </c>
      <c r="H847" s="23">
        <f>H846-H845</f>
        <v/>
      </c>
      <c r="I847" s="23">
        <f>I846-I845</f>
        <v/>
      </c>
      <c r="J847" s="23">
        <f>J846-J845</f>
        <v/>
      </c>
      <c r="K847" s="23">
        <f>K846-K845</f>
        <v/>
      </c>
      <c r="L847" s="23">
        <f>L846-L845</f>
        <v/>
      </c>
      <c r="M847" s="23">
        <f>M846-M845</f>
        <v/>
      </c>
      <c r="N847" s="23">
        <f>N846-N845</f>
        <v/>
      </c>
    </row>
    <row r="848">
      <c r="B848" s="2" t="inlineStr">
        <is>
          <t>Embedded cost of debt at year end</t>
        </is>
      </c>
      <c r="C848" s="5" t="inlineStr">
        <is>
          <t>rate</t>
        </is>
      </c>
      <c r="D848" s="27">
        <f>pr_kd_old</f>
        <v/>
      </c>
      <c r="E848" s="27">
        <f>(E845*pr_kd_old+E847*pr_kd_new)/E846</f>
        <v/>
      </c>
      <c r="F848" s="27">
        <f>(F845*pr_kd_old+F847*pr_kd_new)/F846</f>
        <v/>
      </c>
      <c r="G848" s="27">
        <f>(G845*pr_kd_old+G847*pr_kd_new)/G846</f>
        <v/>
      </c>
      <c r="H848" s="27">
        <f>(H845*pr_kd_old+H847*pr_kd_new)/H846</f>
        <v/>
      </c>
      <c r="I848" s="27">
        <f>(I845*pr_kd_old+I847*pr_kd_new)/I846</f>
        <v/>
      </c>
      <c r="J848" s="27">
        <f>(J845*pr_kd_old+J847*pr_kd_new)/J846</f>
        <v/>
      </c>
      <c r="K848" s="27">
        <f>(K845*pr_kd_old+K847*pr_kd_new)/K846</f>
        <v/>
      </c>
      <c r="L848" s="27">
        <f>(L845*pr_kd_old+L847*pr_kd_new)/L846</f>
        <v/>
      </c>
      <c r="M848" s="27">
        <f>(M845*pr_kd_old+M847*pr_kd_new)/M846</f>
        <v/>
      </c>
      <c r="N848" s="27">
        <f>(N845*pr_kd_old+N847*pr_kd_new)/N846</f>
        <v/>
      </c>
    </row>
    <row r="850">
      <c r="B850" s="6" t="inlineStr">
        <is>
          <t>Returns and cash ($ million)</t>
        </is>
      </c>
      <c r="C850" s="7" t="n"/>
      <c r="D850" s="7" t="n"/>
      <c r="E850" s="7" t="n"/>
      <c r="F850" s="7" t="n"/>
      <c r="G850" s="7" t="n"/>
      <c r="H850" s="7" t="n"/>
      <c r="I850" s="7" t="n"/>
      <c r="J850" s="7" t="n"/>
      <c r="K850" s="7" t="n"/>
      <c r="L850" s="7" t="n"/>
      <c r="M850" s="7" t="n"/>
      <c r="N850" s="7" t="n"/>
    </row>
    <row r="851">
      <c r="B851" s="2" t="inlineStr">
        <is>
          <t>Average equity share of rate base</t>
        </is>
      </c>
      <c r="C851" s="5" t="inlineStr">
        <is>
          <t>$ million</t>
        </is>
      </c>
      <c r="E851" s="23">
        <f>pr_eq*0.5*(E840+E844)</f>
        <v/>
      </c>
      <c r="F851" s="23">
        <f>pr_eq*0.5*(F840+F844)</f>
        <v/>
      </c>
      <c r="G851" s="23">
        <f>pr_eq*0.5*(G840+G844)</f>
        <v/>
      </c>
      <c r="H851" s="23">
        <f>pr_eq*0.5*(H840+H844)</f>
        <v/>
      </c>
      <c r="I851" s="23">
        <f>pr_eq*0.5*(I840+I844)</f>
        <v/>
      </c>
      <c r="J851" s="23">
        <f>pr_eq*0.5*(J840+J844)</f>
        <v/>
      </c>
      <c r="K851" s="23">
        <f>pr_eq*0.5*(K840+K844)</f>
        <v/>
      </c>
      <c r="L851" s="23">
        <f>pr_eq*0.5*(L840+L844)</f>
        <v/>
      </c>
      <c r="M851" s="23">
        <f>pr_eq*0.5*(M840+M844)</f>
        <v/>
      </c>
      <c r="N851" s="23">
        <f>pr_eq*0.5*(N840+N844)</f>
        <v/>
      </c>
    </row>
    <row r="852">
      <c r="B852" s="2" t="inlineStr">
        <is>
          <t>Earned return on equity</t>
        </is>
      </c>
      <c r="C852" s="5" t="inlineStr">
        <is>
          <t>rate</t>
        </is>
      </c>
      <c r="E852" s="27">
        <f>E837/E851</f>
        <v/>
      </c>
      <c r="F852" s="27">
        <f>F837/F851</f>
        <v/>
      </c>
      <c r="G852" s="27">
        <f>G837/G851</f>
        <v/>
      </c>
      <c r="H852" s="27">
        <f>H837/H851</f>
        <v/>
      </c>
      <c r="I852" s="27">
        <f>I837/I851</f>
        <v/>
      </c>
      <c r="J852" s="27">
        <f>J837/J851</f>
        <v/>
      </c>
      <c r="K852" s="27">
        <f>K837/K851</f>
        <v/>
      </c>
      <c r="L852" s="27">
        <f>L837/L851</f>
        <v/>
      </c>
      <c r="M852" s="27">
        <f>M837/M851</f>
        <v/>
      </c>
      <c r="N852" s="27">
        <f>N837/N851</f>
        <v/>
      </c>
    </row>
    <row r="853">
      <c r="B853" s="2" t="inlineStr">
        <is>
          <t>Authorized return on equity</t>
        </is>
      </c>
      <c r="C853" s="5" t="inlineStr">
        <is>
          <t>rate</t>
        </is>
      </c>
      <c r="E853" s="27">
        <f>pr_roe</f>
        <v/>
      </c>
      <c r="F853" s="27">
        <f>pr_roe</f>
        <v/>
      </c>
      <c r="G853" s="27">
        <f>pr_roe</f>
        <v/>
      </c>
      <c r="H853" s="27">
        <f>pr_roe</f>
        <v/>
      </c>
      <c r="I853" s="27">
        <f>pr_roe</f>
        <v/>
      </c>
      <c r="J853" s="27">
        <f>pr_roe</f>
        <v/>
      </c>
      <c r="K853" s="27">
        <f>pr_roe</f>
        <v/>
      </c>
      <c r="L853" s="27">
        <f>pr_roe</f>
        <v/>
      </c>
      <c r="M853" s="27">
        <f>pr_roe</f>
        <v/>
      </c>
      <c r="N853" s="27">
        <f>pr_roe</f>
        <v/>
      </c>
    </row>
    <row r="854">
      <c r="B854" s="3" t="inlineStr">
        <is>
          <t>Cash to the shareholder (FCFE)</t>
        </is>
      </c>
      <c r="C854" s="5" t="inlineStr">
        <is>
          <t>$ million</t>
        </is>
      </c>
      <c r="E854" s="23">
        <f>E837+E833-E798-E842+E843+E846-D846</f>
        <v/>
      </c>
      <c r="F854" s="23">
        <f>F837+F833-F798-F842+F843+F846-E846</f>
        <v/>
      </c>
      <c r="G854" s="23">
        <f>G837+G833-G798-G842+G843+G846-F846</f>
        <v/>
      </c>
      <c r="H854" s="23">
        <f>H837+H833-H798-H842+H843+H846-G846</f>
        <v/>
      </c>
      <c r="I854" s="23">
        <f>I837+I833-I798-I842+I843+I846-H846</f>
        <v/>
      </c>
      <c r="J854" s="23">
        <f>J837+J833-J798-J842+J843+J846-I846</f>
        <v/>
      </c>
      <c r="K854" s="23">
        <f>K837+K833-K798-K842+K843+K846-J846</f>
        <v/>
      </c>
      <c r="L854" s="23">
        <f>L837+L833-L798-L842+L843+L846-K846</f>
        <v/>
      </c>
      <c r="M854" s="23">
        <f>M837+M833-M798-M842+M843+M846-L846</f>
        <v/>
      </c>
      <c r="N854" s="23">
        <f>N837+N833-N798-N842+N843+N846-M846</f>
        <v/>
      </c>
    </row>
    <row r="855">
      <c r="B855" s="2" t="inlineStr">
        <is>
          <t>Funds from operations (net income + depreciation)</t>
        </is>
      </c>
      <c r="C855" s="5" t="inlineStr">
        <is>
          <t>$ million</t>
        </is>
      </c>
      <c r="E855" s="23">
        <f>E837+E833</f>
        <v/>
      </c>
      <c r="F855" s="23">
        <f>F837+F833</f>
        <v/>
      </c>
      <c r="G855" s="23">
        <f>G837+G833</f>
        <v/>
      </c>
      <c r="H855" s="23">
        <f>H837+H833</f>
        <v/>
      </c>
      <c r="I855" s="23">
        <f>I837+I833</f>
        <v/>
      </c>
      <c r="J855" s="23">
        <f>J837+J833</f>
        <v/>
      </c>
      <c r="K855" s="23">
        <f>K837+K833</f>
        <v/>
      </c>
      <c r="L855" s="23">
        <f>L837+L833</f>
        <v/>
      </c>
      <c r="M855" s="23">
        <f>M837+M833</f>
        <v/>
      </c>
      <c r="N855" s="23">
        <f>N837+N833</f>
        <v/>
      </c>
    </row>
    <row r="856">
      <c r="B856" s="3" t="inlineStr">
        <is>
          <t>Brannock's net flows (exit at the exit multiple)</t>
        </is>
      </c>
      <c r="C856" s="5" t="inlineStr">
        <is>
          <t>$ million</t>
        </is>
      </c>
      <c r="D856" s="23">
        <f>-(pr_ev_mult*pr_rb0-(1-pr_eq)*pr_rb0+pr_costs-pr_holdco)</f>
        <v/>
      </c>
      <c r="E856" s="23">
        <f>E854-pr_holdco*pr_kd_holdco*(1-pr_tax)</f>
        <v/>
      </c>
      <c r="F856" s="23">
        <f>F854-pr_holdco*pr_kd_holdco*(1-pr_tax)</f>
        <v/>
      </c>
      <c r="G856" s="23">
        <f>G854-pr_holdco*pr_kd_holdco*(1-pr_tax)</f>
        <v/>
      </c>
      <c r="H856" s="23">
        <f>H854-pr_holdco*pr_kd_holdco*(1-pr_tax)</f>
        <v/>
      </c>
      <c r="I856" s="23">
        <f>I854-pr_holdco*pr_kd_holdco*(1-pr_tax)</f>
        <v/>
      </c>
      <c r="J856" s="23">
        <f>J854-pr_holdco*pr_kd_holdco*(1-pr_tax)</f>
        <v/>
      </c>
      <c r="K856" s="23">
        <f>K854-pr_holdco*pr_kd_holdco*(1-pr_tax)</f>
        <v/>
      </c>
      <c r="L856" s="23">
        <f>L854-pr_holdco*pr_kd_holdco*(1-pr_tax)</f>
        <v/>
      </c>
      <c r="M856" s="23">
        <f>M854-pr_holdco*pr_kd_holdco*(1-pr_tax)</f>
        <v/>
      </c>
      <c r="N856" s="23">
        <f>N854-pr_holdco*pr_kd_holdco*(1-pr_tax)+pr_exit_mult*N844-N846-pr_holdco</f>
        <v/>
      </c>
    </row>
    <row r="857">
      <c r="B857" s="2" t="inlineStr">
        <is>
          <t>Levered IRR</t>
        </is>
      </c>
      <c r="C857" s="5" t="inlineStr">
        <is>
          <t>rate</t>
        </is>
      </c>
      <c r="D857" s="27">
        <f>IRR($D$856:N$856,0.08)</f>
        <v/>
      </c>
    </row>
    <row r="858">
      <c r="B858" s="2" t="inlineStr">
        <is>
          <t>Average earned return on equity 2028 to 2037</t>
        </is>
      </c>
      <c r="C858" s="5" t="inlineStr">
        <is>
          <t>rate</t>
        </is>
      </c>
      <c r="D858" s="27">
        <f>AVERAGE($E$852:N$852)</f>
        <v/>
      </c>
    </row>
    <row r="859">
      <c r="B859" s="2" t="inlineStr">
        <is>
          <t>Price at the target return (enterprise value)</t>
        </is>
      </c>
      <c r="C859" s="5" t="inlineStr">
        <is>
          <t>$ million</t>
        </is>
      </c>
      <c r="D859" s="23">
        <f>NPV(pr_target,$E$856:N$856)+(1-pr_eq)*pr_rb0-pr_costs+pr_holdco</f>
        <v/>
      </c>
    </row>
    <row r="860">
      <c r="B860" s="2" t="inlineStr">
        <is>
          <t>Exit equity</t>
        </is>
      </c>
      <c r="C860" s="5" t="inlineStr">
        <is>
          <t>$ million</t>
        </is>
      </c>
      <c r="D860" s="23">
        <f>pr_exit_mult*N844-N846-pr_holdco</f>
        <v/>
      </c>
    </row>
    <row r="861">
      <c r="B861" s="2" t="inlineStr">
        <is>
          <t>Rate base at exit</t>
        </is>
      </c>
      <c r="C861" s="5" t="inlineStr">
        <is>
          <t>$ million</t>
        </is>
      </c>
      <c r="D861" s="23">
        <f>N844</f>
        <v/>
      </c>
    </row>
    <row r="864">
      <c r="B864" s="6" t="inlineStr">
        <is>
          <t>D1: Full decoupling (Pell River, after tax)</t>
        </is>
      </c>
      <c r="C864" s="7" t="n"/>
      <c r="D864" s="7" t="n"/>
      <c r="E864" s="7" t="n"/>
      <c r="F864" s="7" t="n"/>
      <c r="G864" s="7" t="n"/>
      <c r="H864" s="7" t="n"/>
      <c r="I864" s="7" t="n"/>
      <c r="J864" s="7" t="n"/>
      <c r="K864" s="7" t="n"/>
      <c r="L864" s="7" t="n"/>
      <c r="M864" s="7" t="n"/>
      <c r="N864" s="7" t="n"/>
    </row>
    <row r="865">
      <c r="B865" s="2" t="inlineStr">
        <is>
          <t>Year (31 December)</t>
        </is>
      </c>
      <c r="D865" s="26">
        <f>pr_close</f>
        <v/>
      </c>
      <c r="E865" s="26">
        <f>D865+1</f>
        <v/>
      </c>
      <c r="F865" s="26">
        <f>E865+1</f>
        <v/>
      </c>
      <c r="G865" s="26">
        <f>F865+1</f>
        <v/>
      </c>
      <c r="H865" s="26">
        <f>G865+1</f>
        <v/>
      </c>
      <c r="I865" s="26">
        <f>H865+1</f>
        <v/>
      </c>
      <c r="J865" s="26">
        <f>I865+1</f>
        <v/>
      </c>
      <c r="K865" s="26">
        <f>J865+1</f>
        <v/>
      </c>
      <c r="L865" s="26">
        <f>K865+1</f>
        <v/>
      </c>
      <c r="M865" s="26">
        <f>L865+1</f>
        <v/>
      </c>
      <c r="N865" s="26">
        <f>M865+1</f>
        <v/>
      </c>
    </row>
    <row r="866">
      <c r="B866" s="2" t="inlineStr">
        <is>
          <t>Years after the first year of the hold (2028 = 0)</t>
        </is>
      </c>
      <c r="D866" s="26">
        <f>D865-(pr_close+1)</f>
        <v/>
      </c>
      <c r="E866" s="26">
        <f>E865-(pr_close+1)</f>
        <v/>
      </c>
      <c r="F866" s="26">
        <f>F865-(pr_close+1)</f>
        <v/>
      </c>
      <c r="G866" s="26">
        <f>G865-(pr_close+1)</f>
        <v/>
      </c>
      <c r="H866" s="26">
        <f>H865-(pr_close+1)</f>
        <v/>
      </c>
      <c r="I866" s="26">
        <f>I865-(pr_close+1)</f>
        <v/>
      </c>
      <c r="J866" s="26">
        <f>J865-(pr_close+1)</f>
        <v/>
      </c>
      <c r="K866" s="26">
        <f>K865-(pr_close+1)</f>
        <v/>
      </c>
      <c r="L866" s="26">
        <f>L865-(pr_close+1)</f>
        <v/>
      </c>
      <c r="M866" s="26">
        <f>M865-(pr_close+1)</f>
        <v/>
      </c>
      <c r="N866" s="26">
        <f>N865-(pr_close+1)</f>
        <v/>
      </c>
    </row>
    <row r="867">
      <c r="B867" s="2" t="inlineStr">
        <is>
          <t>Connections (water and wastewater), year end</t>
        </is>
      </c>
      <c r="C867" s="5" t="inlineStr">
        <is>
          <t>number</t>
        </is>
      </c>
      <c r="D867" s="19">
        <f>pr_water_conn+pr_ww_conn</f>
        <v/>
      </c>
      <c r="E867" s="19">
        <f>D867*(1+pr_growth)+IF(AND(pr_fen_on=1,E865=pr_fen_year+1),pr_fen_conn,0)</f>
        <v/>
      </c>
      <c r="F867" s="19">
        <f>E867*(1+pr_growth)+IF(AND(pr_fen_on=1,F865=pr_fen_year+1),pr_fen_conn,0)</f>
        <v/>
      </c>
      <c r="G867" s="19">
        <f>F867*(1+pr_growth)+IF(AND(pr_fen_on=1,G865=pr_fen_year+1),pr_fen_conn,0)</f>
        <v/>
      </c>
      <c r="H867" s="19">
        <f>G867*(1+pr_growth)+IF(AND(pr_fen_on=1,H865=pr_fen_year+1),pr_fen_conn,0)</f>
        <v/>
      </c>
      <c r="I867" s="19">
        <f>H867*(1+pr_growth)+IF(AND(pr_fen_on=1,I865=pr_fen_year+1),pr_fen_conn,0)</f>
        <v/>
      </c>
      <c r="J867" s="19">
        <f>I867*(1+pr_growth)+IF(AND(pr_fen_on=1,J865=pr_fen_year+1),pr_fen_conn,0)</f>
        <v/>
      </c>
      <c r="K867" s="19">
        <f>J867*(1+pr_growth)+IF(AND(pr_fen_on=1,K865=pr_fen_year+1),pr_fen_conn,0)</f>
        <v/>
      </c>
      <c r="L867" s="19">
        <f>K867*(1+pr_growth)+IF(AND(pr_fen_on=1,L865=pr_fen_year+1),pr_fen_conn,0)</f>
        <v/>
      </c>
      <c r="M867" s="19">
        <f>L867*(1+pr_growth)+IF(AND(pr_fen_on=1,M865=pr_fen_year+1),pr_fen_conn,0)</f>
        <v/>
      </c>
      <c r="N867" s="19">
        <f>M867*(1+pr_growth)+IF(AND(pr_fen_on=1,N865=pr_fen_year+1),pr_fen_conn,0)</f>
        <v/>
      </c>
    </row>
    <row r="869">
      <c r="B869" s="6" t="inlineStr">
        <is>
          <t>Capital spending ($ million)</t>
        </is>
      </c>
      <c r="C869" s="7" t="n"/>
      <c r="D869" s="7" t="n"/>
      <c r="E869" s="7" t="n"/>
      <c r="F869" s="7" t="n"/>
      <c r="G869" s="7" t="n"/>
      <c r="H869" s="7" t="n"/>
      <c r="I869" s="7" t="n"/>
      <c r="J869" s="7" t="n"/>
      <c r="K869" s="7" t="n"/>
      <c r="L869" s="7" t="n"/>
      <c r="M869" s="7" t="n"/>
      <c r="N869" s="7" t="n"/>
    </row>
    <row r="870">
      <c r="B870" s="2" t="inlineStr">
        <is>
          <t>Cost escalation index (2028 = 1)</t>
        </is>
      </c>
      <c r="E870" s="28">
        <f>(1+pr_capex_esc)^(E865-(pr_close+1))</f>
        <v/>
      </c>
      <c r="F870" s="28">
        <f>(1+pr_capex_esc)^(F865-(pr_close+1))</f>
        <v/>
      </c>
      <c r="G870" s="28">
        <f>(1+pr_capex_esc)^(G865-(pr_close+1))</f>
        <v/>
      </c>
      <c r="H870" s="28">
        <f>(1+pr_capex_esc)^(H865-(pr_close+1))</f>
        <v/>
      </c>
      <c r="I870" s="28">
        <f>(1+pr_capex_esc)^(I865-(pr_close+1))</f>
        <v/>
      </c>
      <c r="J870" s="28">
        <f>(1+pr_capex_esc)^(J865-(pr_close+1))</f>
        <v/>
      </c>
      <c r="K870" s="28">
        <f>(1+pr_capex_esc)^(K865-(pr_close+1))</f>
        <v/>
      </c>
      <c r="L870" s="28">
        <f>(1+pr_capex_esc)^(L865-(pr_close+1))</f>
        <v/>
      </c>
      <c r="M870" s="28">
        <f>(1+pr_capex_esc)^(M865-(pr_close+1))</f>
        <v/>
      </c>
      <c r="N870" s="28">
        <f>(1+pr_capex_esc)^(N865-(pr_close+1))</f>
        <v/>
      </c>
    </row>
    <row r="871">
      <c r="B871" s="2" t="inlineStr">
        <is>
          <t>Main renewal</t>
        </is>
      </c>
      <c r="C871" s="5" t="inlineStr">
        <is>
          <t>$ million</t>
        </is>
      </c>
      <c r="E871" s="23">
        <f>pr_renewal*pr_mains_miles*pr_cost_mile*E870*(1+pr_capex_shift)</f>
        <v/>
      </c>
      <c r="F871" s="23">
        <f>pr_renewal*pr_mains_miles*pr_cost_mile*F870*(1+pr_capex_shift)</f>
        <v/>
      </c>
      <c r="G871" s="23">
        <f>pr_renewal*pr_mains_miles*pr_cost_mile*G870*(1+pr_capex_shift)</f>
        <v/>
      </c>
      <c r="H871" s="23">
        <f>pr_renewal*pr_mains_miles*pr_cost_mile*H870*(1+pr_capex_shift)</f>
        <v/>
      </c>
      <c r="I871" s="23">
        <f>pr_renewal*pr_mains_miles*pr_cost_mile*I870*(1+pr_capex_shift)</f>
        <v/>
      </c>
      <c r="J871" s="23">
        <f>pr_renewal*pr_mains_miles*pr_cost_mile*J870*(1+pr_capex_shift)</f>
        <v/>
      </c>
      <c r="K871" s="23">
        <f>pr_renewal*pr_mains_miles*pr_cost_mile*K870*(1+pr_capex_shift)</f>
        <v/>
      </c>
      <c r="L871" s="23">
        <f>pr_renewal*pr_mains_miles*pr_cost_mile*L870*(1+pr_capex_shift)</f>
        <v/>
      </c>
      <c r="M871" s="23">
        <f>pr_renewal*pr_mains_miles*pr_cost_mile*M870*(1+pr_capex_shift)</f>
        <v/>
      </c>
      <c r="N871" s="23">
        <f>pr_renewal*pr_mains_miles*pr_cost_mile*N870*(1+pr_capex_shift)</f>
        <v/>
      </c>
    </row>
    <row r="872">
      <c r="B872" s="2" t="inlineStr">
        <is>
          <t>Treatment, storage, meters, IT and growth</t>
        </is>
      </c>
      <c r="C872" s="5" t="inlineStr">
        <is>
          <t>$ million</t>
        </is>
      </c>
      <c r="E872" s="23">
        <f>pr_other_capex*E870*(1+pr_capex_shift)</f>
        <v/>
      </c>
      <c r="F872" s="23">
        <f>pr_other_capex*F870*(1+pr_capex_shift)</f>
        <v/>
      </c>
      <c r="G872" s="23">
        <f>pr_other_capex*G870*(1+pr_capex_shift)</f>
        <v/>
      </c>
      <c r="H872" s="23">
        <f>pr_other_capex*H870*(1+pr_capex_shift)</f>
        <v/>
      </c>
      <c r="I872" s="23">
        <f>pr_other_capex*I870*(1+pr_capex_shift)</f>
        <v/>
      </c>
      <c r="J872" s="23">
        <f>pr_other_capex*J870*(1+pr_capex_shift)</f>
        <v/>
      </c>
      <c r="K872" s="23">
        <f>pr_other_capex*K870*(1+pr_capex_shift)</f>
        <v/>
      </c>
      <c r="L872" s="23">
        <f>pr_other_capex*L870*(1+pr_capex_shift)</f>
        <v/>
      </c>
      <c r="M872" s="23">
        <f>pr_other_capex*M870*(1+pr_capex_shift)</f>
        <v/>
      </c>
      <c r="N872" s="23">
        <f>pr_other_capex*N870*(1+pr_capex_shift)</f>
        <v/>
      </c>
    </row>
    <row r="873">
      <c r="B873" s="2" t="inlineStr">
        <is>
          <t>PFAS treatment</t>
        </is>
      </c>
      <c r="C873" s="5" t="inlineStr">
        <is>
          <t>$ million</t>
        </is>
      </c>
      <c r="E873" s="23">
        <f>(IF(E865-pr_pfas_delay=pr_pfas_y1,pr_pfas_1,0)+IF(E865-pr_pfas_delay=pr_pfas_y1+1,pr_pfas_2,0)+IF(E865-pr_pfas_delay=pr_pfas_y1+2,pr_pfas_3,0))*(1+pr_capex_esc)^pr_pfas_delay*(1+pr_capex_shift)</f>
        <v/>
      </c>
      <c r="F873" s="23">
        <f>(IF(F865-pr_pfas_delay=pr_pfas_y1,pr_pfas_1,0)+IF(F865-pr_pfas_delay=pr_pfas_y1+1,pr_pfas_2,0)+IF(F865-pr_pfas_delay=pr_pfas_y1+2,pr_pfas_3,0))*(1+pr_capex_esc)^pr_pfas_delay*(1+pr_capex_shift)</f>
        <v/>
      </c>
      <c r="G873" s="23">
        <f>(IF(G865-pr_pfas_delay=pr_pfas_y1,pr_pfas_1,0)+IF(G865-pr_pfas_delay=pr_pfas_y1+1,pr_pfas_2,0)+IF(G865-pr_pfas_delay=pr_pfas_y1+2,pr_pfas_3,0))*(1+pr_capex_esc)^pr_pfas_delay*(1+pr_capex_shift)</f>
        <v/>
      </c>
      <c r="H873" s="23">
        <f>(IF(H865-pr_pfas_delay=pr_pfas_y1,pr_pfas_1,0)+IF(H865-pr_pfas_delay=pr_pfas_y1+1,pr_pfas_2,0)+IF(H865-pr_pfas_delay=pr_pfas_y1+2,pr_pfas_3,0))*(1+pr_capex_esc)^pr_pfas_delay*(1+pr_capex_shift)</f>
        <v/>
      </c>
      <c r="I873" s="23">
        <f>(IF(I865-pr_pfas_delay=pr_pfas_y1,pr_pfas_1,0)+IF(I865-pr_pfas_delay=pr_pfas_y1+1,pr_pfas_2,0)+IF(I865-pr_pfas_delay=pr_pfas_y1+2,pr_pfas_3,0))*(1+pr_capex_esc)^pr_pfas_delay*(1+pr_capex_shift)</f>
        <v/>
      </c>
      <c r="J873" s="23">
        <f>(IF(J865-pr_pfas_delay=pr_pfas_y1,pr_pfas_1,0)+IF(J865-pr_pfas_delay=pr_pfas_y1+1,pr_pfas_2,0)+IF(J865-pr_pfas_delay=pr_pfas_y1+2,pr_pfas_3,0))*(1+pr_capex_esc)^pr_pfas_delay*(1+pr_capex_shift)</f>
        <v/>
      </c>
      <c r="K873" s="23">
        <f>(IF(K865-pr_pfas_delay=pr_pfas_y1,pr_pfas_1,0)+IF(K865-pr_pfas_delay=pr_pfas_y1+1,pr_pfas_2,0)+IF(K865-pr_pfas_delay=pr_pfas_y1+2,pr_pfas_3,0))*(1+pr_capex_esc)^pr_pfas_delay*(1+pr_capex_shift)</f>
        <v/>
      </c>
      <c r="L873" s="23">
        <f>(IF(L865-pr_pfas_delay=pr_pfas_y1,pr_pfas_1,0)+IF(L865-pr_pfas_delay=pr_pfas_y1+1,pr_pfas_2,0)+IF(L865-pr_pfas_delay=pr_pfas_y1+2,pr_pfas_3,0))*(1+pr_capex_esc)^pr_pfas_delay*(1+pr_capex_shift)</f>
        <v/>
      </c>
      <c r="M873" s="23">
        <f>(IF(M865-pr_pfas_delay=pr_pfas_y1,pr_pfas_1,0)+IF(M865-pr_pfas_delay=pr_pfas_y1+1,pr_pfas_2,0)+IF(M865-pr_pfas_delay=pr_pfas_y1+2,pr_pfas_3,0))*(1+pr_capex_esc)^pr_pfas_delay*(1+pr_capex_shift)</f>
        <v/>
      </c>
      <c r="N873" s="23">
        <f>(IF(N865-pr_pfas_delay=pr_pfas_y1,pr_pfas_1,0)+IF(N865-pr_pfas_delay=pr_pfas_y1+1,pr_pfas_2,0)+IF(N865-pr_pfas_delay=pr_pfas_y1+2,pr_pfas_3,0))*(1+pr_capex_esc)^pr_pfas_delay*(1+pr_capex_shift)</f>
        <v/>
      </c>
    </row>
    <row r="874">
      <c r="B874" s="2" t="inlineStr">
        <is>
          <t>Lead service lines</t>
        </is>
      </c>
      <c r="C874" s="5" t="inlineStr">
        <is>
          <t>$ million</t>
        </is>
      </c>
      <c r="E874" s="23">
        <f>IF(AND(E865&gt;=(pr_close+1),E865&lt;(pr_close+1)+pr_lead_years),pr_lead_lines/pr_lead_years*pr_lead_cost/1000000*E870,0)*(1+pr_capex_shift)</f>
        <v/>
      </c>
      <c r="F874" s="23">
        <f>IF(AND(F865&gt;=(pr_close+1),F865&lt;(pr_close+1)+pr_lead_years),pr_lead_lines/pr_lead_years*pr_lead_cost/1000000*F870,0)*(1+pr_capex_shift)</f>
        <v/>
      </c>
      <c r="G874" s="23">
        <f>IF(AND(G865&gt;=(pr_close+1),G865&lt;(pr_close+1)+pr_lead_years),pr_lead_lines/pr_lead_years*pr_lead_cost/1000000*G870,0)*(1+pr_capex_shift)</f>
        <v/>
      </c>
      <c r="H874" s="23">
        <f>IF(AND(H865&gt;=(pr_close+1),H865&lt;(pr_close+1)+pr_lead_years),pr_lead_lines/pr_lead_years*pr_lead_cost/1000000*H870,0)*(1+pr_capex_shift)</f>
        <v/>
      </c>
      <c r="I874" s="23">
        <f>IF(AND(I865&gt;=(pr_close+1),I865&lt;(pr_close+1)+pr_lead_years),pr_lead_lines/pr_lead_years*pr_lead_cost/1000000*I870,0)*(1+pr_capex_shift)</f>
        <v/>
      </c>
      <c r="J874" s="23">
        <f>IF(AND(J865&gt;=(pr_close+1),J865&lt;(pr_close+1)+pr_lead_years),pr_lead_lines/pr_lead_years*pr_lead_cost/1000000*J870,0)*(1+pr_capex_shift)</f>
        <v/>
      </c>
      <c r="K874" s="23">
        <f>IF(AND(K865&gt;=(pr_close+1),K865&lt;(pr_close+1)+pr_lead_years),pr_lead_lines/pr_lead_years*pr_lead_cost/1000000*K870,0)*(1+pr_capex_shift)</f>
        <v/>
      </c>
      <c r="L874" s="23">
        <f>IF(AND(L865&gt;=(pr_close+1),L865&lt;(pr_close+1)+pr_lead_years),pr_lead_lines/pr_lead_years*pr_lead_cost/1000000*L870,0)*(1+pr_capex_shift)</f>
        <v/>
      </c>
      <c r="M874" s="23">
        <f>IF(AND(M865&gt;=(pr_close+1),M865&lt;(pr_close+1)+pr_lead_years),pr_lead_lines/pr_lead_years*pr_lead_cost/1000000*M870,0)*(1+pr_capex_shift)</f>
        <v/>
      </c>
      <c r="N874" s="23">
        <f>IF(AND(N865&gt;=(pr_close+1),N865&lt;(pr_close+1)+pr_lead_years),pr_lead_lines/pr_lead_years*pr_lead_cost/1000000*N870,0)*(1+pr_capex_shift)</f>
        <v/>
      </c>
    </row>
    <row r="875">
      <c r="B875" s="2" t="inlineStr">
        <is>
          <t>Fennick system</t>
        </is>
      </c>
      <c r="C875" s="5" t="inlineStr">
        <is>
          <t>$ million</t>
        </is>
      </c>
      <c r="E875" s="23">
        <f>IF(AND(pr_fen_on=1,E865&gt;pr_fen_year),pr_fen_capex*(1+pr_capex_esc)^(E865-pr_fen_year-1),0)*(1+pr_capex_shift)</f>
        <v/>
      </c>
      <c r="F875" s="23">
        <f>IF(AND(pr_fen_on=1,F865&gt;pr_fen_year),pr_fen_capex*(1+pr_capex_esc)^(F865-pr_fen_year-1),0)*(1+pr_capex_shift)</f>
        <v/>
      </c>
      <c r="G875" s="23">
        <f>IF(AND(pr_fen_on=1,G865&gt;pr_fen_year),pr_fen_capex*(1+pr_capex_esc)^(G865-pr_fen_year-1),0)*(1+pr_capex_shift)</f>
        <v/>
      </c>
      <c r="H875" s="23">
        <f>IF(AND(pr_fen_on=1,H865&gt;pr_fen_year),pr_fen_capex*(1+pr_capex_esc)^(H865-pr_fen_year-1),0)*(1+pr_capex_shift)</f>
        <v/>
      </c>
      <c r="I875" s="23">
        <f>IF(AND(pr_fen_on=1,I865&gt;pr_fen_year),pr_fen_capex*(1+pr_capex_esc)^(I865-pr_fen_year-1),0)*(1+pr_capex_shift)</f>
        <v/>
      </c>
      <c r="J875" s="23">
        <f>IF(AND(pr_fen_on=1,J865&gt;pr_fen_year),pr_fen_capex*(1+pr_capex_esc)^(J865-pr_fen_year-1),0)*(1+pr_capex_shift)</f>
        <v/>
      </c>
      <c r="K875" s="23">
        <f>IF(AND(pr_fen_on=1,K865&gt;pr_fen_year),pr_fen_capex*(1+pr_capex_esc)^(K865-pr_fen_year-1),0)*(1+pr_capex_shift)</f>
        <v/>
      </c>
      <c r="L875" s="23">
        <f>IF(AND(pr_fen_on=1,L865&gt;pr_fen_year),pr_fen_capex*(1+pr_capex_esc)^(L865-pr_fen_year-1),0)*(1+pr_capex_shift)</f>
        <v/>
      </c>
      <c r="M875" s="23">
        <f>IF(AND(pr_fen_on=1,M865&gt;pr_fen_year),pr_fen_capex*(1+pr_capex_esc)^(M865-pr_fen_year-1),0)*(1+pr_capex_shift)</f>
        <v/>
      </c>
      <c r="N875" s="23">
        <f>IF(AND(pr_fen_on=1,N865&gt;pr_fen_year),pr_fen_capex*(1+pr_capex_esc)^(N865-pr_fen_year-1),0)*(1+pr_capex_shift)</f>
        <v/>
      </c>
    </row>
    <row r="876">
      <c r="B876" s="2" t="inlineStr">
        <is>
          <t>Total capital spending</t>
        </is>
      </c>
      <c r="C876" s="5" t="inlineStr">
        <is>
          <t>$ million</t>
        </is>
      </c>
      <c r="E876" s="23">
        <f>SUM(E871:E875)</f>
        <v/>
      </c>
      <c r="F876" s="23">
        <f>SUM(F871:F875)</f>
        <v/>
      </c>
      <c r="G876" s="23">
        <f>SUM(G871:G875)</f>
        <v/>
      </c>
      <c r="H876" s="23">
        <f>SUM(H871:H875)</f>
        <v/>
      </c>
      <c r="I876" s="23">
        <f>SUM(I871:I875)</f>
        <v/>
      </c>
      <c r="J876" s="23">
        <f>SUM(J871:J875)</f>
        <v/>
      </c>
      <c r="K876" s="23">
        <f>SUM(K871:K875)</f>
        <v/>
      </c>
      <c r="L876" s="23">
        <f>SUM(L871:L875)</f>
        <v/>
      </c>
      <c r="M876" s="23">
        <f>SUM(M871:M875)</f>
        <v/>
      </c>
      <c r="N876" s="23">
        <f>SUM(N871:N875)</f>
        <v/>
      </c>
    </row>
    <row r="877">
      <c r="B877" s="2" t="inlineStr">
        <is>
          <t>DSIC-eligible (mains and lead lines)</t>
        </is>
      </c>
      <c r="C877" s="5" t="inlineStr">
        <is>
          <t>$ million</t>
        </is>
      </c>
      <c r="E877" s="23">
        <f>E871+E874</f>
        <v/>
      </c>
      <c r="F877" s="23">
        <f>F871+F874</f>
        <v/>
      </c>
      <c r="G877" s="23">
        <f>G871+G874</f>
        <v/>
      </c>
      <c r="H877" s="23">
        <f>H871+H874</f>
        <v/>
      </c>
      <c r="I877" s="23">
        <f>I871+I874</f>
        <v/>
      </c>
      <c r="J877" s="23">
        <f>J871+J874</f>
        <v/>
      </c>
      <c r="K877" s="23">
        <f>K871+K874</f>
        <v/>
      </c>
      <c r="L877" s="23">
        <f>L871+L874</f>
        <v/>
      </c>
      <c r="M877" s="23">
        <f>M871+M874</f>
        <v/>
      </c>
      <c r="N877" s="23">
        <f>N871+N874</f>
        <v/>
      </c>
    </row>
    <row r="879">
      <c r="B879" s="6" t="inlineStr">
        <is>
          <t>Rate case (rates effective 1 January of the year; test-year values looked up to the left)</t>
        </is>
      </c>
      <c r="C879" s="7" t="n"/>
      <c r="D879" s="7" t="n"/>
      <c r="E879" s="7" t="n"/>
      <c r="F879" s="7" t="n"/>
      <c r="G879" s="7" t="n"/>
      <c r="H879" s="7" t="n"/>
      <c r="I879" s="7" t="n"/>
      <c r="J879" s="7" t="n"/>
      <c r="K879" s="7" t="n"/>
      <c r="L879" s="7" t="n"/>
      <c r="M879" s="7" t="n"/>
      <c r="N879" s="7" t="n"/>
    </row>
    <row r="880">
      <c r="B880" s="2" t="inlineStr">
        <is>
          <t>Rate case this year (1 = yes)</t>
        </is>
      </c>
      <c r="E880" s="26">
        <f>IF(AND(E865&gt;=pr_rc_first,MOD(E865-pr_rc_first,pr_rc_cycle)=0),1,0)</f>
        <v/>
      </c>
      <c r="F880" s="26">
        <f>IF(AND(F865&gt;=pr_rc_first,MOD(F865-pr_rc_first,pr_rc_cycle)=0),1,0)</f>
        <v/>
      </c>
      <c r="G880" s="26">
        <f>IF(AND(G865&gt;=pr_rc_first,MOD(G865-pr_rc_first,pr_rc_cycle)=0),1,0)</f>
        <v/>
      </c>
      <c r="H880" s="26">
        <f>IF(AND(H865&gt;=pr_rc_first,MOD(H865-pr_rc_first,pr_rc_cycle)=0),1,0)</f>
        <v/>
      </c>
      <c r="I880" s="26">
        <f>IF(AND(I865&gt;=pr_rc_first,MOD(I865-pr_rc_first,pr_rc_cycle)=0),1,0)</f>
        <v/>
      </c>
      <c r="J880" s="26">
        <f>IF(AND(J865&gt;=pr_rc_first,MOD(J865-pr_rc_first,pr_rc_cycle)=0),1,0)</f>
        <v/>
      </c>
      <c r="K880" s="26">
        <f>IF(AND(K865&gt;=pr_rc_first,MOD(K865-pr_rc_first,pr_rc_cycle)=0),1,0)</f>
        <v/>
      </c>
      <c r="L880" s="26">
        <f>IF(AND(L865&gt;=pr_rc_first,MOD(L865-pr_rc_first,pr_rc_cycle)=0),1,0)</f>
        <v/>
      </c>
      <c r="M880" s="26">
        <f>IF(AND(M865&gt;=pr_rc_first,MOD(M865-pr_rc_first,pr_rc_cycle)=0),1,0)</f>
        <v/>
      </c>
      <c r="N880" s="26">
        <f>IF(AND(N865&gt;=pr_rc_first,MOD(N865-pr_rc_first,pr_rc_cycle)=0),1,0)</f>
        <v/>
      </c>
    </row>
    <row r="881">
      <c r="B881" s="2" t="inlineStr">
        <is>
          <t>Test year</t>
        </is>
      </c>
      <c r="E881" s="26">
        <f>E865-pr_test_lag</f>
        <v/>
      </c>
      <c r="F881" s="26">
        <f>F865-pr_test_lag</f>
        <v/>
      </c>
      <c r="G881" s="26">
        <f>G865-pr_test_lag</f>
        <v/>
      </c>
      <c r="H881" s="26">
        <f>H865-pr_test_lag</f>
        <v/>
      </c>
      <c r="I881" s="26">
        <f>I865-pr_test_lag</f>
        <v/>
      </c>
      <c r="J881" s="26">
        <f>J865-pr_test_lag</f>
        <v/>
      </c>
      <c r="K881" s="26">
        <f>K865-pr_test_lag</f>
        <v/>
      </c>
      <c r="L881" s="26">
        <f>L865-pr_test_lag</f>
        <v/>
      </c>
      <c r="M881" s="26">
        <f>M865-pr_test_lag</f>
        <v/>
      </c>
      <c r="N881" s="26">
        <f>N865-pr_test_lag</f>
        <v/>
      </c>
    </row>
    <row r="882">
      <c r="B882" s="2" t="inlineStr">
        <is>
          <t>Test year of the latest rate case</t>
        </is>
      </c>
      <c r="D882" s="26">
        <f>pr_close</f>
        <v/>
      </c>
      <c r="E882" s="26">
        <f>IF(E880=1,E881,D882)</f>
        <v/>
      </c>
      <c r="F882" s="26">
        <f>IF(F880=1,F881,E882)</f>
        <v/>
      </c>
      <c r="G882" s="26">
        <f>IF(G880=1,G881,F882)</f>
        <v/>
      </c>
      <c r="H882" s="26">
        <f>IF(H880=1,H881,G882)</f>
        <v/>
      </c>
      <c r="I882" s="26">
        <f>IF(I880=1,I881,H882)</f>
        <v/>
      </c>
      <c r="J882" s="26">
        <f>IF(J880=1,J881,I882)</f>
        <v/>
      </c>
      <c r="K882" s="26">
        <f>IF(K880=1,K881,J882)</f>
        <v/>
      </c>
      <c r="L882" s="26">
        <f>IF(L880=1,L881,K882)</f>
        <v/>
      </c>
      <c r="M882" s="26">
        <f>IF(M880=1,M881,L882)</f>
        <v/>
      </c>
      <c r="N882" s="26">
        <f>IF(N880=1,N881,M882)</f>
        <v/>
      </c>
    </row>
    <row r="883">
      <c r="B883" s="2" t="inlineStr">
        <is>
          <t>Rate base at the end of the test year</t>
        </is>
      </c>
      <c r="C883" s="5" t="inlineStr">
        <is>
          <t>$ million</t>
        </is>
      </c>
      <c r="E883" s="23">
        <f>INDEX($D$922:D$922,MATCH(MAX(E881,pr_close),$D$865:D$865,0))</f>
        <v/>
      </c>
      <c r="F883" s="23">
        <f>INDEX($D$922:E$922,MATCH(MAX(F881,pr_close),$D$865:E$865,0))</f>
        <v/>
      </c>
      <c r="G883" s="23">
        <f>INDEX($D$922:F$922,MATCH(MAX(G881,pr_close),$D$865:F$865,0))</f>
        <v/>
      </c>
      <c r="H883" s="23">
        <f>INDEX($D$922:G$922,MATCH(MAX(H881,pr_close),$D$865:G$865,0))</f>
        <v/>
      </c>
      <c r="I883" s="23">
        <f>INDEX($D$922:H$922,MATCH(MAX(I881,pr_close),$D$865:H$865,0))</f>
        <v/>
      </c>
      <c r="J883" s="23">
        <f>INDEX($D$922:I$922,MATCH(MAX(J881,pr_close),$D$865:I$865,0))</f>
        <v/>
      </c>
      <c r="K883" s="23">
        <f>INDEX($D$922:J$922,MATCH(MAX(K881,pr_close),$D$865:J$865,0))</f>
        <v/>
      </c>
      <c r="L883" s="23">
        <f>INDEX($D$922:K$922,MATCH(MAX(L881,pr_close),$D$865:K$865,0))</f>
        <v/>
      </c>
      <c r="M883" s="23">
        <f>INDEX($D$922:L$922,MATCH(MAX(M881,pr_close),$D$865:L$865,0))</f>
        <v/>
      </c>
      <c r="N883" s="23">
        <f>INDEX($D$922:M$922,MATCH(MAX(N881,pr_close),$D$865:M$865,0))</f>
        <v/>
      </c>
    </row>
    <row r="884">
      <c r="B884" s="2" t="inlineStr">
        <is>
          <t>Embedded cost of debt in the test year</t>
        </is>
      </c>
      <c r="C884" s="5" t="inlineStr">
        <is>
          <t>rate</t>
        </is>
      </c>
      <c r="E884" s="27">
        <f>INDEX($D$926:D$926,MATCH(MAX(E881,pr_close),$D$865:D$865,0))</f>
        <v/>
      </c>
      <c r="F884" s="27">
        <f>INDEX($D$926:E$926,MATCH(MAX(F881,pr_close),$D$865:E$865,0))</f>
        <v/>
      </c>
      <c r="G884" s="27">
        <f>INDEX($D$926:F$926,MATCH(MAX(G881,pr_close),$D$865:F$865,0))</f>
        <v/>
      </c>
      <c r="H884" s="27">
        <f>INDEX($D$926:G$926,MATCH(MAX(H881,pr_close),$D$865:G$865,0))</f>
        <v/>
      </c>
      <c r="I884" s="27">
        <f>INDEX($D$926:H$926,MATCH(MAX(I881,pr_close),$D$865:H$865,0))</f>
        <v/>
      </c>
      <c r="J884" s="27">
        <f>INDEX($D$926:I$926,MATCH(MAX(J881,pr_close),$D$865:I$865,0))</f>
        <v/>
      </c>
      <c r="K884" s="27">
        <f>INDEX($D$926:J$926,MATCH(MAX(K881,pr_close),$D$865:J$865,0))</f>
        <v/>
      </c>
      <c r="L884" s="27">
        <f>INDEX($D$926:K$926,MATCH(MAX(L881,pr_close),$D$865:K$865,0))</f>
        <v/>
      </c>
      <c r="M884" s="27">
        <f>INDEX($D$926:L$926,MATCH(MAX(M881,pr_close),$D$865:L$865,0))</f>
        <v/>
      </c>
      <c r="N884" s="27">
        <f>INDEX($D$926:M$926,MATCH(MAX(N881,pr_close),$D$865:M$865,0))</f>
        <v/>
      </c>
    </row>
    <row r="885">
      <c r="B885" s="2" t="inlineStr">
        <is>
          <t>O&amp;M in the test year</t>
        </is>
      </c>
      <c r="C885" s="5" t="inlineStr">
        <is>
          <t>$ million</t>
        </is>
      </c>
      <c r="E885" s="23">
        <f>INDEX($D$907:D$907,MATCH(MAX(E881,pr_close),$D$865:D$865,0))</f>
        <v/>
      </c>
      <c r="F885" s="23">
        <f>INDEX($D$907:E$907,MATCH(MAX(F881,pr_close),$D$865:E$865,0))</f>
        <v/>
      </c>
      <c r="G885" s="23">
        <f>INDEX($D$907:F$907,MATCH(MAX(G881,pr_close),$D$865:F$865,0))</f>
        <v/>
      </c>
      <c r="H885" s="23">
        <f>INDEX($D$907:G$907,MATCH(MAX(H881,pr_close),$D$865:G$865,0))</f>
        <v/>
      </c>
      <c r="I885" s="23">
        <f>INDEX($D$907:H$907,MATCH(MAX(I881,pr_close),$D$865:H$865,0))</f>
        <v/>
      </c>
      <c r="J885" s="23">
        <f>INDEX($D$907:I$907,MATCH(MAX(J881,pr_close),$D$865:I$865,0))</f>
        <v/>
      </c>
      <c r="K885" s="23">
        <f>INDEX($D$907:J$907,MATCH(MAX(K881,pr_close),$D$865:J$865,0))</f>
        <v/>
      </c>
      <c r="L885" s="23">
        <f>INDEX($D$907:K$907,MATCH(MAX(L881,pr_close),$D$865:K$865,0))</f>
        <v/>
      </c>
      <c r="M885" s="23">
        <f>INDEX($D$907:L$907,MATCH(MAX(M881,pr_close),$D$865:L$865,0))</f>
        <v/>
      </c>
      <c r="N885" s="23">
        <f>INDEX($D$907:M$907,MATCH(MAX(N881,pr_close),$D$865:M$865,0))</f>
        <v/>
      </c>
    </row>
    <row r="886">
      <c r="B886" s="2" t="inlineStr">
        <is>
          <t>Authorized return on rate base</t>
        </is>
      </c>
      <c r="C886" s="5" t="inlineStr">
        <is>
          <t>rate</t>
        </is>
      </c>
      <c r="E886" s="27">
        <f>(pr_eq*pr_roe+(1-pr_eq)*E884)</f>
        <v/>
      </c>
      <c r="F886" s="27">
        <f>(pr_eq*pr_roe+(1-pr_eq)*F884)</f>
        <v/>
      </c>
      <c r="G886" s="27">
        <f>(pr_eq*pr_roe+(1-pr_eq)*G884)</f>
        <v/>
      </c>
      <c r="H886" s="27">
        <f>(pr_eq*pr_roe+(1-pr_eq)*H884)</f>
        <v/>
      </c>
      <c r="I886" s="27">
        <f>(pr_eq*pr_roe+(1-pr_eq)*I884)</f>
        <v/>
      </c>
      <c r="J886" s="27">
        <f>(pr_eq*pr_roe+(1-pr_eq)*J884)</f>
        <v/>
      </c>
      <c r="K886" s="27">
        <f>(pr_eq*pr_roe+(1-pr_eq)*K884)</f>
        <v/>
      </c>
      <c r="L886" s="27">
        <f>(pr_eq*pr_roe+(1-pr_eq)*L884)</f>
        <v/>
      </c>
      <c r="M886" s="27">
        <f>(pr_eq*pr_roe+(1-pr_eq)*M884)</f>
        <v/>
      </c>
      <c r="N886" s="27">
        <f>(pr_eq*pr_roe+(1-pr_eq)*N884)</f>
        <v/>
      </c>
    </row>
    <row r="887">
      <c r="B887" s="2" t="inlineStr">
        <is>
          <t>Return</t>
        </is>
      </c>
      <c r="C887" s="5" t="inlineStr">
        <is>
          <t>$ million</t>
        </is>
      </c>
      <c r="E887" s="23">
        <f>E886*E883</f>
        <v/>
      </c>
      <c r="F887" s="23">
        <f>F886*F883</f>
        <v/>
      </c>
      <c r="G887" s="23">
        <f>G886*G883</f>
        <v/>
      </c>
      <c r="H887" s="23">
        <f>H886*H883</f>
        <v/>
      </c>
      <c r="I887" s="23">
        <f>I886*I883</f>
        <v/>
      </c>
      <c r="J887" s="23">
        <f>J886*J883</f>
        <v/>
      </c>
      <c r="K887" s="23">
        <f>K886*K883</f>
        <v/>
      </c>
      <c r="L887" s="23">
        <f>L886*L883</f>
        <v/>
      </c>
      <c r="M887" s="23">
        <f>M886*M883</f>
        <v/>
      </c>
      <c r="N887" s="23">
        <f>N886*N883</f>
        <v/>
      </c>
    </row>
    <row r="888">
      <c r="B888" s="2" t="inlineStr">
        <is>
          <t>Income tax gross-up</t>
        </is>
      </c>
      <c r="C888" s="5" t="inlineStr">
        <is>
          <t>$ million</t>
        </is>
      </c>
      <c r="E888" s="23">
        <f>(pr_eq*pr_roe*pr_tax/(1-pr_tax))*E883</f>
        <v/>
      </c>
      <c r="F888" s="23">
        <f>(pr_eq*pr_roe*pr_tax/(1-pr_tax))*F883</f>
        <v/>
      </c>
      <c r="G888" s="23">
        <f>(pr_eq*pr_roe*pr_tax/(1-pr_tax))*G883</f>
        <v/>
      </c>
      <c r="H888" s="23">
        <f>(pr_eq*pr_roe*pr_tax/(1-pr_tax))*H883</f>
        <v/>
      </c>
      <c r="I888" s="23">
        <f>(pr_eq*pr_roe*pr_tax/(1-pr_tax))*I883</f>
        <v/>
      </c>
      <c r="J888" s="23">
        <f>(pr_eq*pr_roe*pr_tax/(1-pr_tax))*J883</f>
        <v/>
      </c>
      <c r="K888" s="23">
        <f>(pr_eq*pr_roe*pr_tax/(1-pr_tax))*K883</f>
        <v/>
      </c>
      <c r="L888" s="23">
        <f>(pr_eq*pr_roe*pr_tax/(1-pr_tax))*L883</f>
        <v/>
      </c>
      <c r="M888" s="23">
        <f>(pr_eq*pr_roe*pr_tax/(1-pr_tax))*M883</f>
        <v/>
      </c>
      <c r="N888" s="23">
        <f>(pr_eq*pr_roe*pr_tax/(1-pr_tax))*N883</f>
        <v/>
      </c>
    </row>
    <row r="889">
      <c r="B889" s="2" t="inlineStr">
        <is>
          <t>Depreciation</t>
        </is>
      </c>
      <c r="C889" s="5" t="inlineStr">
        <is>
          <t>$ million</t>
        </is>
      </c>
      <c r="E889" s="23">
        <f>pr_dep*E883</f>
        <v/>
      </c>
      <c r="F889" s="23">
        <f>pr_dep*F883</f>
        <v/>
      </c>
      <c r="G889" s="23">
        <f>pr_dep*G883</f>
        <v/>
      </c>
      <c r="H889" s="23">
        <f>pr_dep*H883</f>
        <v/>
      </c>
      <c r="I889" s="23">
        <f>pr_dep*I883</f>
        <v/>
      </c>
      <c r="J889" s="23">
        <f>pr_dep*J883</f>
        <v/>
      </c>
      <c r="K889" s="23">
        <f>pr_dep*K883</f>
        <v/>
      </c>
      <c r="L889" s="23">
        <f>pr_dep*L883</f>
        <v/>
      </c>
      <c r="M889" s="23">
        <f>pr_dep*M883</f>
        <v/>
      </c>
      <c r="N889" s="23">
        <f>pr_dep*N883</f>
        <v/>
      </c>
    </row>
    <row r="890">
      <c r="B890" s="2" t="inlineStr">
        <is>
          <t>Other taxes</t>
        </is>
      </c>
      <c r="C890" s="5" t="inlineStr">
        <is>
          <t>$ million</t>
        </is>
      </c>
      <c r="E890" s="23">
        <f>pr_ptax*E883</f>
        <v/>
      </c>
      <c r="F890" s="23">
        <f>pr_ptax*F883</f>
        <v/>
      </c>
      <c r="G890" s="23">
        <f>pr_ptax*G883</f>
        <v/>
      </c>
      <c r="H890" s="23">
        <f>pr_ptax*H883</f>
        <v/>
      </c>
      <c r="I890" s="23">
        <f>pr_ptax*I883</f>
        <v/>
      </c>
      <c r="J890" s="23">
        <f>pr_ptax*J883</f>
        <v/>
      </c>
      <c r="K890" s="23">
        <f>pr_ptax*K883</f>
        <v/>
      </c>
      <c r="L890" s="23">
        <f>pr_ptax*L883</f>
        <v/>
      </c>
      <c r="M890" s="23">
        <f>pr_ptax*M883</f>
        <v/>
      </c>
      <c r="N890" s="23">
        <f>pr_ptax*N883</f>
        <v/>
      </c>
    </row>
    <row r="891">
      <c r="B891" s="2" t="inlineStr">
        <is>
          <t>O&amp;M (test year, known and measurable)</t>
        </is>
      </c>
      <c r="C891" s="5" t="inlineStr">
        <is>
          <t>$ million</t>
        </is>
      </c>
      <c r="E891" s="23">
        <f>E885*(1+pr_om_infl)*(1+pr_growth)</f>
        <v/>
      </c>
      <c r="F891" s="23">
        <f>F885*(1+pr_om_infl)*(1+pr_growth)</f>
        <v/>
      </c>
      <c r="G891" s="23">
        <f>G885*(1+pr_om_infl)*(1+pr_growth)</f>
        <v/>
      </c>
      <c r="H891" s="23">
        <f>H885*(1+pr_om_infl)*(1+pr_growth)</f>
        <v/>
      </c>
      <c r="I891" s="23">
        <f>I885*(1+pr_om_infl)*(1+pr_growth)</f>
        <v/>
      </c>
      <c r="J891" s="23">
        <f>J885*(1+pr_om_infl)*(1+pr_growth)</f>
        <v/>
      </c>
      <c r="K891" s="23">
        <f>K885*(1+pr_om_infl)*(1+pr_growth)</f>
        <v/>
      </c>
      <c r="L891" s="23">
        <f>L885*(1+pr_om_infl)*(1+pr_growth)</f>
        <v/>
      </c>
      <c r="M891" s="23">
        <f>M885*(1+pr_om_infl)*(1+pr_growth)</f>
        <v/>
      </c>
      <c r="N891" s="23">
        <f>N885*(1+pr_om_infl)*(1+pr_growth)</f>
        <v/>
      </c>
    </row>
    <row r="892">
      <c r="B892" s="2" t="inlineStr">
        <is>
          <t>Revenue requirement (test-year connections)</t>
        </is>
      </c>
      <c r="C892" s="5" t="inlineStr">
        <is>
          <t>$ million</t>
        </is>
      </c>
      <c r="E892" s="23">
        <f>SUM(E887:E891)</f>
        <v/>
      </c>
      <c r="F892" s="23">
        <f>SUM(F887:F891)</f>
        <v/>
      </c>
      <c r="G892" s="23">
        <f>SUM(G887:G891)</f>
        <v/>
      </c>
      <c r="H892" s="23">
        <f>SUM(H887:H891)</f>
        <v/>
      </c>
      <c r="I892" s="23">
        <f>SUM(I887:I891)</f>
        <v/>
      </c>
      <c r="J892" s="23">
        <f>SUM(J887:J891)</f>
        <v/>
      </c>
      <c r="K892" s="23">
        <f>SUM(K887:K891)</f>
        <v/>
      </c>
      <c r="L892" s="23">
        <f>SUM(L887:L891)</f>
        <v/>
      </c>
      <c r="M892" s="23">
        <f>SUM(M887:M891)</f>
        <v/>
      </c>
      <c r="N892" s="23">
        <f>SUM(N887:N891)</f>
        <v/>
      </c>
    </row>
    <row r="893">
      <c r="B893" s="2" t="inlineStr">
        <is>
          <t>Revenue requirement on effective-year connections</t>
        </is>
      </c>
      <c r="C893" s="5" t="inlineStr">
        <is>
          <t>$ million</t>
        </is>
      </c>
      <c r="E893" s="23">
        <f>E892*(1+pr_growth)</f>
        <v/>
      </c>
      <c r="F893" s="23">
        <f>F892*(1+pr_growth)</f>
        <v/>
      </c>
      <c r="G893" s="23">
        <f>G892*(1+pr_growth)</f>
        <v/>
      </c>
      <c r="H893" s="23">
        <f>H892*(1+pr_growth)</f>
        <v/>
      </c>
      <c r="I893" s="23">
        <f>I892*(1+pr_growth)</f>
        <v/>
      </c>
      <c r="J893" s="23">
        <f>J892*(1+pr_growth)</f>
        <v/>
      </c>
      <c r="K893" s="23">
        <f>K892*(1+pr_growth)</f>
        <v/>
      </c>
      <c r="L893" s="23">
        <f>L892*(1+pr_growth)</f>
        <v/>
      </c>
      <c r="M893" s="23">
        <f>M892*(1+pr_growth)</f>
        <v/>
      </c>
      <c r="N893" s="23">
        <f>N892*(1+pr_growth)</f>
        <v/>
      </c>
    </row>
    <row r="894">
      <c r="B894" s="2" t="inlineStr">
        <is>
          <t>Revenue at existing rates</t>
        </is>
      </c>
      <c r="C894" s="5" t="inlineStr">
        <is>
          <t>$ million</t>
        </is>
      </c>
      <c r="E894" s="23">
        <f>IF(E865=(pr_close+1),D900,D900*(1+pr_growth)*(1-pr_vol_share*IF(Inputs!$C$242=1,0,pr_usage))+D901+D903)</f>
        <v/>
      </c>
      <c r="F894" s="23">
        <f>IF(F865=(pr_close+1),E900,E900*(1+pr_growth)*(1-pr_vol_share*IF(Inputs!$C$242=1,0,pr_usage))+E901+E903)</f>
        <v/>
      </c>
      <c r="G894" s="23">
        <f>IF(G865=(pr_close+1),F900,F900*(1+pr_growth)*(1-pr_vol_share*IF(Inputs!$C$242=1,0,pr_usage))+F901+F903)</f>
        <v/>
      </c>
      <c r="H894" s="23">
        <f>IF(H865=(pr_close+1),G900,G900*(1+pr_growth)*(1-pr_vol_share*IF(Inputs!$C$242=1,0,pr_usage))+G901+G903)</f>
        <v/>
      </c>
      <c r="I894" s="23">
        <f>IF(I865=(pr_close+1),H900,H900*(1+pr_growth)*(1-pr_vol_share*IF(Inputs!$C$242=1,0,pr_usage))+H901+H903)</f>
        <v/>
      </c>
      <c r="J894" s="23">
        <f>IF(J865=(pr_close+1),I900,I900*(1+pr_growth)*(1-pr_vol_share*IF(Inputs!$C$242=1,0,pr_usage))+I901+I903)</f>
        <v/>
      </c>
      <c r="K894" s="23">
        <f>IF(K865=(pr_close+1),J900,J900*(1+pr_growth)*(1-pr_vol_share*IF(Inputs!$C$242=1,0,pr_usage))+J901+J903)</f>
        <v/>
      </c>
      <c r="L894" s="23">
        <f>IF(L865=(pr_close+1),K900,K900*(1+pr_growth)*(1-pr_vol_share*IF(Inputs!$C$242=1,0,pr_usage))+K901+K903)</f>
        <v/>
      </c>
      <c r="M894" s="23">
        <f>IF(M865=(pr_close+1),L900,L900*(1+pr_growth)*(1-pr_vol_share*IF(Inputs!$C$242=1,0,pr_usage))+L901+L903)</f>
        <v/>
      </c>
      <c r="N894" s="23">
        <f>IF(N865=(pr_close+1),M900,M900*(1+pr_growth)*(1-pr_vol_share*IF(Inputs!$C$242=1,0,pr_usage))+M901+M903)</f>
        <v/>
      </c>
    </row>
    <row r="895">
      <c r="B895" s="2" t="inlineStr">
        <is>
          <t>Increase granted</t>
        </is>
      </c>
      <c r="C895" s="5" t="inlineStr">
        <is>
          <t>share</t>
        </is>
      </c>
      <c r="E895" s="20">
        <f>E893/E894-1</f>
        <v/>
      </c>
      <c r="F895" s="20">
        <f>F893/F894-1</f>
        <v/>
      </c>
      <c r="G895" s="20">
        <f>G893/G894-1</f>
        <v/>
      </c>
      <c r="H895" s="20">
        <f>H893/H894-1</f>
        <v/>
      </c>
      <c r="I895" s="20">
        <f>I893/I894-1</f>
        <v/>
      </c>
      <c r="J895" s="20">
        <f>J893/J894-1</f>
        <v/>
      </c>
      <c r="K895" s="20">
        <f>K893/K894-1</f>
        <v/>
      </c>
      <c r="L895" s="20">
        <f>L893/L894-1</f>
        <v/>
      </c>
      <c r="M895" s="20">
        <f>M893/M894-1</f>
        <v/>
      </c>
      <c r="N895" s="20">
        <f>N893/N894-1</f>
        <v/>
      </c>
    </row>
    <row r="896">
      <c r="B896" s="2" t="inlineStr">
        <is>
          <t>Revenue requirement requested (at the requested ROE)</t>
        </is>
      </c>
      <c r="C896" s="5" t="inlineStr">
        <is>
          <t>$ million</t>
        </is>
      </c>
      <c r="E896" s="23">
        <f>(pr_eq*pr_roe_ask+(1-pr_eq)*E884)*E883+pr_eq*pr_roe_ask*E883*pr_tax/(1-pr_tax)+E889+E890+E891</f>
        <v/>
      </c>
      <c r="F896" s="23">
        <f>(pr_eq*pr_roe_ask+(1-pr_eq)*F884)*F883+pr_eq*pr_roe_ask*F883*pr_tax/(1-pr_tax)+F889+F890+F891</f>
        <v/>
      </c>
      <c r="G896" s="23">
        <f>(pr_eq*pr_roe_ask+(1-pr_eq)*G884)*G883+pr_eq*pr_roe_ask*G883*pr_tax/(1-pr_tax)+G889+G890+G891</f>
        <v/>
      </c>
      <c r="H896" s="23">
        <f>(pr_eq*pr_roe_ask+(1-pr_eq)*H884)*H883+pr_eq*pr_roe_ask*H883*pr_tax/(1-pr_tax)+H889+H890+H891</f>
        <v/>
      </c>
      <c r="I896" s="23">
        <f>(pr_eq*pr_roe_ask+(1-pr_eq)*I884)*I883+pr_eq*pr_roe_ask*I883*pr_tax/(1-pr_tax)+I889+I890+I891</f>
        <v/>
      </c>
      <c r="J896" s="23">
        <f>(pr_eq*pr_roe_ask+(1-pr_eq)*J884)*J883+pr_eq*pr_roe_ask*J883*pr_tax/(1-pr_tax)+J889+J890+J891</f>
        <v/>
      </c>
      <c r="K896" s="23">
        <f>(pr_eq*pr_roe_ask+(1-pr_eq)*K884)*K883+pr_eq*pr_roe_ask*K883*pr_tax/(1-pr_tax)+K889+K890+K891</f>
        <v/>
      </c>
      <c r="L896" s="23">
        <f>(pr_eq*pr_roe_ask+(1-pr_eq)*L884)*L883+pr_eq*pr_roe_ask*L883*pr_tax/(1-pr_tax)+L889+L890+L891</f>
        <v/>
      </c>
      <c r="M896" s="23">
        <f>(pr_eq*pr_roe_ask+(1-pr_eq)*M884)*M883+pr_eq*pr_roe_ask*M883*pr_tax/(1-pr_tax)+M889+M890+M891</f>
        <v/>
      </c>
      <c r="N896" s="23">
        <f>(pr_eq*pr_roe_ask+(1-pr_eq)*N884)*N883+pr_eq*pr_roe_ask*N883*pr_tax/(1-pr_tax)+N889+N890+N891</f>
        <v/>
      </c>
    </row>
    <row r="897">
      <c r="B897" s="2" t="inlineStr">
        <is>
          <t>Increase requested</t>
        </is>
      </c>
      <c r="C897" s="5" t="inlineStr">
        <is>
          <t>share</t>
        </is>
      </c>
      <c r="E897" s="20">
        <f>E896*(1+pr_growth)/E894-1</f>
        <v/>
      </c>
      <c r="F897" s="20">
        <f>F896*(1+pr_growth)/F894-1</f>
        <v/>
      </c>
      <c r="G897" s="20">
        <f>G896*(1+pr_growth)/G894-1</f>
        <v/>
      </c>
      <c r="H897" s="20">
        <f>H896*(1+pr_growth)/H894-1</f>
        <v/>
      </c>
      <c r="I897" s="20">
        <f>I896*(1+pr_growth)/I894-1</f>
        <v/>
      </c>
      <c r="J897" s="20">
        <f>J896*(1+pr_growth)/J894-1</f>
        <v/>
      </c>
      <c r="K897" s="20">
        <f>K896*(1+pr_growth)/K894-1</f>
        <v/>
      </c>
      <c r="L897" s="20">
        <f>L896*(1+pr_growth)/L894-1</f>
        <v/>
      </c>
      <c r="M897" s="20">
        <f>M896*(1+pr_growth)/M894-1</f>
        <v/>
      </c>
      <c r="N897" s="20">
        <f>N896*(1+pr_growth)/N894-1</f>
        <v/>
      </c>
    </row>
    <row r="899">
      <c r="B899" s="6" t="inlineStr">
        <is>
          <t>Revenue ($ million)</t>
        </is>
      </c>
      <c r="C899" s="7" t="n"/>
      <c r="D899" s="7" t="n"/>
      <c r="E899" s="7" t="n"/>
      <c r="F899" s="7" t="n"/>
      <c r="G899" s="7" t="n"/>
      <c r="H899" s="7" t="n"/>
      <c r="I899" s="7" t="n"/>
      <c r="J899" s="7" t="n"/>
      <c r="K899" s="7" t="n"/>
      <c r="L899" s="7" t="n"/>
      <c r="M899" s="7" t="n"/>
      <c r="N899" s="7" t="n"/>
    </row>
    <row r="900">
      <c r="B900" s="2" t="inlineStr">
        <is>
          <t>Base revenue (rate case, or prior year x growth x volume erosion)</t>
        </is>
      </c>
      <c r="C900" s="5" t="inlineStr">
        <is>
          <t>$ million</t>
        </is>
      </c>
      <c r="D900" s="23">
        <f>pr_rev_2028/((1+pr_growth)*(1-pr_vol_share*IF(Inputs!$C$242=1,0,pr_usage)))</f>
        <v/>
      </c>
      <c r="E900" s="23">
        <f>IF(E880=1,E893,D900*(1+pr_growth)*(1-pr_vol_share*IF(Inputs!$C$242=1,0,pr_usage)))</f>
        <v/>
      </c>
      <c r="F900" s="23">
        <f>IF(F880=1,F893,E900*(1+pr_growth)*(1-pr_vol_share*IF(Inputs!$C$242=1,0,pr_usage)))</f>
        <v/>
      </c>
      <c r="G900" s="23">
        <f>IF(G880=1,G893,F900*(1+pr_growth)*(1-pr_vol_share*IF(Inputs!$C$242=1,0,pr_usage)))</f>
        <v/>
      </c>
      <c r="H900" s="23">
        <f>IF(H880=1,H893,G900*(1+pr_growth)*(1-pr_vol_share*IF(Inputs!$C$242=1,0,pr_usage)))</f>
        <v/>
      </c>
      <c r="I900" s="23">
        <f>IF(I880=1,I893,H900*(1+pr_growth)*(1-pr_vol_share*IF(Inputs!$C$242=1,0,pr_usage)))</f>
        <v/>
      </c>
      <c r="J900" s="23">
        <f>IF(J880=1,J893,I900*(1+pr_growth)*(1-pr_vol_share*IF(Inputs!$C$242=1,0,pr_usage)))</f>
        <v/>
      </c>
      <c r="K900" s="23">
        <f>IF(K880=1,K893,J900*(1+pr_growth)*(1-pr_vol_share*IF(Inputs!$C$242=1,0,pr_usage)))</f>
        <v/>
      </c>
      <c r="L900" s="23">
        <f>IF(L880=1,L893,K900*(1+pr_growth)*(1-pr_vol_share*IF(Inputs!$C$242=1,0,pr_usage)))</f>
        <v/>
      </c>
      <c r="M900" s="23">
        <f>IF(M880=1,M893,L900*(1+pr_growth)*(1-pr_vol_share*IF(Inputs!$C$242=1,0,pr_usage)))</f>
        <v/>
      </c>
      <c r="N900" s="23">
        <f>IF(N880=1,N893,M900*(1+pr_growth)*(1-pr_vol_share*IF(Inputs!$C$242=1,0,pr_usage)))</f>
        <v/>
      </c>
    </row>
    <row r="901">
      <c r="B901" s="2" t="inlineStr">
        <is>
          <t>Fennick revenue at its old rates (until the next rate case)</t>
        </is>
      </c>
      <c r="C901" s="5" t="inlineStr">
        <is>
          <t>$ million</t>
        </is>
      </c>
      <c r="E901" s="23">
        <f>IF(AND(pr_fen_on=1,E865&gt;pr_fen_year,SUMIFS($D$880:E$880,$D$865:E$865,"&gt;"&amp;pr_fen_year)=0),pr_fen_rev,0)</f>
        <v/>
      </c>
      <c r="F901" s="23">
        <f>IF(AND(pr_fen_on=1,F865&gt;pr_fen_year,SUMIFS($D$880:F$880,$D$865:F$865,"&gt;"&amp;pr_fen_year)=0),pr_fen_rev,0)</f>
        <v/>
      </c>
      <c r="G901" s="23">
        <f>IF(AND(pr_fen_on=1,G865&gt;pr_fen_year,SUMIFS($D$880:G$880,$D$865:G$865,"&gt;"&amp;pr_fen_year)=0),pr_fen_rev,0)</f>
        <v/>
      </c>
      <c r="H901" s="23">
        <f>IF(AND(pr_fen_on=1,H865&gt;pr_fen_year,SUMIFS($D$880:H$880,$D$865:H$865,"&gt;"&amp;pr_fen_year)=0),pr_fen_rev,0)</f>
        <v/>
      </c>
      <c r="I901" s="23">
        <f>IF(AND(pr_fen_on=1,I865&gt;pr_fen_year,SUMIFS($D$880:I$880,$D$865:I$865,"&gt;"&amp;pr_fen_year)=0),pr_fen_rev,0)</f>
        <v/>
      </c>
      <c r="J901" s="23">
        <f>IF(AND(pr_fen_on=1,J865&gt;pr_fen_year,SUMIFS($D$880:J$880,$D$865:J$865,"&gt;"&amp;pr_fen_year)=0),pr_fen_rev,0)</f>
        <v/>
      </c>
      <c r="K901" s="23">
        <f>IF(AND(pr_fen_on=1,K865&gt;pr_fen_year,SUMIFS($D$880:K$880,$D$865:K$865,"&gt;"&amp;pr_fen_year)=0),pr_fen_rev,0)</f>
        <v/>
      </c>
      <c r="L901" s="23">
        <f>IF(AND(pr_fen_on=1,L865&gt;pr_fen_year,SUMIFS($D$880:L$880,$D$865:L$865,"&gt;"&amp;pr_fen_year)=0),pr_fen_rev,0)</f>
        <v/>
      </c>
      <c r="M901" s="23">
        <f>IF(AND(pr_fen_on=1,M865&gt;pr_fen_year,SUMIFS($D$880:M$880,$D$865:M$865,"&gt;"&amp;pr_fen_year)=0),pr_fen_rev,0)</f>
        <v/>
      </c>
      <c r="N901" s="23">
        <f>IF(AND(pr_fen_on=1,N865&gt;pr_fen_year,SUMIFS($D$880:N$880,$D$865:N$865,"&gt;"&amp;pr_fen_year)=0),pr_fen_rev,0)</f>
        <v/>
      </c>
    </row>
    <row r="902">
      <c r="B902" s="2" t="inlineStr">
        <is>
          <t>DSIC pool: eligible plant since the latest test year</t>
        </is>
      </c>
      <c r="C902" s="5" t="inlineStr">
        <is>
          <t>$ million</t>
        </is>
      </c>
      <c r="E902" s="23">
        <f>IF(E865=(pr_close+1),0,SUMIFS($D$877:D$877,$D$865:D$865,"&gt;"&amp;E882))</f>
        <v/>
      </c>
      <c r="F902" s="23">
        <f>IF(F865=(pr_close+1),0,SUMIFS($D$877:E$877,$D$865:E$865,"&gt;"&amp;F882))</f>
        <v/>
      </c>
      <c r="G902" s="23">
        <f>IF(G865=(pr_close+1),0,SUMIFS($D$877:F$877,$D$865:F$865,"&gt;"&amp;G882))</f>
        <v/>
      </c>
      <c r="H902" s="23">
        <f>IF(H865=(pr_close+1),0,SUMIFS($D$877:G$877,$D$865:G$865,"&gt;"&amp;H882))</f>
        <v/>
      </c>
      <c r="I902" s="23">
        <f>IF(I865=(pr_close+1),0,SUMIFS($D$877:H$877,$D$865:H$865,"&gt;"&amp;I882))</f>
        <v/>
      </c>
      <c r="J902" s="23">
        <f>IF(J865=(pr_close+1),0,SUMIFS($D$877:I$877,$D$865:I$865,"&gt;"&amp;J882))</f>
        <v/>
      </c>
      <c r="K902" s="23">
        <f>IF(K865=(pr_close+1),0,SUMIFS($D$877:J$877,$D$865:J$865,"&gt;"&amp;K882))</f>
        <v/>
      </c>
      <c r="L902" s="23">
        <f>IF(L865=(pr_close+1),0,SUMIFS($D$877:K$877,$D$865:K$865,"&gt;"&amp;L882))</f>
        <v/>
      </c>
      <c r="M902" s="23">
        <f>IF(M865=(pr_close+1),0,SUMIFS($D$877:L$877,$D$865:L$865,"&gt;"&amp;M882))</f>
        <v/>
      </c>
      <c r="N902" s="23">
        <f>IF(N865=(pr_close+1),0,SUMIFS($D$877:M$877,$D$865:M$865,"&gt;"&amp;N882))</f>
        <v/>
      </c>
    </row>
    <row r="903">
      <c r="B903" s="2" t="inlineStr">
        <is>
          <t>DSIC surcharge (capped)</t>
        </is>
      </c>
      <c r="C903" s="5" t="inlineStr">
        <is>
          <t>$ million</t>
        </is>
      </c>
      <c r="E903" s="23">
        <f>IF(AND(pr_dsic=1,E865&gt;(pr_close+1)),MIN(pr_dsic_cap*E900,E902*((pr_eq*pr_roe+(1-pr_eq)*D926)+(pr_eq*pr_roe*pr_tax/(1-pr_tax))+pr_dep)),0)</f>
        <v/>
      </c>
      <c r="F903" s="23">
        <f>IF(AND(pr_dsic=1,F865&gt;(pr_close+1)),MIN(pr_dsic_cap*F900,F902*((pr_eq*pr_roe+(1-pr_eq)*E926)+(pr_eq*pr_roe*pr_tax/(1-pr_tax))+pr_dep)),0)</f>
        <v/>
      </c>
      <c r="G903" s="23">
        <f>IF(AND(pr_dsic=1,G865&gt;(pr_close+1)),MIN(pr_dsic_cap*G900,G902*((pr_eq*pr_roe+(1-pr_eq)*F926)+(pr_eq*pr_roe*pr_tax/(1-pr_tax))+pr_dep)),0)</f>
        <v/>
      </c>
      <c r="H903" s="23">
        <f>IF(AND(pr_dsic=1,H865&gt;(pr_close+1)),MIN(pr_dsic_cap*H900,H902*((pr_eq*pr_roe+(1-pr_eq)*G926)+(pr_eq*pr_roe*pr_tax/(1-pr_tax))+pr_dep)),0)</f>
        <v/>
      </c>
      <c r="I903" s="23">
        <f>IF(AND(pr_dsic=1,I865&gt;(pr_close+1)),MIN(pr_dsic_cap*I900,I902*((pr_eq*pr_roe+(1-pr_eq)*H926)+(pr_eq*pr_roe*pr_tax/(1-pr_tax))+pr_dep)),0)</f>
        <v/>
      </c>
      <c r="J903" s="23">
        <f>IF(AND(pr_dsic=1,J865&gt;(pr_close+1)),MIN(pr_dsic_cap*J900,J902*((pr_eq*pr_roe+(1-pr_eq)*I926)+(pr_eq*pr_roe*pr_tax/(1-pr_tax))+pr_dep)),0)</f>
        <v/>
      </c>
      <c r="K903" s="23">
        <f>IF(AND(pr_dsic=1,K865&gt;(pr_close+1)),MIN(pr_dsic_cap*K900,K902*((pr_eq*pr_roe+(1-pr_eq)*J926)+(pr_eq*pr_roe*pr_tax/(1-pr_tax))+pr_dep)),0)</f>
        <v/>
      </c>
      <c r="L903" s="23">
        <f>IF(AND(pr_dsic=1,L865&gt;(pr_close+1)),MIN(pr_dsic_cap*L900,L902*((pr_eq*pr_roe+(1-pr_eq)*K926)+(pr_eq*pr_roe*pr_tax/(1-pr_tax))+pr_dep)),0)</f>
        <v/>
      </c>
      <c r="M903" s="23">
        <f>IF(AND(pr_dsic=1,M865&gt;(pr_close+1)),MIN(pr_dsic_cap*M900,M902*((pr_eq*pr_roe+(1-pr_eq)*L926)+(pr_eq*pr_roe*pr_tax/(1-pr_tax))+pr_dep)),0)</f>
        <v/>
      </c>
      <c r="N903" s="23">
        <f>IF(AND(pr_dsic=1,N865&gt;(pr_close+1)),MIN(pr_dsic_cap*N900,N902*((pr_eq*pr_roe+(1-pr_eq)*M926)+(pr_eq*pr_roe*pr_tax/(1-pr_tax))+pr_dep)),0)</f>
        <v/>
      </c>
    </row>
    <row r="904">
      <c r="B904" s="3" t="inlineStr">
        <is>
          <t>Revenue</t>
        </is>
      </c>
      <c r="C904" s="5" t="inlineStr">
        <is>
          <t>$ million</t>
        </is>
      </c>
      <c r="E904" s="23">
        <f>E900+E901+E903</f>
        <v/>
      </c>
      <c r="F904" s="23">
        <f>F900+F901+F903</f>
        <v/>
      </c>
      <c r="G904" s="23">
        <f>G900+G901+G903</f>
        <v/>
      </c>
      <c r="H904" s="23">
        <f>H900+H901+H903</f>
        <v/>
      </c>
      <c r="I904" s="23">
        <f>I900+I901+I903</f>
        <v/>
      </c>
      <c r="J904" s="23">
        <f>J900+J901+J903</f>
        <v/>
      </c>
      <c r="K904" s="23">
        <f>K900+K901+K903</f>
        <v/>
      </c>
      <c r="L904" s="23">
        <f>L900+L901+L903</f>
        <v/>
      </c>
      <c r="M904" s="23">
        <f>M900+M901+M903</f>
        <v/>
      </c>
      <c r="N904" s="23">
        <f>N900+N901+N903</f>
        <v/>
      </c>
    </row>
    <row r="906">
      <c r="B906" s="6" t="inlineStr">
        <is>
          <t>Costs and income ($ million)</t>
        </is>
      </c>
      <c r="C906" s="7" t="n"/>
      <c r="D906" s="7" t="n"/>
      <c r="E906" s="7" t="n"/>
      <c r="F906" s="7" t="n"/>
      <c r="G906" s="7" t="n"/>
      <c r="H906" s="7" t="n"/>
      <c r="I906" s="7" t="n"/>
      <c r="J906" s="7" t="n"/>
      <c r="K906" s="7" t="n"/>
      <c r="L906" s="7" t="n"/>
      <c r="M906" s="7" t="n"/>
      <c r="N906" s="7" t="n"/>
    </row>
    <row r="907">
      <c r="B907" s="2" t="inlineStr">
        <is>
          <t>Operation and maintenance (with PFAS and Fennick)</t>
        </is>
      </c>
      <c r="C907" s="5" t="inlineStr">
        <is>
          <t>$ million</t>
        </is>
      </c>
      <c r="D907" s="23">
        <f>pr_om_2028/((1+pr_om_infl)*(1+pr_growth))</f>
        <v/>
      </c>
      <c r="E907" s="23">
        <f>pr_om_2028*((1+pr_om_infl)*(1+pr_growth))^E866+IF(E865&gt;=pr_pfas_om_y+pr_pfas_delay,pr_pfas_om*(1+pr_pfas_om_esc)^(E865-pr_pfas_om_y),0)+IF(AND(pr_fen_on=1,E865&gt;pr_fen_year),pr_fen_om*(1+pr_fen_esc)^(E865-pr_fen_year-1),0)</f>
        <v/>
      </c>
      <c r="F907" s="23">
        <f>pr_om_2028*((1+pr_om_infl)*(1+pr_growth))^F866+IF(F865&gt;=pr_pfas_om_y+pr_pfas_delay,pr_pfas_om*(1+pr_pfas_om_esc)^(F865-pr_pfas_om_y),0)+IF(AND(pr_fen_on=1,F865&gt;pr_fen_year),pr_fen_om*(1+pr_fen_esc)^(F865-pr_fen_year-1),0)</f>
        <v/>
      </c>
      <c r="G907" s="23">
        <f>pr_om_2028*((1+pr_om_infl)*(1+pr_growth))^G866+IF(G865&gt;=pr_pfas_om_y+pr_pfas_delay,pr_pfas_om*(1+pr_pfas_om_esc)^(G865-pr_pfas_om_y),0)+IF(AND(pr_fen_on=1,G865&gt;pr_fen_year),pr_fen_om*(1+pr_fen_esc)^(G865-pr_fen_year-1),0)</f>
        <v/>
      </c>
      <c r="H907" s="23">
        <f>pr_om_2028*((1+pr_om_infl)*(1+pr_growth))^H866+IF(H865&gt;=pr_pfas_om_y+pr_pfas_delay,pr_pfas_om*(1+pr_pfas_om_esc)^(H865-pr_pfas_om_y),0)+IF(AND(pr_fen_on=1,H865&gt;pr_fen_year),pr_fen_om*(1+pr_fen_esc)^(H865-pr_fen_year-1),0)</f>
        <v/>
      </c>
      <c r="I907" s="23">
        <f>pr_om_2028*((1+pr_om_infl)*(1+pr_growth))^I866+IF(I865&gt;=pr_pfas_om_y+pr_pfas_delay,pr_pfas_om*(1+pr_pfas_om_esc)^(I865-pr_pfas_om_y),0)+IF(AND(pr_fen_on=1,I865&gt;pr_fen_year),pr_fen_om*(1+pr_fen_esc)^(I865-pr_fen_year-1),0)</f>
        <v/>
      </c>
      <c r="J907" s="23">
        <f>pr_om_2028*((1+pr_om_infl)*(1+pr_growth))^J866+IF(J865&gt;=pr_pfas_om_y+pr_pfas_delay,pr_pfas_om*(1+pr_pfas_om_esc)^(J865-pr_pfas_om_y),0)+IF(AND(pr_fen_on=1,J865&gt;pr_fen_year),pr_fen_om*(1+pr_fen_esc)^(J865-pr_fen_year-1),0)</f>
        <v/>
      </c>
      <c r="K907" s="23">
        <f>pr_om_2028*((1+pr_om_infl)*(1+pr_growth))^K866+IF(K865&gt;=pr_pfas_om_y+pr_pfas_delay,pr_pfas_om*(1+pr_pfas_om_esc)^(K865-pr_pfas_om_y),0)+IF(AND(pr_fen_on=1,K865&gt;pr_fen_year),pr_fen_om*(1+pr_fen_esc)^(K865-pr_fen_year-1),0)</f>
        <v/>
      </c>
      <c r="L907" s="23">
        <f>pr_om_2028*((1+pr_om_infl)*(1+pr_growth))^L866+IF(L865&gt;=pr_pfas_om_y+pr_pfas_delay,pr_pfas_om*(1+pr_pfas_om_esc)^(L865-pr_pfas_om_y),0)+IF(AND(pr_fen_on=1,L865&gt;pr_fen_year),pr_fen_om*(1+pr_fen_esc)^(L865-pr_fen_year-1),0)</f>
        <v/>
      </c>
      <c r="M907" s="23">
        <f>pr_om_2028*((1+pr_om_infl)*(1+pr_growth))^M866+IF(M865&gt;=pr_pfas_om_y+pr_pfas_delay,pr_pfas_om*(1+pr_pfas_om_esc)^(M865-pr_pfas_om_y),0)+IF(AND(pr_fen_on=1,M865&gt;pr_fen_year),pr_fen_om*(1+pr_fen_esc)^(M865-pr_fen_year-1),0)</f>
        <v/>
      </c>
      <c r="N907" s="23">
        <f>pr_om_2028*((1+pr_om_infl)*(1+pr_growth))^N866+IF(N865&gt;=pr_pfas_om_y+pr_pfas_delay,pr_pfas_om*(1+pr_pfas_om_esc)^(N865-pr_pfas_om_y),0)+IF(AND(pr_fen_on=1,N865&gt;pr_fen_year),pr_fen_om*(1+pr_fen_esc)^(N865-pr_fen_year-1),0)</f>
        <v/>
      </c>
    </row>
    <row r="908">
      <c r="B908" s="2" t="inlineStr">
        <is>
          <t>Customer-side lead cost expensed</t>
        </is>
      </c>
      <c r="C908" s="5" t="inlineStr">
        <is>
          <t>$ million</t>
        </is>
      </c>
      <c r="E908" s="23">
        <f>pr_lead_exp*E874*pr_lead_cust</f>
        <v/>
      </c>
      <c r="F908" s="23">
        <f>pr_lead_exp*F874*pr_lead_cust</f>
        <v/>
      </c>
      <c r="G908" s="23">
        <f>pr_lead_exp*G874*pr_lead_cust</f>
        <v/>
      </c>
      <c r="H908" s="23">
        <f>pr_lead_exp*H874*pr_lead_cust</f>
        <v/>
      </c>
      <c r="I908" s="23">
        <f>pr_lead_exp*I874*pr_lead_cust</f>
        <v/>
      </c>
      <c r="J908" s="23">
        <f>pr_lead_exp*J874*pr_lead_cust</f>
        <v/>
      </c>
      <c r="K908" s="23">
        <f>pr_lead_exp*K874*pr_lead_cust</f>
        <v/>
      </c>
      <c r="L908" s="23">
        <f>pr_lead_exp*L874*pr_lead_cust</f>
        <v/>
      </c>
      <c r="M908" s="23">
        <f>pr_lead_exp*M874*pr_lead_cust</f>
        <v/>
      </c>
      <c r="N908" s="23">
        <f>pr_lead_exp*N874*pr_lead_cust</f>
        <v/>
      </c>
    </row>
    <row r="909">
      <c r="B909" s="2" t="inlineStr">
        <is>
          <t>Other taxes</t>
        </is>
      </c>
      <c r="C909" s="5" t="inlineStr">
        <is>
          <t>$ million</t>
        </is>
      </c>
      <c r="E909" s="23">
        <f>pr_ptax*E918</f>
        <v/>
      </c>
      <c r="F909" s="23">
        <f>pr_ptax*F918</f>
        <v/>
      </c>
      <c r="G909" s="23">
        <f>pr_ptax*G918</f>
        <v/>
      </c>
      <c r="H909" s="23">
        <f>pr_ptax*H918</f>
        <v/>
      </c>
      <c r="I909" s="23">
        <f>pr_ptax*I918</f>
        <v/>
      </c>
      <c r="J909" s="23">
        <f>pr_ptax*J918</f>
        <v/>
      </c>
      <c r="K909" s="23">
        <f>pr_ptax*K918</f>
        <v/>
      </c>
      <c r="L909" s="23">
        <f>pr_ptax*L918</f>
        <v/>
      </c>
      <c r="M909" s="23">
        <f>pr_ptax*M918</f>
        <v/>
      </c>
      <c r="N909" s="23">
        <f>pr_ptax*N918</f>
        <v/>
      </c>
    </row>
    <row r="910">
      <c r="B910" s="2" t="inlineStr">
        <is>
          <t>EBITDA</t>
        </is>
      </c>
      <c r="C910" s="5" t="inlineStr">
        <is>
          <t>$ million</t>
        </is>
      </c>
      <c r="E910" s="23">
        <f>E904-E907-E909-E908</f>
        <v/>
      </c>
      <c r="F910" s="23">
        <f>F904-F907-F909-F908</f>
        <v/>
      </c>
      <c r="G910" s="23">
        <f>G904-G907-G909-G908</f>
        <v/>
      </c>
      <c r="H910" s="23">
        <f>H904-H907-H909-H908</f>
        <v/>
      </c>
      <c r="I910" s="23">
        <f>I904-I907-I909-I908</f>
        <v/>
      </c>
      <c r="J910" s="23">
        <f>J904-J907-J909-J908</f>
        <v/>
      </c>
      <c r="K910" s="23">
        <f>K904-K907-K909-K908</f>
        <v/>
      </c>
      <c r="L910" s="23">
        <f>L904-L907-L909-L908</f>
        <v/>
      </c>
      <c r="M910" s="23">
        <f>M904-M907-M909-M908</f>
        <v/>
      </c>
      <c r="N910" s="23">
        <f>N904-N907-N909-N908</f>
        <v/>
      </c>
    </row>
    <row r="911">
      <c r="B911" s="2" t="inlineStr">
        <is>
          <t>Depreciation</t>
        </is>
      </c>
      <c r="C911" s="5" t="inlineStr">
        <is>
          <t>$ million</t>
        </is>
      </c>
      <c r="E911" s="23">
        <f>pr_dep*E918</f>
        <v/>
      </c>
      <c r="F911" s="23">
        <f>pr_dep*F918</f>
        <v/>
      </c>
      <c r="G911" s="23">
        <f>pr_dep*G918</f>
        <v/>
      </c>
      <c r="H911" s="23">
        <f>pr_dep*H918</f>
        <v/>
      </c>
      <c r="I911" s="23">
        <f>pr_dep*I918</f>
        <v/>
      </c>
      <c r="J911" s="23">
        <f>pr_dep*J918</f>
        <v/>
      </c>
      <c r="K911" s="23">
        <f>pr_dep*K918</f>
        <v/>
      </c>
      <c r="L911" s="23">
        <f>pr_dep*L918</f>
        <v/>
      </c>
      <c r="M911" s="23">
        <f>pr_dep*M918</f>
        <v/>
      </c>
      <c r="N911" s="23">
        <f>pr_dep*N918</f>
        <v/>
      </c>
    </row>
    <row r="912">
      <c r="B912" s="2" t="inlineStr">
        <is>
          <t>Interest (average of opening and closing debt)</t>
        </is>
      </c>
      <c r="C912" s="5" t="inlineStr">
        <is>
          <t>$ million</t>
        </is>
      </c>
      <c r="E912" s="23">
        <f>0.5*(D924*D926+E924*E926)</f>
        <v/>
      </c>
      <c r="F912" s="23">
        <f>0.5*(E924*E926+F924*F926)</f>
        <v/>
      </c>
      <c r="G912" s="23">
        <f>0.5*(F924*F926+G924*G926)</f>
        <v/>
      </c>
      <c r="H912" s="23">
        <f>0.5*(G924*G926+H924*H926)</f>
        <v/>
      </c>
      <c r="I912" s="23">
        <f>0.5*(H924*H926+I924*I926)</f>
        <v/>
      </c>
      <c r="J912" s="23">
        <f>0.5*(I924*I926+J924*J926)</f>
        <v/>
      </c>
      <c r="K912" s="23">
        <f>0.5*(J924*J926+K924*K926)</f>
        <v/>
      </c>
      <c r="L912" s="23">
        <f>0.5*(K924*K926+L924*L926)</f>
        <v/>
      </c>
      <c r="M912" s="23">
        <f>0.5*(L924*L926+M924*M926)</f>
        <v/>
      </c>
      <c r="N912" s="23">
        <f>0.5*(M924*M926+N924*N926)</f>
        <v/>
      </c>
    </row>
    <row r="913">
      <c r="B913" s="2" t="inlineStr">
        <is>
          <t>Income before tax</t>
        </is>
      </c>
      <c r="C913" s="5" t="inlineStr">
        <is>
          <t>$ million</t>
        </is>
      </c>
      <c r="E913" s="23">
        <f>E910-E911-E912</f>
        <v/>
      </c>
      <c r="F913" s="23">
        <f>F910-F911-F912</f>
        <v/>
      </c>
      <c r="G913" s="23">
        <f>G910-G911-G912</f>
        <v/>
      </c>
      <c r="H913" s="23">
        <f>H910-H911-H912</f>
        <v/>
      </c>
      <c r="I913" s="23">
        <f>I910-I911-I912</f>
        <v/>
      </c>
      <c r="J913" s="23">
        <f>J910-J911-J912</f>
        <v/>
      </c>
      <c r="K913" s="23">
        <f>K910-K911-K912</f>
        <v/>
      </c>
      <c r="L913" s="23">
        <f>L910-L911-L912</f>
        <v/>
      </c>
      <c r="M913" s="23">
        <f>M910-M911-M912</f>
        <v/>
      </c>
      <c r="N913" s="23">
        <f>N910-N911-N912</f>
        <v/>
      </c>
    </row>
    <row r="914">
      <c r="B914" s="2" t="inlineStr">
        <is>
          <t>Income tax</t>
        </is>
      </c>
      <c r="C914" s="5" t="inlineStr">
        <is>
          <t>$ million</t>
        </is>
      </c>
      <c r="E914" s="23">
        <f>pr_tax*E913</f>
        <v/>
      </c>
      <c r="F914" s="23">
        <f>pr_tax*F913</f>
        <v/>
      </c>
      <c r="G914" s="23">
        <f>pr_tax*G913</f>
        <v/>
      </c>
      <c r="H914" s="23">
        <f>pr_tax*H913</f>
        <v/>
      </c>
      <c r="I914" s="23">
        <f>pr_tax*I913</f>
        <v/>
      </c>
      <c r="J914" s="23">
        <f>pr_tax*J913</f>
        <v/>
      </c>
      <c r="K914" s="23">
        <f>pr_tax*K913</f>
        <v/>
      </c>
      <c r="L914" s="23">
        <f>pr_tax*L913</f>
        <v/>
      </c>
      <c r="M914" s="23">
        <f>pr_tax*M913</f>
        <v/>
      </c>
      <c r="N914" s="23">
        <f>pr_tax*N913</f>
        <v/>
      </c>
    </row>
    <row r="915">
      <c r="B915" s="3" t="inlineStr">
        <is>
          <t>Net income</t>
        </is>
      </c>
      <c r="C915" s="5" t="inlineStr">
        <is>
          <t>$ million</t>
        </is>
      </c>
      <c r="E915" s="23">
        <f>E913-E914</f>
        <v/>
      </c>
      <c r="F915" s="23">
        <f>F913-F914</f>
        <v/>
      </c>
      <c r="G915" s="23">
        <f>G913-G914</f>
        <v/>
      </c>
      <c r="H915" s="23">
        <f>H913-H914</f>
        <v/>
      </c>
      <c r="I915" s="23">
        <f>I913-I914</f>
        <v/>
      </c>
      <c r="J915" s="23">
        <f>J913-J914</f>
        <v/>
      </c>
      <c r="K915" s="23">
        <f>K913-K914</f>
        <v/>
      </c>
      <c r="L915" s="23">
        <f>L913-L914</f>
        <v/>
      </c>
      <c r="M915" s="23">
        <f>M913-M914</f>
        <v/>
      </c>
      <c r="N915" s="23">
        <f>N913-N914</f>
        <v/>
      </c>
    </row>
    <row r="917">
      <c r="B917" s="6" t="inlineStr">
        <is>
          <t>Rate base and debt ($ million)</t>
        </is>
      </c>
      <c r="C917" s="7" t="n"/>
      <c r="D917" s="7" t="n"/>
      <c r="E917" s="7" t="n"/>
      <c r="F917" s="7" t="n"/>
      <c r="G917" s="7" t="n"/>
      <c r="H917" s="7" t="n"/>
      <c r="I917" s="7" t="n"/>
      <c r="J917" s="7" t="n"/>
      <c r="K917" s="7" t="n"/>
      <c r="L917" s="7" t="n"/>
      <c r="M917" s="7" t="n"/>
      <c r="N917" s="7" t="n"/>
    </row>
    <row r="918">
      <c r="B918" s="2" t="inlineStr">
        <is>
          <t>Opening rate base</t>
        </is>
      </c>
      <c r="C918" s="5" t="inlineStr">
        <is>
          <t>$ million</t>
        </is>
      </c>
      <c r="E918" s="23">
        <f>D922</f>
        <v/>
      </c>
      <c r="F918" s="23">
        <f>E922</f>
        <v/>
      </c>
      <c r="G918" s="23">
        <f>F922</f>
        <v/>
      </c>
      <c r="H918" s="23">
        <f>G922</f>
        <v/>
      </c>
      <c r="I918" s="23">
        <f>H922</f>
        <v/>
      </c>
      <c r="J918" s="23">
        <f>I922</f>
        <v/>
      </c>
      <c r="K918" s="23">
        <f>J922</f>
        <v/>
      </c>
      <c r="L918" s="23">
        <f>K922</f>
        <v/>
      </c>
      <c r="M918" s="23">
        <f>L922</f>
        <v/>
      </c>
      <c r="N918" s="23">
        <f>M922</f>
        <v/>
      </c>
    </row>
    <row r="919">
      <c r="B919" s="2" t="inlineStr">
        <is>
          <t>Spending disallowed (never in rate base)</t>
        </is>
      </c>
      <c r="C919" s="5" t="inlineStr">
        <is>
          <t>$ million</t>
        </is>
      </c>
      <c r="E919" s="23">
        <f>pr_disallow*(E873+E874-E908)</f>
        <v/>
      </c>
      <c r="F919" s="23">
        <f>pr_disallow*(F873+F874-F908)</f>
        <v/>
      </c>
      <c r="G919" s="23">
        <f>pr_disallow*(G873+G874-G908)</f>
        <v/>
      </c>
      <c r="H919" s="23">
        <f>pr_disallow*(H873+H874-H908)</f>
        <v/>
      </c>
      <c r="I919" s="23">
        <f>pr_disallow*(I873+I874-I908)</f>
        <v/>
      </c>
      <c r="J919" s="23">
        <f>pr_disallow*(J873+J874-J908)</f>
        <v/>
      </c>
      <c r="K919" s="23">
        <f>pr_disallow*(K873+K874-K908)</f>
        <v/>
      </c>
      <c r="L919" s="23">
        <f>pr_disallow*(L873+L874-L908)</f>
        <v/>
      </c>
      <c r="M919" s="23">
        <f>pr_disallow*(M873+M874-M908)</f>
        <v/>
      </c>
      <c r="N919" s="23">
        <f>pr_disallow*(N873+N874-N908)</f>
        <v/>
      </c>
    </row>
    <row r="920">
      <c r="B920" s="2" t="inlineStr">
        <is>
          <t>Acquisitions (Fennick at its price)</t>
        </is>
      </c>
      <c r="C920" s="5" t="inlineStr">
        <is>
          <t>$ million</t>
        </is>
      </c>
      <c r="E920" s="23">
        <f>IF(AND(pr_fen_on=1,E865=pr_fen_year),pr_fen_price,0)</f>
        <v/>
      </c>
      <c r="F920" s="23">
        <f>IF(AND(pr_fen_on=1,F865=pr_fen_year),pr_fen_price,0)</f>
        <v/>
      </c>
      <c r="G920" s="23">
        <f>IF(AND(pr_fen_on=1,G865=pr_fen_year),pr_fen_price,0)</f>
        <v/>
      </c>
      <c r="H920" s="23">
        <f>IF(AND(pr_fen_on=1,H865=pr_fen_year),pr_fen_price,0)</f>
        <v/>
      </c>
      <c r="I920" s="23">
        <f>IF(AND(pr_fen_on=1,I865=pr_fen_year),pr_fen_price,0)</f>
        <v/>
      </c>
      <c r="J920" s="23">
        <f>IF(AND(pr_fen_on=1,J865=pr_fen_year),pr_fen_price,0)</f>
        <v/>
      </c>
      <c r="K920" s="23">
        <f>IF(AND(pr_fen_on=1,K865=pr_fen_year),pr_fen_price,0)</f>
        <v/>
      </c>
      <c r="L920" s="23">
        <f>IF(AND(pr_fen_on=1,L865=pr_fen_year),pr_fen_price,0)</f>
        <v/>
      </c>
      <c r="M920" s="23">
        <f>IF(AND(pr_fen_on=1,M865=pr_fen_year),pr_fen_price,0)</f>
        <v/>
      </c>
      <c r="N920" s="23">
        <f>IF(AND(pr_fen_on=1,N865=pr_fen_year),pr_fen_price,0)</f>
        <v/>
      </c>
    </row>
    <row r="921">
      <c r="B921" s="2" t="inlineStr">
        <is>
          <t>Settlement credited against rate base</t>
        </is>
      </c>
      <c r="C921" s="5" t="inlineStr">
        <is>
          <t>$ million</t>
        </is>
      </c>
      <c r="E921" s="23">
        <f>IF(E865=pr_settle_y,pr_settle,0)</f>
        <v/>
      </c>
      <c r="F921" s="23">
        <f>IF(F865=pr_settle_y,pr_settle,0)</f>
        <v/>
      </c>
      <c r="G921" s="23">
        <f>IF(G865=pr_settle_y,pr_settle,0)</f>
        <v/>
      </c>
      <c r="H921" s="23">
        <f>IF(H865=pr_settle_y,pr_settle,0)</f>
        <v/>
      </c>
      <c r="I921" s="23">
        <f>IF(I865=pr_settle_y,pr_settle,0)</f>
        <v/>
      </c>
      <c r="J921" s="23">
        <f>IF(J865=pr_settle_y,pr_settle,0)</f>
        <v/>
      </c>
      <c r="K921" s="23">
        <f>IF(K865=pr_settle_y,pr_settle,0)</f>
        <v/>
      </c>
      <c r="L921" s="23">
        <f>IF(L865=pr_settle_y,pr_settle,0)</f>
        <v/>
      </c>
      <c r="M921" s="23">
        <f>IF(M865=pr_settle_y,pr_settle,0)</f>
        <v/>
      </c>
      <c r="N921" s="23">
        <f>IF(N865=pr_settle_y,pr_settle,0)</f>
        <v/>
      </c>
    </row>
    <row r="922">
      <c r="B922" s="3" t="inlineStr">
        <is>
          <t>Closing rate base</t>
        </is>
      </c>
      <c r="C922" s="5" t="inlineStr">
        <is>
          <t>$ million</t>
        </is>
      </c>
      <c r="D922" s="23">
        <f>pr_rb0</f>
        <v/>
      </c>
      <c r="E922" s="23">
        <f>E918+E876-E908-E919+E920-E911-E921</f>
        <v/>
      </c>
      <c r="F922" s="23">
        <f>F918+F876-F908-F919+F920-F911-F921</f>
        <v/>
      </c>
      <c r="G922" s="23">
        <f>G918+G876-G908-G919+G920-G911-G921</f>
        <v/>
      </c>
      <c r="H922" s="23">
        <f>H918+H876-H908-H919+H920-H911-H921</f>
        <v/>
      </c>
      <c r="I922" s="23">
        <f>I918+I876-I908-I919+I920-I911-I921</f>
        <v/>
      </c>
      <c r="J922" s="23">
        <f>J918+J876-J908-J919+J920-J911-J921</f>
        <v/>
      </c>
      <c r="K922" s="23">
        <f>K918+K876-K908-K919+K920-K911-K921</f>
        <v/>
      </c>
      <c r="L922" s="23">
        <f>L918+L876-L908-L919+L920-L911-L921</f>
        <v/>
      </c>
      <c r="M922" s="23">
        <f>M918+M876-M908-M919+M920-M911-M921</f>
        <v/>
      </c>
      <c r="N922" s="23">
        <f>N918+N876-N908-N919+N920-N911-N921</f>
        <v/>
      </c>
    </row>
    <row r="923">
      <c r="B923" s="2" t="inlineStr">
        <is>
          <t>Original bonds outstanding</t>
        </is>
      </c>
      <c r="C923" s="5" t="inlineStr">
        <is>
          <t>$ million</t>
        </is>
      </c>
      <c r="D923" s="23">
        <f>(1-pr_eq)*pr_rb0</f>
        <v/>
      </c>
      <c r="E923" s="23">
        <f>MAX(0,D923-pr_amort*(1-pr_eq)*pr_rb0)</f>
        <v/>
      </c>
      <c r="F923" s="23">
        <f>MAX(0,E923-pr_amort*(1-pr_eq)*pr_rb0)</f>
        <v/>
      </c>
      <c r="G923" s="23">
        <f>MAX(0,F923-pr_amort*(1-pr_eq)*pr_rb0)</f>
        <v/>
      </c>
      <c r="H923" s="23">
        <f>MAX(0,G923-pr_amort*(1-pr_eq)*pr_rb0)</f>
        <v/>
      </c>
      <c r="I923" s="23">
        <f>MAX(0,H923-pr_amort*(1-pr_eq)*pr_rb0)</f>
        <v/>
      </c>
      <c r="J923" s="23">
        <f>MAX(0,I923-pr_amort*(1-pr_eq)*pr_rb0)</f>
        <v/>
      </c>
      <c r="K923" s="23">
        <f>MAX(0,J923-pr_amort*(1-pr_eq)*pr_rb0)</f>
        <v/>
      </c>
      <c r="L923" s="23">
        <f>MAX(0,K923-pr_amort*(1-pr_eq)*pr_rb0)</f>
        <v/>
      </c>
      <c r="M923" s="23">
        <f>MAX(0,L923-pr_amort*(1-pr_eq)*pr_rb0)</f>
        <v/>
      </c>
      <c r="N923" s="23">
        <f>MAX(0,M923-pr_amort*(1-pr_eq)*pr_rb0)</f>
        <v/>
      </c>
    </row>
    <row r="924">
      <c r="B924" s="2" t="inlineStr">
        <is>
          <t>Operating company debt (debt share of rate base)</t>
        </is>
      </c>
      <c r="C924" s="5" t="inlineStr">
        <is>
          <t>$ million</t>
        </is>
      </c>
      <c r="D924" s="23">
        <f>(1-pr_eq)*D922</f>
        <v/>
      </c>
      <c r="E924" s="23">
        <f>(1-pr_eq)*E922</f>
        <v/>
      </c>
      <c r="F924" s="23">
        <f>(1-pr_eq)*F922</f>
        <v/>
      </c>
      <c r="G924" s="23">
        <f>(1-pr_eq)*G922</f>
        <v/>
      </c>
      <c r="H924" s="23">
        <f>(1-pr_eq)*H922</f>
        <v/>
      </c>
      <c r="I924" s="23">
        <f>(1-pr_eq)*I922</f>
        <v/>
      </c>
      <c r="J924" s="23">
        <f>(1-pr_eq)*J922</f>
        <v/>
      </c>
      <c r="K924" s="23">
        <f>(1-pr_eq)*K922</f>
        <v/>
      </c>
      <c r="L924" s="23">
        <f>(1-pr_eq)*L922</f>
        <v/>
      </c>
      <c r="M924" s="23">
        <f>(1-pr_eq)*M922</f>
        <v/>
      </c>
      <c r="N924" s="23">
        <f>(1-pr_eq)*N922</f>
        <v/>
      </c>
    </row>
    <row r="925">
      <c r="B925" s="2" t="inlineStr">
        <is>
          <t>New bonds outstanding</t>
        </is>
      </c>
      <c r="C925" s="5" t="inlineStr">
        <is>
          <t>$ million</t>
        </is>
      </c>
      <c r="D925" s="23">
        <f>D924-D923</f>
        <v/>
      </c>
      <c r="E925" s="23">
        <f>E924-E923</f>
        <v/>
      </c>
      <c r="F925" s="23">
        <f>F924-F923</f>
        <v/>
      </c>
      <c r="G925" s="23">
        <f>G924-G923</f>
        <v/>
      </c>
      <c r="H925" s="23">
        <f>H924-H923</f>
        <v/>
      </c>
      <c r="I925" s="23">
        <f>I924-I923</f>
        <v/>
      </c>
      <c r="J925" s="23">
        <f>J924-J923</f>
        <v/>
      </c>
      <c r="K925" s="23">
        <f>K924-K923</f>
        <v/>
      </c>
      <c r="L925" s="23">
        <f>L924-L923</f>
        <v/>
      </c>
      <c r="M925" s="23">
        <f>M924-M923</f>
        <v/>
      </c>
      <c r="N925" s="23">
        <f>N924-N923</f>
        <v/>
      </c>
    </row>
    <row r="926">
      <c r="B926" s="2" t="inlineStr">
        <is>
          <t>Embedded cost of debt at year end</t>
        </is>
      </c>
      <c r="C926" s="5" t="inlineStr">
        <is>
          <t>rate</t>
        </is>
      </c>
      <c r="D926" s="27">
        <f>pr_kd_old</f>
        <v/>
      </c>
      <c r="E926" s="27">
        <f>(E923*pr_kd_old+E925*pr_kd_new)/E924</f>
        <v/>
      </c>
      <c r="F926" s="27">
        <f>(F923*pr_kd_old+F925*pr_kd_new)/F924</f>
        <v/>
      </c>
      <c r="G926" s="27">
        <f>(G923*pr_kd_old+G925*pr_kd_new)/G924</f>
        <v/>
      </c>
      <c r="H926" s="27">
        <f>(H923*pr_kd_old+H925*pr_kd_new)/H924</f>
        <v/>
      </c>
      <c r="I926" s="27">
        <f>(I923*pr_kd_old+I925*pr_kd_new)/I924</f>
        <v/>
      </c>
      <c r="J926" s="27">
        <f>(J923*pr_kd_old+J925*pr_kd_new)/J924</f>
        <v/>
      </c>
      <c r="K926" s="27">
        <f>(K923*pr_kd_old+K925*pr_kd_new)/K924</f>
        <v/>
      </c>
      <c r="L926" s="27">
        <f>(L923*pr_kd_old+L925*pr_kd_new)/L924</f>
        <v/>
      </c>
      <c r="M926" s="27">
        <f>(M923*pr_kd_old+M925*pr_kd_new)/M924</f>
        <v/>
      </c>
      <c r="N926" s="27">
        <f>(N923*pr_kd_old+N925*pr_kd_new)/N924</f>
        <v/>
      </c>
    </row>
    <row r="928">
      <c r="B928" s="6" t="inlineStr">
        <is>
          <t>Returns and cash ($ million)</t>
        </is>
      </c>
      <c r="C928" s="7" t="n"/>
      <c r="D928" s="7" t="n"/>
      <c r="E928" s="7" t="n"/>
      <c r="F928" s="7" t="n"/>
      <c r="G928" s="7" t="n"/>
      <c r="H928" s="7" t="n"/>
      <c r="I928" s="7" t="n"/>
      <c r="J928" s="7" t="n"/>
      <c r="K928" s="7" t="n"/>
      <c r="L928" s="7" t="n"/>
      <c r="M928" s="7" t="n"/>
      <c r="N928" s="7" t="n"/>
    </row>
    <row r="929">
      <c r="B929" s="2" t="inlineStr">
        <is>
          <t>Average equity share of rate base</t>
        </is>
      </c>
      <c r="C929" s="5" t="inlineStr">
        <is>
          <t>$ million</t>
        </is>
      </c>
      <c r="E929" s="23">
        <f>pr_eq*0.5*(E918+E922)</f>
        <v/>
      </c>
      <c r="F929" s="23">
        <f>pr_eq*0.5*(F918+F922)</f>
        <v/>
      </c>
      <c r="G929" s="23">
        <f>pr_eq*0.5*(G918+G922)</f>
        <v/>
      </c>
      <c r="H929" s="23">
        <f>pr_eq*0.5*(H918+H922)</f>
        <v/>
      </c>
      <c r="I929" s="23">
        <f>pr_eq*0.5*(I918+I922)</f>
        <v/>
      </c>
      <c r="J929" s="23">
        <f>pr_eq*0.5*(J918+J922)</f>
        <v/>
      </c>
      <c r="K929" s="23">
        <f>pr_eq*0.5*(K918+K922)</f>
        <v/>
      </c>
      <c r="L929" s="23">
        <f>pr_eq*0.5*(L918+L922)</f>
        <v/>
      </c>
      <c r="M929" s="23">
        <f>pr_eq*0.5*(M918+M922)</f>
        <v/>
      </c>
      <c r="N929" s="23">
        <f>pr_eq*0.5*(N918+N922)</f>
        <v/>
      </c>
    </row>
    <row r="930">
      <c r="B930" s="2" t="inlineStr">
        <is>
          <t>Earned return on equity</t>
        </is>
      </c>
      <c r="C930" s="5" t="inlineStr">
        <is>
          <t>rate</t>
        </is>
      </c>
      <c r="E930" s="27">
        <f>E915/E929</f>
        <v/>
      </c>
      <c r="F930" s="27">
        <f>F915/F929</f>
        <v/>
      </c>
      <c r="G930" s="27">
        <f>G915/G929</f>
        <v/>
      </c>
      <c r="H930" s="27">
        <f>H915/H929</f>
        <v/>
      </c>
      <c r="I930" s="27">
        <f>I915/I929</f>
        <v/>
      </c>
      <c r="J930" s="27">
        <f>J915/J929</f>
        <v/>
      </c>
      <c r="K930" s="27">
        <f>K915/K929</f>
        <v/>
      </c>
      <c r="L930" s="27">
        <f>L915/L929</f>
        <v/>
      </c>
      <c r="M930" s="27">
        <f>M915/M929</f>
        <v/>
      </c>
      <c r="N930" s="27">
        <f>N915/N929</f>
        <v/>
      </c>
    </row>
    <row r="931">
      <c r="B931" s="2" t="inlineStr">
        <is>
          <t>Authorized return on equity</t>
        </is>
      </c>
      <c r="C931" s="5" t="inlineStr">
        <is>
          <t>rate</t>
        </is>
      </c>
      <c r="E931" s="27">
        <f>pr_roe</f>
        <v/>
      </c>
      <c r="F931" s="27">
        <f>pr_roe</f>
        <v/>
      </c>
      <c r="G931" s="27">
        <f>pr_roe</f>
        <v/>
      </c>
      <c r="H931" s="27">
        <f>pr_roe</f>
        <v/>
      </c>
      <c r="I931" s="27">
        <f>pr_roe</f>
        <v/>
      </c>
      <c r="J931" s="27">
        <f>pr_roe</f>
        <v/>
      </c>
      <c r="K931" s="27">
        <f>pr_roe</f>
        <v/>
      </c>
      <c r="L931" s="27">
        <f>pr_roe</f>
        <v/>
      </c>
      <c r="M931" s="27">
        <f>pr_roe</f>
        <v/>
      </c>
      <c r="N931" s="27">
        <f>pr_roe</f>
        <v/>
      </c>
    </row>
    <row r="932">
      <c r="B932" s="3" t="inlineStr">
        <is>
          <t>Cash to the shareholder (FCFE)</t>
        </is>
      </c>
      <c r="C932" s="5" t="inlineStr">
        <is>
          <t>$ million</t>
        </is>
      </c>
      <c r="E932" s="23">
        <f>E915+E911-E876-E920+E921+E924-D924</f>
        <v/>
      </c>
      <c r="F932" s="23">
        <f>F915+F911-F876-F920+F921+F924-E924</f>
        <v/>
      </c>
      <c r="G932" s="23">
        <f>G915+G911-G876-G920+G921+G924-F924</f>
        <v/>
      </c>
      <c r="H932" s="23">
        <f>H915+H911-H876-H920+H921+H924-G924</f>
        <v/>
      </c>
      <c r="I932" s="23">
        <f>I915+I911-I876-I920+I921+I924-H924</f>
        <v/>
      </c>
      <c r="J932" s="23">
        <f>J915+J911-J876-J920+J921+J924-I924</f>
        <v/>
      </c>
      <c r="K932" s="23">
        <f>K915+K911-K876-K920+K921+K924-J924</f>
        <v/>
      </c>
      <c r="L932" s="23">
        <f>L915+L911-L876-L920+L921+L924-K924</f>
        <v/>
      </c>
      <c r="M932" s="23">
        <f>M915+M911-M876-M920+M921+M924-L924</f>
        <v/>
      </c>
      <c r="N932" s="23">
        <f>N915+N911-N876-N920+N921+N924-M924</f>
        <v/>
      </c>
    </row>
    <row r="933">
      <c r="B933" s="2" t="inlineStr">
        <is>
          <t>Funds from operations (net income + depreciation)</t>
        </is>
      </c>
      <c r="C933" s="5" t="inlineStr">
        <is>
          <t>$ million</t>
        </is>
      </c>
      <c r="E933" s="23">
        <f>E915+E911</f>
        <v/>
      </c>
      <c r="F933" s="23">
        <f>F915+F911</f>
        <v/>
      </c>
      <c r="G933" s="23">
        <f>G915+G911</f>
        <v/>
      </c>
      <c r="H933" s="23">
        <f>H915+H911</f>
        <v/>
      </c>
      <c r="I933" s="23">
        <f>I915+I911</f>
        <v/>
      </c>
      <c r="J933" s="23">
        <f>J915+J911</f>
        <v/>
      </c>
      <c r="K933" s="23">
        <f>K915+K911</f>
        <v/>
      </c>
      <c r="L933" s="23">
        <f>L915+L911</f>
        <v/>
      </c>
      <c r="M933" s="23">
        <f>M915+M911</f>
        <v/>
      </c>
      <c r="N933" s="23">
        <f>N915+N911</f>
        <v/>
      </c>
    </row>
    <row r="934">
      <c r="B934" s="3" t="inlineStr">
        <is>
          <t>Brannock's net flows (exit at the exit multiple)</t>
        </is>
      </c>
      <c r="C934" s="5" t="inlineStr">
        <is>
          <t>$ million</t>
        </is>
      </c>
      <c r="D934" s="23">
        <f>-(pr_ev_mult*pr_rb0-(1-pr_eq)*pr_rb0+pr_costs-pr_holdco)</f>
        <v/>
      </c>
      <c r="E934" s="23">
        <f>E932-pr_holdco*pr_kd_holdco*(1-pr_tax)</f>
        <v/>
      </c>
      <c r="F934" s="23">
        <f>F932-pr_holdco*pr_kd_holdco*(1-pr_tax)</f>
        <v/>
      </c>
      <c r="G934" s="23">
        <f>G932-pr_holdco*pr_kd_holdco*(1-pr_tax)</f>
        <v/>
      </c>
      <c r="H934" s="23">
        <f>H932-pr_holdco*pr_kd_holdco*(1-pr_tax)</f>
        <v/>
      </c>
      <c r="I934" s="23">
        <f>I932-pr_holdco*pr_kd_holdco*(1-pr_tax)</f>
        <v/>
      </c>
      <c r="J934" s="23">
        <f>J932-pr_holdco*pr_kd_holdco*(1-pr_tax)</f>
        <v/>
      </c>
      <c r="K934" s="23">
        <f>K932-pr_holdco*pr_kd_holdco*(1-pr_tax)</f>
        <v/>
      </c>
      <c r="L934" s="23">
        <f>L932-pr_holdco*pr_kd_holdco*(1-pr_tax)</f>
        <v/>
      </c>
      <c r="M934" s="23">
        <f>M932-pr_holdco*pr_kd_holdco*(1-pr_tax)</f>
        <v/>
      </c>
      <c r="N934" s="23">
        <f>N932-pr_holdco*pr_kd_holdco*(1-pr_tax)+pr_exit_mult*N922-N924-pr_holdco</f>
        <v/>
      </c>
    </row>
    <row r="935">
      <c r="B935" s="2" t="inlineStr">
        <is>
          <t>Levered IRR</t>
        </is>
      </c>
      <c r="C935" s="5" t="inlineStr">
        <is>
          <t>rate</t>
        </is>
      </c>
      <c r="D935" s="27">
        <f>IRR($D$934:N$934,0.08)</f>
        <v/>
      </c>
    </row>
    <row r="936">
      <c r="B936" s="2" t="inlineStr">
        <is>
          <t>Average earned return on equity 2028 to 2037</t>
        </is>
      </c>
      <c r="C936" s="5" t="inlineStr">
        <is>
          <t>rate</t>
        </is>
      </c>
      <c r="D936" s="27">
        <f>AVERAGE($E$930:N$930)</f>
        <v/>
      </c>
    </row>
    <row r="937">
      <c r="B937" s="2" t="inlineStr">
        <is>
          <t>Price at the target return (enterprise value)</t>
        </is>
      </c>
      <c r="C937" s="5" t="inlineStr">
        <is>
          <t>$ million</t>
        </is>
      </c>
      <c r="D937" s="23">
        <f>NPV(pr_target,$E$934:N$934)+(1-pr_eq)*pr_rb0-pr_costs+pr_holdco</f>
        <v/>
      </c>
    </row>
    <row r="938">
      <c r="B938" s="2" t="inlineStr">
        <is>
          <t>Exit equity</t>
        </is>
      </c>
      <c r="C938" s="5" t="inlineStr">
        <is>
          <t>$ million</t>
        </is>
      </c>
      <c r="D938" s="23">
        <f>pr_exit_mult*N922-N924-pr_holdco</f>
        <v/>
      </c>
    </row>
    <row r="939">
      <c r="B939" s="2" t="inlineStr">
        <is>
          <t>Rate base at exit</t>
        </is>
      </c>
      <c r="C939" s="5" t="inlineStr">
        <is>
          <t>$ million</t>
        </is>
      </c>
      <c r="D939" s="23">
        <f>N922</f>
        <v/>
      </c>
    </row>
    <row r="942">
      <c r="B942" s="6" t="inlineStr">
        <is>
          <t>D2: Use per connection falls 2 percent a year, no decoupling (Pell River, after tax)</t>
        </is>
      </c>
      <c r="C942" s="7" t="n"/>
      <c r="D942" s="7" t="n"/>
      <c r="E942" s="7" t="n"/>
      <c r="F942" s="7" t="n"/>
      <c r="G942" s="7" t="n"/>
      <c r="H942" s="7" t="n"/>
      <c r="I942" s="7" t="n"/>
      <c r="J942" s="7" t="n"/>
      <c r="K942" s="7" t="n"/>
      <c r="L942" s="7" t="n"/>
      <c r="M942" s="7" t="n"/>
      <c r="N942" s="7" t="n"/>
    </row>
    <row r="943">
      <c r="B943" s="2" t="inlineStr">
        <is>
          <t>Year (31 December)</t>
        </is>
      </c>
      <c r="D943" s="26">
        <f>pr_close</f>
        <v/>
      </c>
      <c r="E943" s="26">
        <f>D943+1</f>
        <v/>
      </c>
      <c r="F943" s="26">
        <f>E943+1</f>
        <v/>
      </c>
      <c r="G943" s="26">
        <f>F943+1</f>
        <v/>
      </c>
      <c r="H943" s="26">
        <f>G943+1</f>
        <v/>
      </c>
      <c r="I943" s="26">
        <f>H943+1</f>
        <v/>
      </c>
      <c r="J943" s="26">
        <f>I943+1</f>
        <v/>
      </c>
      <c r="K943" s="26">
        <f>J943+1</f>
        <v/>
      </c>
      <c r="L943" s="26">
        <f>K943+1</f>
        <v/>
      </c>
      <c r="M943" s="26">
        <f>L943+1</f>
        <v/>
      </c>
      <c r="N943" s="26">
        <f>M943+1</f>
        <v/>
      </c>
    </row>
    <row r="944">
      <c r="B944" s="2" t="inlineStr">
        <is>
          <t>Years after the first year of the hold (2028 = 0)</t>
        </is>
      </c>
      <c r="D944" s="26">
        <f>D943-(pr_close+1)</f>
        <v/>
      </c>
      <c r="E944" s="26">
        <f>E943-(pr_close+1)</f>
        <v/>
      </c>
      <c r="F944" s="26">
        <f>F943-(pr_close+1)</f>
        <v/>
      </c>
      <c r="G944" s="26">
        <f>G943-(pr_close+1)</f>
        <v/>
      </c>
      <c r="H944" s="26">
        <f>H943-(pr_close+1)</f>
        <v/>
      </c>
      <c r="I944" s="26">
        <f>I943-(pr_close+1)</f>
        <v/>
      </c>
      <c r="J944" s="26">
        <f>J943-(pr_close+1)</f>
        <v/>
      </c>
      <c r="K944" s="26">
        <f>K943-(pr_close+1)</f>
        <v/>
      </c>
      <c r="L944" s="26">
        <f>L943-(pr_close+1)</f>
        <v/>
      </c>
      <c r="M944" s="26">
        <f>M943-(pr_close+1)</f>
        <v/>
      </c>
      <c r="N944" s="26">
        <f>N943-(pr_close+1)</f>
        <v/>
      </c>
    </row>
    <row r="945">
      <c r="B945" s="2" t="inlineStr">
        <is>
          <t>Connections (water and wastewater), year end</t>
        </is>
      </c>
      <c r="C945" s="5" t="inlineStr">
        <is>
          <t>number</t>
        </is>
      </c>
      <c r="D945" s="19">
        <f>pr_water_conn+pr_ww_conn</f>
        <v/>
      </c>
      <c r="E945" s="19">
        <f>D945*(1+pr_growth)+IF(AND(pr_fen_on=1,E943=pr_fen_year+1),pr_fen_conn,0)</f>
        <v/>
      </c>
      <c r="F945" s="19">
        <f>E945*(1+pr_growth)+IF(AND(pr_fen_on=1,F943=pr_fen_year+1),pr_fen_conn,0)</f>
        <v/>
      </c>
      <c r="G945" s="19">
        <f>F945*(1+pr_growth)+IF(AND(pr_fen_on=1,G943=pr_fen_year+1),pr_fen_conn,0)</f>
        <v/>
      </c>
      <c r="H945" s="19">
        <f>G945*(1+pr_growth)+IF(AND(pr_fen_on=1,H943=pr_fen_year+1),pr_fen_conn,0)</f>
        <v/>
      </c>
      <c r="I945" s="19">
        <f>H945*(1+pr_growth)+IF(AND(pr_fen_on=1,I943=pr_fen_year+1),pr_fen_conn,0)</f>
        <v/>
      </c>
      <c r="J945" s="19">
        <f>I945*(1+pr_growth)+IF(AND(pr_fen_on=1,J943=pr_fen_year+1),pr_fen_conn,0)</f>
        <v/>
      </c>
      <c r="K945" s="19">
        <f>J945*(1+pr_growth)+IF(AND(pr_fen_on=1,K943=pr_fen_year+1),pr_fen_conn,0)</f>
        <v/>
      </c>
      <c r="L945" s="19">
        <f>K945*(1+pr_growth)+IF(AND(pr_fen_on=1,L943=pr_fen_year+1),pr_fen_conn,0)</f>
        <v/>
      </c>
      <c r="M945" s="19">
        <f>L945*(1+pr_growth)+IF(AND(pr_fen_on=1,M943=pr_fen_year+1),pr_fen_conn,0)</f>
        <v/>
      </c>
      <c r="N945" s="19">
        <f>M945*(1+pr_growth)+IF(AND(pr_fen_on=1,N943=pr_fen_year+1),pr_fen_conn,0)</f>
        <v/>
      </c>
    </row>
    <row r="947">
      <c r="B947" s="6" t="inlineStr">
        <is>
          <t>Capital spending ($ million)</t>
        </is>
      </c>
      <c r="C947" s="7" t="n"/>
      <c r="D947" s="7" t="n"/>
      <c r="E947" s="7" t="n"/>
      <c r="F947" s="7" t="n"/>
      <c r="G947" s="7" t="n"/>
      <c r="H947" s="7" t="n"/>
      <c r="I947" s="7" t="n"/>
      <c r="J947" s="7" t="n"/>
      <c r="K947" s="7" t="n"/>
      <c r="L947" s="7" t="n"/>
      <c r="M947" s="7" t="n"/>
      <c r="N947" s="7" t="n"/>
    </row>
    <row r="948">
      <c r="B948" s="2" t="inlineStr">
        <is>
          <t>Cost escalation index (2028 = 1)</t>
        </is>
      </c>
      <c r="E948" s="28">
        <f>(1+pr_capex_esc)^(E943-(pr_close+1))</f>
        <v/>
      </c>
      <c r="F948" s="28">
        <f>(1+pr_capex_esc)^(F943-(pr_close+1))</f>
        <v/>
      </c>
      <c r="G948" s="28">
        <f>(1+pr_capex_esc)^(G943-(pr_close+1))</f>
        <v/>
      </c>
      <c r="H948" s="28">
        <f>(1+pr_capex_esc)^(H943-(pr_close+1))</f>
        <v/>
      </c>
      <c r="I948" s="28">
        <f>(1+pr_capex_esc)^(I943-(pr_close+1))</f>
        <v/>
      </c>
      <c r="J948" s="28">
        <f>(1+pr_capex_esc)^(J943-(pr_close+1))</f>
        <v/>
      </c>
      <c r="K948" s="28">
        <f>(1+pr_capex_esc)^(K943-(pr_close+1))</f>
        <v/>
      </c>
      <c r="L948" s="28">
        <f>(1+pr_capex_esc)^(L943-(pr_close+1))</f>
        <v/>
      </c>
      <c r="M948" s="28">
        <f>(1+pr_capex_esc)^(M943-(pr_close+1))</f>
        <v/>
      </c>
      <c r="N948" s="28">
        <f>(1+pr_capex_esc)^(N943-(pr_close+1))</f>
        <v/>
      </c>
    </row>
    <row r="949">
      <c r="B949" s="2" t="inlineStr">
        <is>
          <t>Main renewal</t>
        </is>
      </c>
      <c r="C949" s="5" t="inlineStr">
        <is>
          <t>$ million</t>
        </is>
      </c>
      <c r="E949" s="23">
        <f>pr_renewal*pr_mains_miles*pr_cost_mile*E948*(1+pr_capex_shift)</f>
        <v/>
      </c>
      <c r="F949" s="23">
        <f>pr_renewal*pr_mains_miles*pr_cost_mile*F948*(1+pr_capex_shift)</f>
        <v/>
      </c>
      <c r="G949" s="23">
        <f>pr_renewal*pr_mains_miles*pr_cost_mile*G948*(1+pr_capex_shift)</f>
        <v/>
      </c>
      <c r="H949" s="23">
        <f>pr_renewal*pr_mains_miles*pr_cost_mile*H948*(1+pr_capex_shift)</f>
        <v/>
      </c>
      <c r="I949" s="23">
        <f>pr_renewal*pr_mains_miles*pr_cost_mile*I948*(1+pr_capex_shift)</f>
        <v/>
      </c>
      <c r="J949" s="23">
        <f>pr_renewal*pr_mains_miles*pr_cost_mile*J948*(1+pr_capex_shift)</f>
        <v/>
      </c>
      <c r="K949" s="23">
        <f>pr_renewal*pr_mains_miles*pr_cost_mile*K948*(1+pr_capex_shift)</f>
        <v/>
      </c>
      <c r="L949" s="23">
        <f>pr_renewal*pr_mains_miles*pr_cost_mile*L948*(1+pr_capex_shift)</f>
        <v/>
      </c>
      <c r="M949" s="23">
        <f>pr_renewal*pr_mains_miles*pr_cost_mile*M948*(1+pr_capex_shift)</f>
        <v/>
      </c>
      <c r="N949" s="23">
        <f>pr_renewal*pr_mains_miles*pr_cost_mile*N948*(1+pr_capex_shift)</f>
        <v/>
      </c>
    </row>
    <row r="950">
      <c r="B950" s="2" t="inlineStr">
        <is>
          <t>Treatment, storage, meters, IT and growth</t>
        </is>
      </c>
      <c r="C950" s="5" t="inlineStr">
        <is>
          <t>$ million</t>
        </is>
      </c>
      <c r="E950" s="23">
        <f>pr_other_capex*E948*(1+pr_capex_shift)</f>
        <v/>
      </c>
      <c r="F950" s="23">
        <f>pr_other_capex*F948*(1+pr_capex_shift)</f>
        <v/>
      </c>
      <c r="G950" s="23">
        <f>pr_other_capex*G948*(1+pr_capex_shift)</f>
        <v/>
      </c>
      <c r="H950" s="23">
        <f>pr_other_capex*H948*(1+pr_capex_shift)</f>
        <v/>
      </c>
      <c r="I950" s="23">
        <f>pr_other_capex*I948*(1+pr_capex_shift)</f>
        <v/>
      </c>
      <c r="J950" s="23">
        <f>pr_other_capex*J948*(1+pr_capex_shift)</f>
        <v/>
      </c>
      <c r="K950" s="23">
        <f>pr_other_capex*K948*(1+pr_capex_shift)</f>
        <v/>
      </c>
      <c r="L950" s="23">
        <f>pr_other_capex*L948*(1+pr_capex_shift)</f>
        <v/>
      </c>
      <c r="M950" s="23">
        <f>pr_other_capex*M948*(1+pr_capex_shift)</f>
        <v/>
      </c>
      <c r="N950" s="23">
        <f>pr_other_capex*N948*(1+pr_capex_shift)</f>
        <v/>
      </c>
    </row>
    <row r="951">
      <c r="B951" s="2" t="inlineStr">
        <is>
          <t>PFAS treatment</t>
        </is>
      </c>
      <c r="C951" s="5" t="inlineStr">
        <is>
          <t>$ million</t>
        </is>
      </c>
      <c r="E951" s="23">
        <f>(IF(E943-pr_pfas_delay=pr_pfas_y1,pr_pfas_1,0)+IF(E943-pr_pfas_delay=pr_pfas_y1+1,pr_pfas_2,0)+IF(E943-pr_pfas_delay=pr_pfas_y1+2,pr_pfas_3,0))*(1+pr_capex_esc)^pr_pfas_delay*(1+pr_capex_shift)</f>
        <v/>
      </c>
      <c r="F951" s="23">
        <f>(IF(F943-pr_pfas_delay=pr_pfas_y1,pr_pfas_1,0)+IF(F943-pr_pfas_delay=pr_pfas_y1+1,pr_pfas_2,0)+IF(F943-pr_pfas_delay=pr_pfas_y1+2,pr_pfas_3,0))*(1+pr_capex_esc)^pr_pfas_delay*(1+pr_capex_shift)</f>
        <v/>
      </c>
      <c r="G951" s="23">
        <f>(IF(G943-pr_pfas_delay=pr_pfas_y1,pr_pfas_1,0)+IF(G943-pr_pfas_delay=pr_pfas_y1+1,pr_pfas_2,0)+IF(G943-pr_pfas_delay=pr_pfas_y1+2,pr_pfas_3,0))*(1+pr_capex_esc)^pr_pfas_delay*(1+pr_capex_shift)</f>
        <v/>
      </c>
      <c r="H951" s="23">
        <f>(IF(H943-pr_pfas_delay=pr_pfas_y1,pr_pfas_1,0)+IF(H943-pr_pfas_delay=pr_pfas_y1+1,pr_pfas_2,0)+IF(H943-pr_pfas_delay=pr_pfas_y1+2,pr_pfas_3,0))*(1+pr_capex_esc)^pr_pfas_delay*(1+pr_capex_shift)</f>
        <v/>
      </c>
      <c r="I951" s="23">
        <f>(IF(I943-pr_pfas_delay=pr_pfas_y1,pr_pfas_1,0)+IF(I943-pr_pfas_delay=pr_pfas_y1+1,pr_pfas_2,0)+IF(I943-pr_pfas_delay=pr_pfas_y1+2,pr_pfas_3,0))*(1+pr_capex_esc)^pr_pfas_delay*(1+pr_capex_shift)</f>
        <v/>
      </c>
      <c r="J951" s="23">
        <f>(IF(J943-pr_pfas_delay=pr_pfas_y1,pr_pfas_1,0)+IF(J943-pr_pfas_delay=pr_pfas_y1+1,pr_pfas_2,0)+IF(J943-pr_pfas_delay=pr_pfas_y1+2,pr_pfas_3,0))*(1+pr_capex_esc)^pr_pfas_delay*(1+pr_capex_shift)</f>
        <v/>
      </c>
      <c r="K951" s="23">
        <f>(IF(K943-pr_pfas_delay=pr_pfas_y1,pr_pfas_1,0)+IF(K943-pr_pfas_delay=pr_pfas_y1+1,pr_pfas_2,0)+IF(K943-pr_pfas_delay=pr_pfas_y1+2,pr_pfas_3,0))*(1+pr_capex_esc)^pr_pfas_delay*(1+pr_capex_shift)</f>
        <v/>
      </c>
      <c r="L951" s="23">
        <f>(IF(L943-pr_pfas_delay=pr_pfas_y1,pr_pfas_1,0)+IF(L943-pr_pfas_delay=pr_pfas_y1+1,pr_pfas_2,0)+IF(L943-pr_pfas_delay=pr_pfas_y1+2,pr_pfas_3,0))*(1+pr_capex_esc)^pr_pfas_delay*(1+pr_capex_shift)</f>
        <v/>
      </c>
      <c r="M951" s="23">
        <f>(IF(M943-pr_pfas_delay=pr_pfas_y1,pr_pfas_1,0)+IF(M943-pr_pfas_delay=pr_pfas_y1+1,pr_pfas_2,0)+IF(M943-pr_pfas_delay=pr_pfas_y1+2,pr_pfas_3,0))*(1+pr_capex_esc)^pr_pfas_delay*(1+pr_capex_shift)</f>
        <v/>
      </c>
      <c r="N951" s="23">
        <f>(IF(N943-pr_pfas_delay=pr_pfas_y1,pr_pfas_1,0)+IF(N943-pr_pfas_delay=pr_pfas_y1+1,pr_pfas_2,0)+IF(N943-pr_pfas_delay=pr_pfas_y1+2,pr_pfas_3,0))*(1+pr_capex_esc)^pr_pfas_delay*(1+pr_capex_shift)</f>
        <v/>
      </c>
    </row>
    <row r="952">
      <c r="B952" s="2" t="inlineStr">
        <is>
          <t>Lead service lines</t>
        </is>
      </c>
      <c r="C952" s="5" t="inlineStr">
        <is>
          <t>$ million</t>
        </is>
      </c>
      <c r="E952" s="23">
        <f>IF(AND(E943&gt;=(pr_close+1),E943&lt;(pr_close+1)+pr_lead_years),pr_lead_lines/pr_lead_years*pr_lead_cost/1000000*E948,0)*(1+pr_capex_shift)</f>
        <v/>
      </c>
      <c r="F952" s="23">
        <f>IF(AND(F943&gt;=(pr_close+1),F943&lt;(pr_close+1)+pr_lead_years),pr_lead_lines/pr_lead_years*pr_lead_cost/1000000*F948,0)*(1+pr_capex_shift)</f>
        <v/>
      </c>
      <c r="G952" s="23">
        <f>IF(AND(G943&gt;=(pr_close+1),G943&lt;(pr_close+1)+pr_lead_years),pr_lead_lines/pr_lead_years*pr_lead_cost/1000000*G948,0)*(1+pr_capex_shift)</f>
        <v/>
      </c>
      <c r="H952" s="23">
        <f>IF(AND(H943&gt;=(pr_close+1),H943&lt;(pr_close+1)+pr_lead_years),pr_lead_lines/pr_lead_years*pr_lead_cost/1000000*H948,0)*(1+pr_capex_shift)</f>
        <v/>
      </c>
      <c r="I952" s="23">
        <f>IF(AND(I943&gt;=(pr_close+1),I943&lt;(pr_close+1)+pr_lead_years),pr_lead_lines/pr_lead_years*pr_lead_cost/1000000*I948,0)*(1+pr_capex_shift)</f>
        <v/>
      </c>
      <c r="J952" s="23">
        <f>IF(AND(J943&gt;=(pr_close+1),J943&lt;(pr_close+1)+pr_lead_years),pr_lead_lines/pr_lead_years*pr_lead_cost/1000000*J948,0)*(1+pr_capex_shift)</f>
        <v/>
      </c>
      <c r="K952" s="23">
        <f>IF(AND(K943&gt;=(pr_close+1),K943&lt;(pr_close+1)+pr_lead_years),pr_lead_lines/pr_lead_years*pr_lead_cost/1000000*K948,0)*(1+pr_capex_shift)</f>
        <v/>
      </c>
      <c r="L952" s="23">
        <f>IF(AND(L943&gt;=(pr_close+1),L943&lt;(pr_close+1)+pr_lead_years),pr_lead_lines/pr_lead_years*pr_lead_cost/1000000*L948,0)*(1+pr_capex_shift)</f>
        <v/>
      </c>
      <c r="M952" s="23">
        <f>IF(AND(M943&gt;=(pr_close+1),M943&lt;(pr_close+1)+pr_lead_years),pr_lead_lines/pr_lead_years*pr_lead_cost/1000000*M948,0)*(1+pr_capex_shift)</f>
        <v/>
      </c>
      <c r="N952" s="23">
        <f>IF(AND(N943&gt;=(pr_close+1),N943&lt;(pr_close+1)+pr_lead_years),pr_lead_lines/pr_lead_years*pr_lead_cost/1000000*N948,0)*(1+pr_capex_shift)</f>
        <v/>
      </c>
    </row>
    <row r="953">
      <c r="B953" s="2" t="inlineStr">
        <is>
          <t>Fennick system</t>
        </is>
      </c>
      <c r="C953" s="5" t="inlineStr">
        <is>
          <t>$ million</t>
        </is>
      </c>
      <c r="E953" s="23">
        <f>IF(AND(pr_fen_on=1,E943&gt;pr_fen_year),pr_fen_capex*(1+pr_capex_esc)^(E943-pr_fen_year-1),0)*(1+pr_capex_shift)</f>
        <v/>
      </c>
      <c r="F953" s="23">
        <f>IF(AND(pr_fen_on=1,F943&gt;pr_fen_year),pr_fen_capex*(1+pr_capex_esc)^(F943-pr_fen_year-1),0)*(1+pr_capex_shift)</f>
        <v/>
      </c>
      <c r="G953" s="23">
        <f>IF(AND(pr_fen_on=1,G943&gt;pr_fen_year),pr_fen_capex*(1+pr_capex_esc)^(G943-pr_fen_year-1),0)*(1+pr_capex_shift)</f>
        <v/>
      </c>
      <c r="H953" s="23">
        <f>IF(AND(pr_fen_on=1,H943&gt;pr_fen_year),pr_fen_capex*(1+pr_capex_esc)^(H943-pr_fen_year-1),0)*(1+pr_capex_shift)</f>
        <v/>
      </c>
      <c r="I953" s="23">
        <f>IF(AND(pr_fen_on=1,I943&gt;pr_fen_year),pr_fen_capex*(1+pr_capex_esc)^(I943-pr_fen_year-1),0)*(1+pr_capex_shift)</f>
        <v/>
      </c>
      <c r="J953" s="23">
        <f>IF(AND(pr_fen_on=1,J943&gt;pr_fen_year),pr_fen_capex*(1+pr_capex_esc)^(J943-pr_fen_year-1),0)*(1+pr_capex_shift)</f>
        <v/>
      </c>
      <c r="K953" s="23">
        <f>IF(AND(pr_fen_on=1,K943&gt;pr_fen_year),pr_fen_capex*(1+pr_capex_esc)^(K943-pr_fen_year-1),0)*(1+pr_capex_shift)</f>
        <v/>
      </c>
      <c r="L953" s="23">
        <f>IF(AND(pr_fen_on=1,L943&gt;pr_fen_year),pr_fen_capex*(1+pr_capex_esc)^(L943-pr_fen_year-1),0)*(1+pr_capex_shift)</f>
        <v/>
      </c>
      <c r="M953" s="23">
        <f>IF(AND(pr_fen_on=1,M943&gt;pr_fen_year),pr_fen_capex*(1+pr_capex_esc)^(M943-pr_fen_year-1),0)*(1+pr_capex_shift)</f>
        <v/>
      </c>
      <c r="N953" s="23">
        <f>IF(AND(pr_fen_on=1,N943&gt;pr_fen_year),pr_fen_capex*(1+pr_capex_esc)^(N943-pr_fen_year-1),0)*(1+pr_capex_shift)</f>
        <v/>
      </c>
    </row>
    <row r="954">
      <c r="B954" s="2" t="inlineStr">
        <is>
          <t>Total capital spending</t>
        </is>
      </c>
      <c r="C954" s="5" t="inlineStr">
        <is>
          <t>$ million</t>
        </is>
      </c>
      <c r="E954" s="23">
        <f>SUM(E949:E953)</f>
        <v/>
      </c>
      <c r="F954" s="23">
        <f>SUM(F949:F953)</f>
        <v/>
      </c>
      <c r="G954" s="23">
        <f>SUM(G949:G953)</f>
        <v/>
      </c>
      <c r="H954" s="23">
        <f>SUM(H949:H953)</f>
        <v/>
      </c>
      <c r="I954" s="23">
        <f>SUM(I949:I953)</f>
        <v/>
      </c>
      <c r="J954" s="23">
        <f>SUM(J949:J953)</f>
        <v/>
      </c>
      <c r="K954" s="23">
        <f>SUM(K949:K953)</f>
        <v/>
      </c>
      <c r="L954" s="23">
        <f>SUM(L949:L953)</f>
        <v/>
      </c>
      <c r="M954" s="23">
        <f>SUM(M949:M953)</f>
        <v/>
      </c>
      <c r="N954" s="23">
        <f>SUM(N949:N953)</f>
        <v/>
      </c>
    </row>
    <row r="955">
      <c r="B955" s="2" t="inlineStr">
        <is>
          <t>DSIC-eligible (mains and lead lines)</t>
        </is>
      </c>
      <c r="C955" s="5" t="inlineStr">
        <is>
          <t>$ million</t>
        </is>
      </c>
      <c r="E955" s="23">
        <f>E949+E952</f>
        <v/>
      </c>
      <c r="F955" s="23">
        <f>F949+F952</f>
        <v/>
      </c>
      <c r="G955" s="23">
        <f>G949+G952</f>
        <v/>
      </c>
      <c r="H955" s="23">
        <f>H949+H952</f>
        <v/>
      </c>
      <c r="I955" s="23">
        <f>I949+I952</f>
        <v/>
      </c>
      <c r="J955" s="23">
        <f>J949+J952</f>
        <v/>
      </c>
      <c r="K955" s="23">
        <f>K949+K952</f>
        <v/>
      </c>
      <c r="L955" s="23">
        <f>L949+L952</f>
        <v/>
      </c>
      <c r="M955" s="23">
        <f>M949+M952</f>
        <v/>
      </c>
      <c r="N955" s="23">
        <f>N949+N952</f>
        <v/>
      </c>
    </row>
    <row r="957">
      <c r="B957" s="6" t="inlineStr">
        <is>
          <t>Rate case (rates effective 1 January of the year; test-year values looked up to the left)</t>
        </is>
      </c>
      <c r="C957" s="7" t="n"/>
      <c r="D957" s="7" t="n"/>
      <c r="E957" s="7" t="n"/>
      <c r="F957" s="7" t="n"/>
      <c r="G957" s="7" t="n"/>
      <c r="H957" s="7" t="n"/>
      <c r="I957" s="7" t="n"/>
      <c r="J957" s="7" t="n"/>
      <c r="K957" s="7" t="n"/>
      <c r="L957" s="7" t="n"/>
      <c r="M957" s="7" t="n"/>
      <c r="N957" s="7" t="n"/>
    </row>
    <row r="958">
      <c r="B958" s="2" t="inlineStr">
        <is>
          <t>Rate case this year (1 = yes)</t>
        </is>
      </c>
      <c r="E958" s="26">
        <f>IF(AND(E943&gt;=pr_rc_first,MOD(E943-pr_rc_first,pr_rc_cycle)=0),1,0)</f>
        <v/>
      </c>
      <c r="F958" s="26">
        <f>IF(AND(F943&gt;=pr_rc_first,MOD(F943-pr_rc_first,pr_rc_cycle)=0),1,0)</f>
        <v/>
      </c>
      <c r="G958" s="26">
        <f>IF(AND(G943&gt;=pr_rc_first,MOD(G943-pr_rc_first,pr_rc_cycle)=0),1,0)</f>
        <v/>
      </c>
      <c r="H958" s="26">
        <f>IF(AND(H943&gt;=pr_rc_first,MOD(H943-pr_rc_first,pr_rc_cycle)=0),1,0)</f>
        <v/>
      </c>
      <c r="I958" s="26">
        <f>IF(AND(I943&gt;=pr_rc_first,MOD(I943-pr_rc_first,pr_rc_cycle)=0),1,0)</f>
        <v/>
      </c>
      <c r="J958" s="26">
        <f>IF(AND(J943&gt;=pr_rc_first,MOD(J943-pr_rc_first,pr_rc_cycle)=0),1,0)</f>
        <v/>
      </c>
      <c r="K958" s="26">
        <f>IF(AND(K943&gt;=pr_rc_first,MOD(K943-pr_rc_first,pr_rc_cycle)=0),1,0)</f>
        <v/>
      </c>
      <c r="L958" s="26">
        <f>IF(AND(L943&gt;=pr_rc_first,MOD(L943-pr_rc_first,pr_rc_cycle)=0),1,0)</f>
        <v/>
      </c>
      <c r="M958" s="26">
        <f>IF(AND(M943&gt;=pr_rc_first,MOD(M943-pr_rc_first,pr_rc_cycle)=0),1,0)</f>
        <v/>
      </c>
      <c r="N958" s="26">
        <f>IF(AND(N943&gt;=pr_rc_first,MOD(N943-pr_rc_first,pr_rc_cycle)=0),1,0)</f>
        <v/>
      </c>
    </row>
    <row r="959">
      <c r="B959" s="2" t="inlineStr">
        <is>
          <t>Test year</t>
        </is>
      </c>
      <c r="E959" s="26">
        <f>E943-pr_test_lag</f>
        <v/>
      </c>
      <c r="F959" s="26">
        <f>F943-pr_test_lag</f>
        <v/>
      </c>
      <c r="G959" s="26">
        <f>G943-pr_test_lag</f>
        <v/>
      </c>
      <c r="H959" s="26">
        <f>H943-pr_test_lag</f>
        <v/>
      </c>
      <c r="I959" s="26">
        <f>I943-pr_test_lag</f>
        <v/>
      </c>
      <c r="J959" s="26">
        <f>J943-pr_test_lag</f>
        <v/>
      </c>
      <c r="K959" s="26">
        <f>K943-pr_test_lag</f>
        <v/>
      </c>
      <c r="L959" s="26">
        <f>L943-pr_test_lag</f>
        <v/>
      </c>
      <c r="M959" s="26">
        <f>M943-pr_test_lag</f>
        <v/>
      </c>
      <c r="N959" s="26">
        <f>N943-pr_test_lag</f>
        <v/>
      </c>
    </row>
    <row r="960">
      <c r="B960" s="2" t="inlineStr">
        <is>
          <t>Test year of the latest rate case</t>
        </is>
      </c>
      <c r="D960" s="26">
        <f>pr_close</f>
        <v/>
      </c>
      <c r="E960" s="26">
        <f>IF(E958=1,E959,D960)</f>
        <v/>
      </c>
      <c r="F960" s="26">
        <f>IF(F958=1,F959,E960)</f>
        <v/>
      </c>
      <c r="G960" s="26">
        <f>IF(G958=1,G959,F960)</f>
        <v/>
      </c>
      <c r="H960" s="26">
        <f>IF(H958=1,H959,G960)</f>
        <v/>
      </c>
      <c r="I960" s="26">
        <f>IF(I958=1,I959,H960)</f>
        <v/>
      </c>
      <c r="J960" s="26">
        <f>IF(J958=1,J959,I960)</f>
        <v/>
      </c>
      <c r="K960" s="26">
        <f>IF(K958=1,K959,J960)</f>
        <v/>
      </c>
      <c r="L960" s="26">
        <f>IF(L958=1,L959,K960)</f>
        <v/>
      </c>
      <c r="M960" s="26">
        <f>IF(M958=1,M959,L960)</f>
        <v/>
      </c>
      <c r="N960" s="26">
        <f>IF(N958=1,N959,M960)</f>
        <v/>
      </c>
    </row>
    <row r="961">
      <c r="B961" s="2" t="inlineStr">
        <is>
          <t>Rate base at the end of the test year</t>
        </is>
      </c>
      <c r="C961" s="5" t="inlineStr">
        <is>
          <t>$ million</t>
        </is>
      </c>
      <c r="E961" s="23">
        <f>INDEX($D$1000:D$1000,MATCH(MAX(E959,pr_close),$D$943:D$943,0))</f>
        <v/>
      </c>
      <c r="F961" s="23">
        <f>INDEX($D$1000:E$1000,MATCH(MAX(F959,pr_close),$D$943:E$943,0))</f>
        <v/>
      </c>
      <c r="G961" s="23">
        <f>INDEX($D$1000:F$1000,MATCH(MAX(G959,pr_close),$D$943:F$943,0))</f>
        <v/>
      </c>
      <c r="H961" s="23">
        <f>INDEX($D$1000:G$1000,MATCH(MAX(H959,pr_close),$D$943:G$943,0))</f>
        <v/>
      </c>
      <c r="I961" s="23">
        <f>INDEX($D$1000:H$1000,MATCH(MAX(I959,pr_close),$D$943:H$943,0))</f>
        <v/>
      </c>
      <c r="J961" s="23">
        <f>INDEX($D$1000:I$1000,MATCH(MAX(J959,pr_close),$D$943:I$943,0))</f>
        <v/>
      </c>
      <c r="K961" s="23">
        <f>INDEX($D$1000:J$1000,MATCH(MAX(K959,pr_close),$D$943:J$943,0))</f>
        <v/>
      </c>
      <c r="L961" s="23">
        <f>INDEX($D$1000:K$1000,MATCH(MAX(L959,pr_close),$D$943:K$943,0))</f>
        <v/>
      </c>
      <c r="M961" s="23">
        <f>INDEX($D$1000:L$1000,MATCH(MAX(M959,pr_close),$D$943:L$943,0))</f>
        <v/>
      </c>
      <c r="N961" s="23">
        <f>INDEX($D$1000:M$1000,MATCH(MAX(N959,pr_close),$D$943:M$943,0))</f>
        <v/>
      </c>
    </row>
    <row r="962">
      <c r="B962" s="2" t="inlineStr">
        <is>
          <t>Embedded cost of debt in the test year</t>
        </is>
      </c>
      <c r="C962" s="5" t="inlineStr">
        <is>
          <t>rate</t>
        </is>
      </c>
      <c r="E962" s="27">
        <f>INDEX($D$1004:D$1004,MATCH(MAX(E959,pr_close),$D$943:D$943,0))</f>
        <v/>
      </c>
      <c r="F962" s="27">
        <f>INDEX($D$1004:E$1004,MATCH(MAX(F959,pr_close),$D$943:E$943,0))</f>
        <v/>
      </c>
      <c r="G962" s="27">
        <f>INDEX($D$1004:F$1004,MATCH(MAX(G959,pr_close),$D$943:F$943,0))</f>
        <v/>
      </c>
      <c r="H962" s="27">
        <f>INDEX($D$1004:G$1004,MATCH(MAX(H959,pr_close),$D$943:G$943,0))</f>
        <v/>
      </c>
      <c r="I962" s="27">
        <f>INDEX($D$1004:H$1004,MATCH(MAX(I959,pr_close),$D$943:H$943,0))</f>
        <v/>
      </c>
      <c r="J962" s="27">
        <f>INDEX($D$1004:I$1004,MATCH(MAX(J959,pr_close),$D$943:I$943,0))</f>
        <v/>
      </c>
      <c r="K962" s="27">
        <f>INDEX($D$1004:J$1004,MATCH(MAX(K959,pr_close),$D$943:J$943,0))</f>
        <v/>
      </c>
      <c r="L962" s="27">
        <f>INDEX($D$1004:K$1004,MATCH(MAX(L959,pr_close),$D$943:K$943,0))</f>
        <v/>
      </c>
      <c r="M962" s="27">
        <f>INDEX($D$1004:L$1004,MATCH(MAX(M959,pr_close),$D$943:L$943,0))</f>
        <v/>
      </c>
      <c r="N962" s="27">
        <f>INDEX($D$1004:M$1004,MATCH(MAX(N959,pr_close),$D$943:M$943,0))</f>
        <v/>
      </c>
    </row>
    <row r="963">
      <c r="B963" s="2" t="inlineStr">
        <is>
          <t>O&amp;M in the test year</t>
        </is>
      </c>
      <c r="C963" s="5" t="inlineStr">
        <is>
          <t>$ million</t>
        </is>
      </c>
      <c r="E963" s="23">
        <f>INDEX($D$985:D$985,MATCH(MAX(E959,pr_close),$D$943:D$943,0))</f>
        <v/>
      </c>
      <c r="F963" s="23">
        <f>INDEX($D$985:E$985,MATCH(MAX(F959,pr_close),$D$943:E$943,0))</f>
        <v/>
      </c>
      <c r="G963" s="23">
        <f>INDEX($D$985:F$985,MATCH(MAX(G959,pr_close),$D$943:F$943,0))</f>
        <v/>
      </c>
      <c r="H963" s="23">
        <f>INDEX($D$985:G$985,MATCH(MAX(H959,pr_close),$D$943:G$943,0))</f>
        <v/>
      </c>
      <c r="I963" s="23">
        <f>INDEX($D$985:H$985,MATCH(MAX(I959,pr_close),$D$943:H$943,0))</f>
        <v/>
      </c>
      <c r="J963" s="23">
        <f>INDEX($D$985:I$985,MATCH(MAX(J959,pr_close),$D$943:I$943,0))</f>
        <v/>
      </c>
      <c r="K963" s="23">
        <f>INDEX($D$985:J$985,MATCH(MAX(K959,pr_close),$D$943:J$943,0))</f>
        <v/>
      </c>
      <c r="L963" s="23">
        <f>INDEX($D$985:K$985,MATCH(MAX(L959,pr_close),$D$943:K$943,0))</f>
        <v/>
      </c>
      <c r="M963" s="23">
        <f>INDEX($D$985:L$985,MATCH(MAX(M959,pr_close),$D$943:L$943,0))</f>
        <v/>
      </c>
      <c r="N963" s="23">
        <f>INDEX($D$985:M$985,MATCH(MAX(N959,pr_close),$D$943:M$943,0))</f>
        <v/>
      </c>
    </row>
    <row r="964">
      <c r="B964" s="2" t="inlineStr">
        <is>
          <t>Authorized return on rate base</t>
        </is>
      </c>
      <c r="C964" s="5" t="inlineStr">
        <is>
          <t>rate</t>
        </is>
      </c>
      <c r="E964" s="27">
        <f>(pr_eq*pr_roe+(1-pr_eq)*E962)</f>
        <v/>
      </c>
      <c r="F964" s="27">
        <f>(pr_eq*pr_roe+(1-pr_eq)*F962)</f>
        <v/>
      </c>
      <c r="G964" s="27">
        <f>(pr_eq*pr_roe+(1-pr_eq)*G962)</f>
        <v/>
      </c>
      <c r="H964" s="27">
        <f>(pr_eq*pr_roe+(1-pr_eq)*H962)</f>
        <v/>
      </c>
      <c r="I964" s="27">
        <f>(pr_eq*pr_roe+(1-pr_eq)*I962)</f>
        <v/>
      </c>
      <c r="J964" s="27">
        <f>(pr_eq*pr_roe+(1-pr_eq)*J962)</f>
        <v/>
      </c>
      <c r="K964" s="27">
        <f>(pr_eq*pr_roe+(1-pr_eq)*K962)</f>
        <v/>
      </c>
      <c r="L964" s="27">
        <f>(pr_eq*pr_roe+(1-pr_eq)*L962)</f>
        <v/>
      </c>
      <c r="M964" s="27">
        <f>(pr_eq*pr_roe+(1-pr_eq)*M962)</f>
        <v/>
      </c>
      <c r="N964" s="27">
        <f>(pr_eq*pr_roe+(1-pr_eq)*N962)</f>
        <v/>
      </c>
    </row>
    <row r="965">
      <c r="B965" s="2" t="inlineStr">
        <is>
          <t>Return</t>
        </is>
      </c>
      <c r="C965" s="5" t="inlineStr">
        <is>
          <t>$ million</t>
        </is>
      </c>
      <c r="E965" s="23">
        <f>E964*E961</f>
        <v/>
      </c>
      <c r="F965" s="23">
        <f>F964*F961</f>
        <v/>
      </c>
      <c r="G965" s="23">
        <f>G964*G961</f>
        <v/>
      </c>
      <c r="H965" s="23">
        <f>H964*H961</f>
        <v/>
      </c>
      <c r="I965" s="23">
        <f>I964*I961</f>
        <v/>
      </c>
      <c r="J965" s="23">
        <f>J964*J961</f>
        <v/>
      </c>
      <c r="K965" s="23">
        <f>K964*K961</f>
        <v/>
      </c>
      <c r="L965" s="23">
        <f>L964*L961</f>
        <v/>
      </c>
      <c r="M965" s="23">
        <f>M964*M961</f>
        <v/>
      </c>
      <c r="N965" s="23">
        <f>N964*N961</f>
        <v/>
      </c>
    </row>
    <row r="966">
      <c r="B966" s="2" t="inlineStr">
        <is>
          <t>Income tax gross-up</t>
        </is>
      </c>
      <c r="C966" s="5" t="inlineStr">
        <is>
          <t>$ million</t>
        </is>
      </c>
      <c r="E966" s="23">
        <f>(pr_eq*pr_roe*pr_tax/(1-pr_tax))*E961</f>
        <v/>
      </c>
      <c r="F966" s="23">
        <f>(pr_eq*pr_roe*pr_tax/(1-pr_tax))*F961</f>
        <v/>
      </c>
      <c r="G966" s="23">
        <f>(pr_eq*pr_roe*pr_tax/(1-pr_tax))*G961</f>
        <v/>
      </c>
      <c r="H966" s="23">
        <f>(pr_eq*pr_roe*pr_tax/(1-pr_tax))*H961</f>
        <v/>
      </c>
      <c r="I966" s="23">
        <f>(pr_eq*pr_roe*pr_tax/(1-pr_tax))*I961</f>
        <v/>
      </c>
      <c r="J966" s="23">
        <f>(pr_eq*pr_roe*pr_tax/(1-pr_tax))*J961</f>
        <v/>
      </c>
      <c r="K966" s="23">
        <f>(pr_eq*pr_roe*pr_tax/(1-pr_tax))*K961</f>
        <v/>
      </c>
      <c r="L966" s="23">
        <f>(pr_eq*pr_roe*pr_tax/(1-pr_tax))*L961</f>
        <v/>
      </c>
      <c r="M966" s="23">
        <f>(pr_eq*pr_roe*pr_tax/(1-pr_tax))*M961</f>
        <v/>
      </c>
      <c r="N966" s="23">
        <f>(pr_eq*pr_roe*pr_tax/(1-pr_tax))*N961</f>
        <v/>
      </c>
    </row>
    <row r="967">
      <c r="B967" s="2" t="inlineStr">
        <is>
          <t>Depreciation</t>
        </is>
      </c>
      <c r="C967" s="5" t="inlineStr">
        <is>
          <t>$ million</t>
        </is>
      </c>
      <c r="E967" s="23">
        <f>pr_dep*E961</f>
        <v/>
      </c>
      <c r="F967" s="23">
        <f>pr_dep*F961</f>
        <v/>
      </c>
      <c r="G967" s="23">
        <f>pr_dep*G961</f>
        <v/>
      </c>
      <c r="H967" s="23">
        <f>pr_dep*H961</f>
        <v/>
      </c>
      <c r="I967" s="23">
        <f>pr_dep*I961</f>
        <v/>
      </c>
      <c r="J967" s="23">
        <f>pr_dep*J961</f>
        <v/>
      </c>
      <c r="K967" s="23">
        <f>pr_dep*K961</f>
        <v/>
      </c>
      <c r="L967" s="23">
        <f>pr_dep*L961</f>
        <v/>
      </c>
      <c r="M967" s="23">
        <f>pr_dep*M961</f>
        <v/>
      </c>
      <c r="N967" s="23">
        <f>pr_dep*N961</f>
        <v/>
      </c>
    </row>
    <row r="968">
      <c r="B968" s="2" t="inlineStr">
        <is>
          <t>Other taxes</t>
        </is>
      </c>
      <c r="C968" s="5" t="inlineStr">
        <is>
          <t>$ million</t>
        </is>
      </c>
      <c r="E968" s="23">
        <f>pr_ptax*E961</f>
        <v/>
      </c>
      <c r="F968" s="23">
        <f>pr_ptax*F961</f>
        <v/>
      </c>
      <c r="G968" s="23">
        <f>pr_ptax*G961</f>
        <v/>
      </c>
      <c r="H968" s="23">
        <f>pr_ptax*H961</f>
        <v/>
      </c>
      <c r="I968" s="23">
        <f>pr_ptax*I961</f>
        <v/>
      </c>
      <c r="J968" s="23">
        <f>pr_ptax*J961</f>
        <v/>
      </c>
      <c r="K968" s="23">
        <f>pr_ptax*K961</f>
        <v/>
      </c>
      <c r="L968" s="23">
        <f>pr_ptax*L961</f>
        <v/>
      </c>
      <c r="M968" s="23">
        <f>pr_ptax*M961</f>
        <v/>
      </c>
      <c r="N968" s="23">
        <f>pr_ptax*N961</f>
        <v/>
      </c>
    </row>
    <row r="969">
      <c r="B969" s="2" t="inlineStr">
        <is>
          <t>O&amp;M (test year, known and measurable)</t>
        </is>
      </c>
      <c r="C969" s="5" t="inlineStr">
        <is>
          <t>$ million</t>
        </is>
      </c>
      <c r="E969" s="23">
        <f>E963*(1+pr_om_infl)*(1+pr_growth)</f>
        <v/>
      </c>
      <c r="F969" s="23">
        <f>F963*(1+pr_om_infl)*(1+pr_growth)</f>
        <v/>
      </c>
      <c r="G969" s="23">
        <f>G963*(1+pr_om_infl)*(1+pr_growth)</f>
        <v/>
      </c>
      <c r="H969" s="23">
        <f>H963*(1+pr_om_infl)*(1+pr_growth)</f>
        <v/>
      </c>
      <c r="I969" s="23">
        <f>I963*(1+pr_om_infl)*(1+pr_growth)</f>
        <v/>
      </c>
      <c r="J969" s="23">
        <f>J963*(1+pr_om_infl)*(1+pr_growth)</f>
        <v/>
      </c>
      <c r="K969" s="23">
        <f>K963*(1+pr_om_infl)*(1+pr_growth)</f>
        <v/>
      </c>
      <c r="L969" s="23">
        <f>L963*(1+pr_om_infl)*(1+pr_growth)</f>
        <v/>
      </c>
      <c r="M969" s="23">
        <f>M963*(1+pr_om_infl)*(1+pr_growth)</f>
        <v/>
      </c>
      <c r="N969" s="23">
        <f>N963*(1+pr_om_infl)*(1+pr_growth)</f>
        <v/>
      </c>
    </row>
    <row r="970">
      <c r="B970" s="2" t="inlineStr">
        <is>
          <t>Revenue requirement (test-year connections)</t>
        </is>
      </c>
      <c r="C970" s="5" t="inlineStr">
        <is>
          <t>$ million</t>
        </is>
      </c>
      <c r="E970" s="23">
        <f>SUM(E965:E969)</f>
        <v/>
      </c>
      <c r="F970" s="23">
        <f>SUM(F965:F969)</f>
        <v/>
      </c>
      <c r="G970" s="23">
        <f>SUM(G965:G969)</f>
        <v/>
      </c>
      <c r="H970" s="23">
        <f>SUM(H965:H969)</f>
        <v/>
      </c>
      <c r="I970" s="23">
        <f>SUM(I965:I969)</f>
        <v/>
      </c>
      <c r="J970" s="23">
        <f>SUM(J965:J969)</f>
        <v/>
      </c>
      <c r="K970" s="23">
        <f>SUM(K965:K969)</f>
        <v/>
      </c>
      <c r="L970" s="23">
        <f>SUM(L965:L969)</f>
        <v/>
      </c>
      <c r="M970" s="23">
        <f>SUM(M965:M969)</f>
        <v/>
      </c>
      <c r="N970" s="23">
        <f>SUM(N965:N969)</f>
        <v/>
      </c>
    </row>
    <row r="971">
      <c r="B971" s="2" t="inlineStr">
        <is>
          <t>Revenue requirement on effective-year connections</t>
        </is>
      </c>
      <c r="C971" s="5" t="inlineStr">
        <is>
          <t>$ million</t>
        </is>
      </c>
      <c r="E971" s="23">
        <f>E970*(1+pr_growth)</f>
        <v/>
      </c>
      <c r="F971" s="23">
        <f>F970*(1+pr_growth)</f>
        <v/>
      </c>
      <c r="G971" s="23">
        <f>G970*(1+pr_growth)</f>
        <v/>
      </c>
      <c r="H971" s="23">
        <f>H970*(1+pr_growth)</f>
        <v/>
      </c>
      <c r="I971" s="23">
        <f>I970*(1+pr_growth)</f>
        <v/>
      </c>
      <c r="J971" s="23">
        <f>J970*(1+pr_growth)</f>
        <v/>
      </c>
      <c r="K971" s="23">
        <f>K970*(1+pr_growth)</f>
        <v/>
      </c>
      <c r="L971" s="23">
        <f>L970*(1+pr_growth)</f>
        <v/>
      </c>
      <c r="M971" s="23">
        <f>M970*(1+pr_growth)</f>
        <v/>
      </c>
      <c r="N971" s="23">
        <f>N970*(1+pr_growth)</f>
        <v/>
      </c>
    </row>
    <row r="972">
      <c r="B972" s="2" t="inlineStr">
        <is>
          <t>Revenue at existing rates</t>
        </is>
      </c>
      <c r="C972" s="5" t="inlineStr">
        <is>
          <t>$ million</t>
        </is>
      </c>
      <c r="E972" s="23">
        <f>IF(E943=(pr_close+1),D978,D978*(1+pr_growth)*(1-pr_vol_share*IF(pr_decoupling=1,0,Inputs!$C$243))+D979+D981)</f>
        <v/>
      </c>
      <c r="F972" s="23">
        <f>IF(F943=(pr_close+1),E978,E978*(1+pr_growth)*(1-pr_vol_share*IF(pr_decoupling=1,0,Inputs!$C$243))+E979+E981)</f>
        <v/>
      </c>
      <c r="G972" s="23">
        <f>IF(G943=(pr_close+1),F978,F978*(1+pr_growth)*(1-pr_vol_share*IF(pr_decoupling=1,0,Inputs!$C$243))+F979+F981)</f>
        <v/>
      </c>
      <c r="H972" s="23">
        <f>IF(H943=(pr_close+1),G978,G978*(1+pr_growth)*(1-pr_vol_share*IF(pr_decoupling=1,0,Inputs!$C$243))+G979+G981)</f>
        <v/>
      </c>
      <c r="I972" s="23">
        <f>IF(I943=(pr_close+1),H978,H978*(1+pr_growth)*(1-pr_vol_share*IF(pr_decoupling=1,0,Inputs!$C$243))+H979+H981)</f>
        <v/>
      </c>
      <c r="J972" s="23">
        <f>IF(J943=(pr_close+1),I978,I978*(1+pr_growth)*(1-pr_vol_share*IF(pr_decoupling=1,0,Inputs!$C$243))+I979+I981)</f>
        <v/>
      </c>
      <c r="K972" s="23">
        <f>IF(K943=(pr_close+1),J978,J978*(1+pr_growth)*(1-pr_vol_share*IF(pr_decoupling=1,0,Inputs!$C$243))+J979+J981)</f>
        <v/>
      </c>
      <c r="L972" s="23">
        <f>IF(L943=(pr_close+1),K978,K978*(1+pr_growth)*(1-pr_vol_share*IF(pr_decoupling=1,0,Inputs!$C$243))+K979+K981)</f>
        <v/>
      </c>
      <c r="M972" s="23">
        <f>IF(M943=(pr_close+1),L978,L978*(1+pr_growth)*(1-pr_vol_share*IF(pr_decoupling=1,0,Inputs!$C$243))+L979+L981)</f>
        <v/>
      </c>
      <c r="N972" s="23">
        <f>IF(N943=(pr_close+1),M978,M978*(1+pr_growth)*(1-pr_vol_share*IF(pr_decoupling=1,0,Inputs!$C$243))+M979+M981)</f>
        <v/>
      </c>
    </row>
    <row r="973">
      <c r="B973" s="2" t="inlineStr">
        <is>
          <t>Increase granted</t>
        </is>
      </c>
      <c r="C973" s="5" t="inlineStr">
        <is>
          <t>share</t>
        </is>
      </c>
      <c r="E973" s="20">
        <f>E971/E972-1</f>
        <v/>
      </c>
      <c r="F973" s="20">
        <f>F971/F972-1</f>
        <v/>
      </c>
      <c r="G973" s="20">
        <f>G971/G972-1</f>
        <v/>
      </c>
      <c r="H973" s="20">
        <f>H971/H972-1</f>
        <v/>
      </c>
      <c r="I973" s="20">
        <f>I971/I972-1</f>
        <v/>
      </c>
      <c r="J973" s="20">
        <f>J971/J972-1</f>
        <v/>
      </c>
      <c r="K973" s="20">
        <f>K971/K972-1</f>
        <v/>
      </c>
      <c r="L973" s="20">
        <f>L971/L972-1</f>
        <v/>
      </c>
      <c r="M973" s="20">
        <f>M971/M972-1</f>
        <v/>
      </c>
      <c r="N973" s="20">
        <f>N971/N972-1</f>
        <v/>
      </c>
    </row>
    <row r="974">
      <c r="B974" s="2" t="inlineStr">
        <is>
          <t>Revenue requirement requested (at the requested ROE)</t>
        </is>
      </c>
      <c r="C974" s="5" t="inlineStr">
        <is>
          <t>$ million</t>
        </is>
      </c>
      <c r="E974" s="23">
        <f>(pr_eq*pr_roe_ask+(1-pr_eq)*E962)*E961+pr_eq*pr_roe_ask*E961*pr_tax/(1-pr_tax)+E967+E968+E969</f>
        <v/>
      </c>
      <c r="F974" s="23">
        <f>(pr_eq*pr_roe_ask+(1-pr_eq)*F962)*F961+pr_eq*pr_roe_ask*F961*pr_tax/(1-pr_tax)+F967+F968+F969</f>
        <v/>
      </c>
      <c r="G974" s="23">
        <f>(pr_eq*pr_roe_ask+(1-pr_eq)*G962)*G961+pr_eq*pr_roe_ask*G961*pr_tax/(1-pr_tax)+G967+G968+G969</f>
        <v/>
      </c>
      <c r="H974" s="23">
        <f>(pr_eq*pr_roe_ask+(1-pr_eq)*H962)*H961+pr_eq*pr_roe_ask*H961*pr_tax/(1-pr_tax)+H967+H968+H969</f>
        <v/>
      </c>
      <c r="I974" s="23">
        <f>(pr_eq*pr_roe_ask+(1-pr_eq)*I962)*I961+pr_eq*pr_roe_ask*I961*pr_tax/(1-pr_tax)+I967+I968+I969</f>
        <v/>
      </c>
      <c r="J974" s="23">
        <f>(pr_eq*pr_roe_ask+(1-pr_eq)*J962)*J961+pr_eq*pr_roe_ask*J961*pr_tax/(1-pr_tax)+J967+J968+J969</f>
        <v/>
      </c>
      <c r="K974" s="23">
        <f>(pr_eq*pr_roe_ask+(1-pr_eq)*K962)*K961+pr_eq*pr_roe_ask*K961*pr_tax/(1-pr_tax)+K967+K968+K969</f>
        <v/>
      </c>
      <c r="L974" s="23">
        <f>(pr_eq*pr_roe_ask+(1-pr_eq)*L962)*L961+pr_eq*pr_roe_ask*L961*pr_tax/(1-pr_tax)+L967+L968+L969</f>
        <v/>
      </c>
      <c r="M974" s="23">
        <f>(pr_eq*pr_roe_ask+(1-pr_eq)*M962)*M961+pr_eq*pr_roe_ask*M961*pr_tax/(1-pr_tax)+M967+M968+M969</f>
        <v/>
      </c>
      <c r="N974" s="23">
        <f>(pr_eq*pr_roe_ask+(1-pr_eq)*N962)*N961+pr_eq*pr_roe_ask*N961*pr_tax/(1-pr_tax)+N967+N968+N969</f>
        <v/>
      </c>
    </row>
    <row r="975">
      <c r="B975" s="2" t="inlineStr">
        <is>
          <t>Increase requested</t>
        </is>
      </c>
      <c r="C975" s="5" t="inlineStr">
        <is>
          <t>share</t>
        </is>
      </c>
      <c r="E975" s="20">
        <f>E974*(1+pr_growth)/E972-1</f>
        <v/>
      </c>
      <c r="F975" s="20">
        <f>F974*(1+pr_growth)/F972-1</f>
        <v/>
      </c>
      <c r="G975" s="20">
        <f>G974*(1+pr_growth)/G972-1</f>
        <v/>
      </c>
      <c r="H975" s="20">
        <f>H974*(1+pr_growth)/H972-1</f>
        <v/>
      </c>
      <c r="I975" s="20">
        <f>I974*(1+pr_growth)/I972-1</f>
        <v/>
      </c>
      <c r="J975" s="20">
        <f>J974*(1+pr_growth)/J972-1</f>
        <v/>
      </c>
      <c r="K975" s="20">
        <f>K974*(1+pr_growth)/K972-1</f>
        <v/>
      </c>
      <c r="L975" s="20">
        <f>L974*(1+pr_growth)/L972-1</f>
        <v/>
      </c>
      <c r="M975" s="20">
        <f>M974*(1+pr_growth)/M972-1</f>
        <v/>
      </c>
      <c r="N975" s="20">
        <f>N974*(1+pr_growth)/N972-1</f>
        <v/>
      </c>
    </row>
    <row r="977">
      <c r="B977" s="6" t="inlineStr">
        <is>
          <t>Revenue ($ million)</t>
        </is>
      </c>
      <c r="C977" s="7" t="n"/>
      <c r="D977" s="7" t="n"/>
      <c r="E977" s="7" t="n"/>
      <c r="F977" s="7" t="n"/>
      <c r="G977" s="7" t="n"/>
      <c r="H977" s="7" t="n"/>
      <c r="I977" s="7" t="n"/>
      <c r="J977" s="7" t="n"/>
      <c r="K977" s="7" t="n"/>
      <c r="L977" s="7" t="n"/>
      <c r="M977" s="7" t="n"/>
      <c r="N977" s="7" t="n"/>
    </row>
    <row r="978">
      <c r="B978" s="2" t="inlineStr">
        <is>
          <t>Base revenue (rate case, or prior year x growth x volume erosion)</t>
        </is>
      </c>
      <c r="C978" s="5" t="inlineStr">
        <is>
          <t>$ million</t>
        </is>
      </c>
      <c r="D978" s="23">
        <f>pr_rev_2028/((1+pr_growth)*(1-pr_vol_share*IF(pr_decoupling=1,0,Inputs!$C$243)))</f>
        <v/>
      </c>
      <c r="E978" s="23">
        <f>IF(E958=1,E971,D978*(1+pr_growth)*(1-pr_vol_share*IF(pr_decoupling=1,0,Inputs!$C$243)))</f>
        <v/>
      </c>
      <c r="F978" s="23">
        <f>IF(F958=1,F971,E978*(1+pr_growth)*(1-pr_vol_share*IF(pr_decoupling=1,0,Inputs!$C$243)))</f>
        <v/>
      </c>
      <c r="G978" s="23">
        <f>IF(G958=1,G971,F978*(1+pr_growth)*(1-pr_vol_share*IF(pr_decoupling=1,0,Inputs!$C$243)))</f>
        <v/>
      </c>
      <c r="H978" s="23">
        <f>IF(H958=1,H971,G978*(1+pr_growth)*(1-pr_vol_share*IF(pr_decoupling=1,0,Inputs!$C$243)))</f>
        <v/>
      </c>
      <c r="I978" s="23">
        <f>IF(I958=1,I971,H978*(1+pr_growth)*(1-pr_vol_share*IF(pr_decoupling=1,0,Inputs!$C$243)))</f>
        <v/>
      </c>
      <c r="J978" s="23">
        <f>IF(J958=1,J971,I978*(1+pr_growth)*(1-pr_vol_share*IF(pr_decoupling=1,0,Inputs!$C$243)))</f>
        <v/>
      </c>
      <c r="K978" s="23">
        <f>IF(K958=1,K971,J978*(1+pr_growth)*(1-pr_vol_share*IF(pr_decoupling=1,0,Inputs!$C$243)))</f>
        <v/>
      </c>
      <c r="L978" s="23">
        <f>IF(L958=1,L971,K978*(1+pr_growth)*(1-pr_vol_share*IF(pr_decoupling=1,0,Inputs!$C$243)))</f>
        <v/>
      </c>
      <c r="M978" s="23">
        <f>IF(M958=1,M971,L978*(1+pr_growth)*(1-pr_vol_share*IF(pr_decoupling=1,0,Inputs!$C$243)))</f>
        <v/>
      </c>
      <c r="N978" s="23">
        <f>IF(N958=1,N971,M978*(1+pr_growth)*(1-pr_vol_share*IF(pr_decoupling=1,0,Inputs!$C$243)))</f>
        <v/>
      </c>
    </row>
    <row r="979">
      <c r="B979" s="2" t="inlineStr">
        <is>
          <t>Fennick revenue at its old rates (until the next rate case)</t>
        </is>
      </c>
      <c r="C979" s="5" t="inlineStr">
        <is>
          <t>$ million</t>
        </is>
      </c>
      <c r="E979" s="23">
        <f>IF(AND(pr_fen_on=1,E943&gt;pr_fen_year,SUMIFS($D$958:E$958,$D$943:E$943,"&gt;"&amp;pr_fen_year)=0),pr_fen_rev,0)</f>
        <v/>
      </c>
      <c r="F979" s="23">
        <f>IF(AND(pr_fen_on=1,F943&gt;pr_fen_year,SUMIFS($D$958:F$958,$D$943:F$943,"&gt;"&amp;pr_fen_year)=0),pr_fen_rev,0)</f>
        <v/>
      </c>
      <c r="G979" s="23">
        <f>IF(AND(pr_fen_on=1,G943&gt;pr_fen_year,SUMIFS($D$958:G$958,$D$943:G$943,"&gt;"&amp;pr_fen_year)=0),pr_fen_rev,0)</f>
        <v/>
      </c>
      <c r="H979" s="23">
        <f>IF(AND(pr_fen_on=1,H943&gt;pr_fen_year,SUMIFS($D$958:H$958,$D$943:H$943,"&gt;"&amp;pr_fen_year)=0),pr_fen_rev,0)</f>
        <v/>
      </c>
      <c r="I979" s="23">
        <f>IF(AND(pr_fen_on=1,I943&gt;pr_fen_year,SUMIFS($D$958:I$958,$D$943:I$943,"&gt;"&amp;pr_fen_year)=0),pr_fen_rev,0)</f>
        <v/>
      </c>
      <c r="J979" s="23">
        <f>IF(AND(pr_fen_on=1,J943&gt;pr_fen_year,SUMIFS($D$958:J$958,$D$943:J$943,"&gt;"&amp;pr_fen_year)=0),pr_fen_rev,0)</f>
        <v/>
      </c>
      <c r="K979" s="23">
        <f>IF(AND(pr_fen_on=1,K943&gt;pr_fen_year,SUMIFS($D$958:K$958,$D$943:K$943,"&gt;"&amp;pr_fen_year)=0),pr_fen_rev,0)</f>
        <v/>
      </c>
      <c r="L979" s="23">
        <f>IF(AND(pr_fen_on=1,L943&gt;pr_fen_year,SUMIFS($D$958:L$958,$D$943:L$943,"&gt;"&amp;pr_fen_year)=0),pr_fen_rev,0)</f>
        <v/>
      </c>
      <c r="M979" s="23">
        <f>IF(AND(pr_fen_on=1,M943&gt;pr_fen_year,SUMIFS($D$958:M$958,$D$943:M$943,"&gt;"&amp;pr_fen_year)=0),pr_fen_rev,0)</f>
        <v/>
      </c>
      <c r="N979" s="23">
        <f>IF(AND(pr_fen_on=1,N943&gt;pr_fen_year,SUMIFS($D$958:N$958,$D$943:N$943,"&gt;"&amp;pr_fen_year)=0),pr_fen_rev,0)</f>
        <v/>
      </c>
    </row>
    <row r="980">
      <c r="B980" s="2" t="inlineStr">
        <is>
          <t>DSIC pool: eligible plant since the latest test year</t>
        </is>
      </c>
      <c r="C980" s="5" t="inlineStr">
        <is>
          <t>$ million</t>
        </is>
      </c>
      <c r="E980" s="23">
        <f>IF(E943=(pr_close+1),0,SUMIFS($D$955:D$955,$D$943:D$943,"&gt;"&amp;E960))</f>
        <v/>
      </c>
      <c r="F980" s="23">
        <f>IF(F943=(pr_close+1),0,SUMIFS($D$955:E$955,$D$943:E$943,"&gt;"&amp;F960))</f>
        <v/>
      </c>
      <c r="G980" s="23">
        <f>IF(G943=(pr_close+1),0,SUMIFS($D$955:F$955,$D$943:F$943,"&gt;"&amp;G960))</f>
        <v/>
      </c>
      <c r="H980" s="23">
        <f>IF(H943=(pr_close+1),0,SUMIFS($D$955:G$955,$D$943:G$943,"&gt;"&amp;H960))</f>
        <v/>
      </c>
      <c r="I980" s="23">
        <f>IF(I943=(pr_close+1),0,SUMIFS($D$955:H$955,$D$943:H$943,"&gt;"&amp;I960))</f>
        <v/>
      </c>
      <c r="J980" s="23">
        <f>IF(J943=(pr_close+1),0,SUMIFS($D$955:I$955,$D$943:I$943,"&gt;"&amp;J960))</f>
        <v/>
      </c>
      <c r="K980" s="23">
        <f>IF(K943=(pr_close+1),0,SUMIFS($D$955:J$955,$D$943:J$943,"&gt;"&amp;K960))</f>
        <v/>
      </c>
      <c r="L980" s="23">
        <f>IF(L943=(pr_close+1),0,SUMIFS($D$955:K$955,$D$943:K$943,"&gt;"&amp;L960))</f>
        <v/>
      </c>
      <c r="M980" s="23">
        <f>IF(M943=(pr_close+1),0,SUMIFS($D$955:L$955,$D$943:L$943,"&gt;"&amp;M960))</f>
        <v/>
      </c>
      <c r="N980" s="23">
        <f>IF(N943=(pr_close+1),0,SUMIFS($D$955:M$955,$D$943:M$943,"&gt;"&amp;N960))</f>
        <v/>
      </c>
    </row>
    <row r="981">
      <c r="B981" s="2" t="inlineStr">
        <is>
          <t>DSIC surcharge (capped)</t>
        </is>
      </c>
      <c r="C981" s="5" t="inlineStr">
        <is>
          <t>$ million</t>
        </is>
      </c>
      <c r="E981" s="23">
        <f>IF(AND(pr_dsic=1,E943&gt;(pr_close+1)),MIN(pr_dsic_cap*E978,E980*((pr_eq*pr_roe+(1-pr_eq)*D1004)+(pr_eq*pr_roe*pr_tax/(1-pr_tax))+pr_dep)),0)</f>
        <v/>
      </c>
      <c r="F981" s="23">
        <f>IF(AND(pr_dsic=1,F943&gt;(pr_close+1)),MIN(pr_dsic_cap*F978,F980*((pr_eq*pr_roe+(1-pr_eq)*E1004)+(pr_eq*pr_roe*pr_tax/(1-pr_tax))+pr_dep)),0)</f>
        <v/>
      </c>
      <c r="G981" s="23">
        <f>IF(AND(pr_dsic=1,G943&gt;(pr_close+1)),MIN(pr_dsic_cap*G978,G980*((pr_eq*pr_roe+(1-pr_eq)*F1004)+(pr_eq*pr_roe*pr_tax/(1-pr_tax))+pr_dep)),0)</f>
        <v/>
      </c>
      <c r="H981" s="23">
        <f>IF(AND(pr_dsic=1,H943&gt;(pr_close+1)),MIN(pr_dsic_cap*H978,H980*((pr_eq*pr_roe+(1-pr_eq)*G1004)+(pr_eq*pr_roe*pr_tax/(1-pr_tax))+pr_dep)),0)</f>
        <v/>
      </c>
      <c r="I981" s="23">
        <f>IF(AND(pr_dsic=1,I943&gt;(pr_close+1)),MIN(pr_dsic_cap*I978,I980*((pr_eq*pr_roe+(1-pr_eq)*H1004)+(pr_eq*pr_roe*pr_tax/(1-pr_tax))+pr_dep)),0)</f>
        <v/>
      </c>
      <c r="J981" s="23">
        <f>IF(AND(pr_dsic=1,J943&gt;(pr_close+1)),MIN(pr_dsic_cap*J978,J980*((pr_eq*pr_roe+(1-pr_eq)*I1004)+(pr_eq*pr_roe*pr_tax/(1-pr_tax))+pr_dep)),0)</f>
        <v/>
      </c>
      <c r="K981" s="23">
        <f>IF(AND(pr_dsic=1,K943&gt;(pr_close+1)),MIN(pr_dsic_cap*K978,K980*((pr_eq*pr_roe+(1-pr_eq)*J1004)+(pr_eq*pr_roe*pr_tax/(1-pr_tax))+pr_dep)),0)</f>
        <v/>
      </c>
      <c r="L981" s="23">
        <f>IF(AND(pr_dsic=1,L943&gt;(pr_close+1)),MIN(pr_dsic_cap*L978,L980*((pr_eq*pr_roe+(1-pr_eq)*K1004)+(pr_eq*pr_roe*pr_tax/(1-pr_tax))+pr_dep)),0)</f>
        <v/>
      </c>
      <c r="M981" s="23">
        <f>IF(AND(pr_dsic=1,M943&gt;(pr_close+1)),MIN(pr_dsic_cap*M978,M980*((pr_eq*pr_roe+(1-pr_eq)*L1004)+(pr_eq*pr_roe*pr_tax/(1-pr_tax))+pr_dep)),0)</f>
        <v/>
      </c>
      <c r="N981" s="23">
        <f>IF(AND(pr_dsic=1,N943&gt;(pr_close+1)),MIN(pr_dsic_cap*N978,N980*((pr_eq*pr_roe+(1-pr_eq)*M1004)+(pr_eq*pr_roe*pr_tax/(1-pr_tax))+pr_dep)),0)</f>
        <v/>
      </c>
    </row>
    <row r="982">
      <c r="B982" s="3" t="inlineStr">
        <is>
          <t>Revenue</t>
        </is>
      </c>
      <c r="C982" s="5" t="inlineStr">
        <is>
          <t>$ million</t>
        </is>
      </c>
      <c r="E982" s="23">
        <f>E978+E979+E981</f>
        <v/>
      </c>
      <c r="F982" s="23">
        <f>F978+F979+F981</f>
        <v/>
      </c>
      <c r="G982" s="23">
        <f>G978+G979+G981</f>
        <v/>
      </c>
      <c r="H982" s="23">
        <f>H978+H979+H981</f>
        <v/>
      </c>
      <c r="I982" s="23">
        <f>I978+I979+I981</f>
        <v/>
      </c>
      <c r="J982" s="23">
        <f>J978+J979+J981</f>
        <v/>
      </c>
      <c r="K982" s="23">
        <f>K978+K979+K981</f>
        <v/>
      </c>
      <c r="L982" s="23">
        <f>L978+L979+L981</f>
        <v/>
      </c>
      <c r="M982" s="23">
        <f>M978+M979+M981</f>
        <v/>
      </c>
      <c r="N982" s="23">
        <f>N978+N979+N981</f>
        <v/>
      </c>
    </row>
    <row r="984">
      <c r="B984" s="6" t="inlineStr">
        <is>
          <t>Costs and income ($ million)</t>
        </is>
      </c>
      <c r="C984" s="7" t="n"/>
      <c r="D984" s="7" t="n"/>
      <c r="E984" s="7" t="n"/>
      <c r="F984" s="7" t="n"/>
      <c r="G984" s="7" t="n"/>
      <c r="H984" s="7" t="n"/>
      <c r="I984" s="7" t="n"/>
      <c r="J984" s="7" t="n"/>
      <c r="K984" s="7" t="n"/>
      <c r="L984" s="7" t="n"/>
      <c r="M984" s="7" t="n"/>
      <c r="N984" s="7" t="n"/>
    </row>
    <row r="985">
      <c r="B985" s="2" t="inlineStr">
        <is>
          <t>Operation and maintenance (with PFAS and Fennick)</t>
        </is>
      </c>
      <c r="C985" s="5" t="inlineStr">
        <is>
          <t>$ million</t>
        </is>
      </c>
      <c r="D985" s="23">
        <f>pr_om_2028/((1+pr_om_infl)*(1+pr_growth))</f>
        <v/>
      </c>
      <c r="E985" s="23">
        <f>pr_om_2028*((1+pr_om_infl)*(1+pr_growth))^E944+IF(E943&gt;=pr_pfas_om_y+pr_pfas_delay,pr_pfas_om*(1+pr_pfas_om_esc)^(E943-pr_pfas_om_y),0)+IF(AND(pr_fen_on=1,E943&gt;pr_fen_year),pr_fen_om*(1+pr_fen_esc)^(E943-pr_fen_year-1),0)</f>
        <v/>
      </c>
      <c r="F985" s="23">
        <f>pr_om_2028*((1+pr_om_infl)*(1+pr_growth))^F944+IF(F943&gt;=pr_pfas_om_y+pr_pfas_delay,pr_pfas_om*(1+pr_pfas_om_esc)^(F943-pr_pfas_om_y),0)+IF(AND(pr_fen_on=1,F943&gt;pr_fen_year),pr_fen_om*(1+pr_fen_esc)^(F943-pr_fen_year-1),0)</f>
        <v/>
      </c>
      <c r="G985" s="23">
        <f>pr_om_2028*((1+pr_om_infl)*(1+pr_growth))^G944+IF(G943&gt;=pr_pfas_om_y+pr_pfas_delay,pr_pfas_om*(1+pr_pfas_om_esc)^(G943-pr_pfas_om_y),0)+IF(AND(pr_fen_on=1,G943&gt;pr_fen_year),pr_fen_om*(1+pr_fen_esc)^(G943-pr_fen_year-1),0)</f>
        <v/>
      </c>
      <c r="H985" s="23">
        <f>pr_om_2028*((1+pr_om_infl)*(1+pr_growth))^H944+IF(H943&gt;=pr_pfas_om_y+pr_pfas_delay,pr_pfas_om*(1+pr_pfas_om_esc)^(H943-pr_pfas_om_y),0)+IF(AND(pr_fen_on=1,H943&gt;pr_fen_year),pr_fen_om*(1+pr_fen_esc)^(H943-pr_fen_year-1),0)</f>
        <v/>
      </c>
      <c r="I985" s="23">
        <f>pr_om_2028*((1+pr_om_infl)*(1+pr_growth))^I944+IF(I943&gt;=pr_pfas_om_y+pr_pfas_delay,pr_pfas_om*(1+pr_pfas_om_esc)^(I943-pr_pfas_om_y),0)+IF(AND(pr_fen_on=1,I943&gt;pr_fen_year),pr_fen_om*(1+pr_fen_esc)^(I943-pr_fen_year-1),0)</f>
        <v/>
      </c>
      <c r="J985" s="23">
        <f>pr_om_2028*((1+pr_om_infl)*(1+pr_growth))^J944+IF(J943&gt;=pr_pfas_om_y+pr_pfas_delay,pr_pfas_om*(1+pr_pfas_om_esc)^(J943-pr_pfas_om_y),0)+IF(AND(pr_fen_on=1,J943&gt;pr_fen_year),pr_fen_om*(1+pr_fen_esc)^(J943-pr_fen_year-1),0)</f>
        <v/>
      </c>
      <c r="K985" s="23">
        <f>pr_om_2028*((1+pr_om_infl)*(1+pr_growth))^K944+IF(K943&gt;=pr_pfas_om_y+pr_pfas_delay,pr_pfas_om*(1+pr_pfas_om_esc)^(K943-pr_pfas_om_y),0)+IF(AND(pr_fen_on=1,K943&gt;pr_fen_year),pr_fen_om*(1+pr_fen_esc)^(K943-pr_fen_year-1),0)</f>
        <v/>
      </c>
      <c r="L985" s="23">
        <f>pr_om_2028*((1+pr_om_infl)*(1+pr_growth))^L944+IF(L943&gt;=pr_pfas_om_y+pr_pfas_delay,pr_pfas_om*(1+pr_pfas_om_esc)^(L943-pr_pfas_om_y),0)+IF(AND(pr_fen_on=1,L943&gt;pr_fen_year),pr_fen_om*(1+pr_fen_esc)^(L943-pr_fen_year-1),0)</f>
        <v/>
      </c>
      <c r="M985" s="23">
        <f>pr_om_2028*((1+pr_om_infl)*(1+pr_growth))^M944+IF(M943&gt;=pr_pfas_om_y+pr_pfas_delay,pr_pfas_om*(1+pr_pfas_om_esc)^(M943-pr_pfas_om_y),0)+IF(AND(pr_fen_on=1,M943&gt;pr_fen_year),pr_fen_om*(1+pr_fen_esc)^(M943-pr_fen_year-1),0)</f>
        <v/>
      </c>
      <c r="N985" s="23">
        <f>pr_om_2028*((1+pr_om_infl)*(1+pr_growth))^N944+IF(N943&gt;=pr_pfas_om_y+pr_pfas_delay,pr_pfas_om*(1+pr_pfas_om_esc)^(N943-pr_pfas_om_y),0)+IF(AND(pr_fen_on=1,N943&gt;pr_fen_year),pr_fen_om*(1+pr_fen_esc)^(N943-pr_fen_year-1),0)</f>
        <v/>
      </c>
    </row>
    <row r="986">
      <c r="B986" s="2" t="inlineStr">
        <is>
          <t>Customer-side lead cost expensed</t>
        </is>
      </c>
      <c r="C986" s="5" t="inlineStr">
        <is>
          <t>$ million</t>
        </is>
      </c>
      <c r="E986" s="23">
        <f>pr_lead_exp*E952*pr_lead_cust</f>
        <v/>
      </c>
      <c r="F986" s="23">
        <f>pr_lead_exp*F952*pr_lead_cust</f>
        <v/>
      </c>
      <c r="G986" s="23">
        <f>pr_lead_exp*G952*pr_lead_cust</f>
        <v/>
      </c>
      <c r="H986" s="23">
        <f>pr_lead_exp*H952*pr_lead_cust</f>
        <v/>
      </c>
      <c r="I986" s="23">
        <f>pr_lead_exp*I952*pr_lead_cust</f>
        <v/>
      </c>
      <c r="J986" s="23">
        <f>pr_lead_exp*J952*pr_lead_cust</f>
        <v/>
      </c>
      <c r="K986" s="23">
        <f>pr_lead_exp*K952*pr_lead_cust</f>
        <v/>
      </c>
      <c r="L986" s="23">
        <f>pr_lead_exp*L952*pr_lead_cust</f>
        <v/>
      </c>
      <c r="M986" s="23">
        <f>pr_lead_exp*M952*pr_lead_cust</f>
        <v/>
      </c>
      <c r="N986" s="23">
        <f>pr_lead_exp*N952*pr_lead_cust</f>
        <v/>
      </c>
    </row>
    <row r="987">
      <c r="B987" s="2" t="inlineStr">
        <is>
          <t>Other taxes</t>
        </is>
      </c>
      <c r="C987" s="5" t="inlineStr">
        <is>
          <t>$ million</t>
        </is>
      </c>
      <c r="E987" s="23">
        <f>pr_ptax*E996</f>
        <v/>
      </c>
      <c r="F987" s="23">
        <f>pr_ptax*F996</f>
        <v/>
      </c>
      <c r="G987" s="23">
        <f>pr_ptax*G996</f>
        <v/>
      </c>
      <c r="H987" s="23">
        <f>pr_ptax*H996</f>
        <v/>
      </c>
      <c r="I987" s="23">
        <f>pr_ptax*I996</f>
        <v/>
      </c>
      <c r="J987" s="23">
        <f>pr_ptax*J996</f>
        <v/>
      </c>
      <c r="K987" s="23">
        <f>pr_ptax*K996</f>
        <v/>
      </c>
      <c r="L987" s="23">
        <f>pr_ptax*L996</f>
        <v/>
      </c>
      <c r="M987" s="23">
        <f>pr_ptax*M996</f>
        <v/>
      </c>
      <c r="N987" s="23">
        <f>pr_ptax*N996</f>
        <v/>
      </c>
    </row>
    <row r="988">
      <c r="B988" s="2" t="inlineStr">
        <is>
          <t>EBITDA</t>
        </is>
      </c>
      <c r="C988" s="5" t="inlineStr">
        <is>
          <t>$ million</t>
        </is>
      </c>
      <c r="E988" s="23">
        <f>E982-E985-E987-E986</f>
        <v/>
      </c>
      <c r="F988" s="23">
        <f>F982-F985-F987-F986</f>
        <v/>
      </c>
      <c r="G988" s="23">
        <f>G982-G985-G987-G986</f>
        <v/>
      </c>
      <c r="H988" s="23">
        <f>H982-H985-H987-H986</f>
        <v/>
      </c>
      <c r="I988" s="23">
        <f>I982-I985-I987-I986</f>
        <v/>
      </c>
      <c r="J988" s="23">
        <f>J982-J985-J987-J986</f>
        <v/>
      </c>
      <c r="K988" s="23">
        <f>K982-K985-K987-K986</f>
        <v/>
      </c>
      <c r="L988" s="23">
        <f>L982-L985-L987-L986</f>
        <v/>
      </c>
      <c r="M988" s="23">
        <f>M982-M985-M987-M986</f>
        <v/>
      </c>
      <c r="N988" s="23">
        <f>N982-N985-N987-N986</f>
        <v/>
      </c>
    </row>
    <row r="989">
      <c r="B989" s="2" t="inlineStr">
        <is>
          <t>Depreciation</t>
        </is>
      </c>
      <c r="C989" s="5" t="inlineStr">
        <is>
          <t>$ million</t>
        </is>
      </c>
      <c r="E989" s="23">
        <f>pr_dep*E996</f>
        <v/>
      </c>
      <c r="F989" s="23">
        <f>pr_dep*F996</f>
        <v/>
      </c>
      <c r="G989" s="23">
        <f>pr_dep*G996</f>
        <v/>
      </c>
      <c r="H989" s="23">
        <f>pr_dep*H996</f>
        <v/>
      </c>
      <c r="I989" s="23">
        <f>pr_dep*I996</f>
        <v/>
      </c>
      <c r="J989" s="23">
        <f>pr_dep*J996</f>
        <v/>
      </c>
      <c r="K989" s="23">
        <f>pr_dep*K996</f>
        <v/>
      </c>
      <c r="L989" s="23">
        <f>pr_dep*L996</f>
        <v/>
      </c>
      <c r="M989" s="23">
        <f>pr_dep*M996</f>
        <v/>
      </c>
      <c r="N989" s="23">
        <f>pr_dep*N996</f>
        <v/>
      </c>
    </row>
    <row r="990">
      <c r="B990" s="2" t="inlineStr">
        <is>
          <t>Interest (average of opening and closing debt)</t>
        </is>
      </c>
      <c r="C990" s="5" t="inlineStr">
        <is>
          <t>$ million</t>
        </is>
      </c>
      <c r="E990" s="23">
        <f>0.5*(D1002*D1004+E1002*E1004)</f>
        <v/>
      </c>
      <c r="F990" s="23">
        <f>0.5*(E1002*E1004+F1002*F1004)</f>
        <v/>
      </c>
      <c r="G990" s="23">
        <f>0.5*(F1002*F1004+G1002*G1004)</f>
        <v/>
      </c>
      <c r="H990" s="23">
        <f>0.5*(G1002*G1004+H1002*H1004)</f>
        <v/>
      </c>
      <c r="I990" s="23">
        <f>0.5*(H1002*H1004+I1002*I1004)</f>
        <v/>
      </c>
      <c r="J990" s="23">
        <f>0.5*(I1002*I1004+J1002*J1004)</f>
        <v/>
      </c>
      <c r="K990" s="23">
        <f>0.5*(J1002*J1004+K1002*K1004)</f>
        <v/>
      </c>
      <c r="L990" s="23">
        <f>0.5*(K1002*K1004+L1002*L1004)</f>
        <v/>
      </c>
      <c r="M990" s="23">
        <f>0.5*(L1002*L1004+M1002*M1004)</f>
        <v/>
      </c>
      <c r="N990" s="23">
        <f>0.5*(M1002*M1004+N1002*N1004)</f>
        <v/>
      </c>
    </row>
    <row r="991">
      <c r="B991" s="2" t="inlineStr">
        <is>
          <t>Income before tax</t>
        </is>
      </c>
      <c r="C991" s="5" t="inlineStr">
        <is>
          <t>$ million</t>
        </is>
      </c>
      <c r="E991" s="23">
        <f>E988-E989-E990</f>
        <v/>
      </c>
      <c r="F991" s="23">
        <f>F988-F989-F990</f>
        <v/>
      </c>
      <c r="G991" s="23">
        <f>G988-G989-G990</f>
        <v/>
      </c>
      <c r="H991" s="23">
        <f>H988-H989-H990</f>
        <v/>
      </c>
      <c r="I991" s="23">
        <f>I988-I989-I990</f>
        <v/>
      </c>
      <c r="J991" s="23">
        <f>J988-J989-J990</f>
        <v/>
      </c>
      <c r="K991" s="23">
        <f>K988-K989-K990</f>
        <v/>
      </c>
      <c r="L991" s="23">
        <f>L988-L989-L990</f>
        <v/>
      </c>
      <c r="M991" s="23">
        <f>M988-M989-M990</f>
        <v/>
      </c>
      <c r="N991" s="23">
        <f>N988-N989-N990</f>
        <v/>
      </c>
    </row>
    <row r="992">
      <c r="B992" s="2" t="inlineStr">
        <is>
          <t>Income tax</t>
        </is>
      </c>
      <c r="C992" s="5" t="inlineStr">
        <is>
          <t>$ million</t>
        </is>
      </c>
      <c r="E992" s="23">
        <f>pr_tax*E991</f>
        <v/>
      </c>
      <c r="F992" s="23">
        <f>pr_tax*F991</f>
        <v/>
      </c>
      <c r="G992" s="23">
        <f>pr_tax*G991</f>
        <v/>
      </c>
      <c r="H992" s="23">
        <f>pr_tax*H991</f>
        <v/>
      </c>
      <c r="I992" s="23">
        <f>pr_tax*I991</f>
        <v/>
      </c>
      <c r="J992" s="23">
        <f>pr_tax*J991</f>
        <v/>
      </c>
      <c r="K992" s="23">
        <f>pr_tax*K991</f>
        <v/>
      </c>
      <c r="L992" s="23">
        <f>pr_tax*L991</f>
        <v/>
      </c>
      <c r="M992" s="23">
        <f>pr_tax*M991</f>
        <v/>
      </c>
      <c r="N992" s="23">
        <f>pr_tax*N991</f>
        <v/>
      </c>
    </row>
    <row r="993">
      <c r="B993" s="3" t="inlineStr">
        <is>
          <t>Net income</t>
        </is>
      </c>
      <c r="C993" s="5" t="inlineStr">
        <is>
          <t>$ million</t>
        </is>
      </c>
      <c r="E993" s="23">
        <f>E991-E992</f>
        <v/>
      </c>
      <c r="F993" s="23">
        <f>F991-F992</f>
        <v/>
      </c>
      <c r="G993" s="23">
        <f>G991-G992</f>
        <v/>
      </c>
      <c r="H993" s="23">
        <f>H991-H992</f>
        <v/>
      </c>
      <c r="I993" s="23">
        <f>I991-I992</f>
        <v/>
      </c>
      <c r="J993" s="23">
        <f>J991-J992</f>
        <v/>
      </c>
      <c r="K993" s="23">
        <f>K991-K992</f>
        <v/>
      </c>
      <c r="L993" s="23">
        <f>L991-L992</f>
        <v/>
      </c>
      <c r="M993" s="23">
        <f>M991-M992</f>
        <v/>
      </c>
      <c r="N993" s="23">
        <f>N991-N992</f>
        <v/>
      </c>
    </row>
    <row r="995">
      <c r="B995" s="6" t="inlineStr">
        <is>
          <t>Rate base and debt ($ million)</t>
        </is>
      </c>
      <c r="C995" s="7" t="n"/>
      <c r="D995" s="7" t="n"/>
      <c r="E995" s="7" t="n"/>
      <c r="F995" s="7" t="n"/>
      <c r="G995" s="7" t="n"/>
      <c r="H995" s="7" t="n"/>
      <c r="I995" s="7" t="n"/>
      <c r="J995" s="7" t="n"/>
      <c r="K995" s="7" t="n"/>
      <c r="L995" s="7" t="n"/>
      <c r="M995" s="7" t="n"/>
      <c r="N995" s="7" t="n"/>
    </row>
    <row r="996">
      <c r="B996" s="2" t="inlineStr">
        <is>
          <t>Opening rate base</t>
        </is>
      </c>
      <c r="C996" s="5" t="inlineStr">
        <is>
          <t>$ million</t>
        </is>
      </c>
      <c r="E996" s="23">
        <f>D1000</f>
        <v/>
      </c>
      <c r="F996" s="23">
        <f>E1000</f>
        <v/>
      </c>
      <c r="G996" s="23">
        <f>F1000</f>
        <v/>
      </c>
      <c r="H996" s="23">
        <f>G1000</f>
        <v/>
      </c>
      <c r="I996" s="23">
        <f>H1000</f>
        <v/>
      </c>
      <c r="J996" s="23">
        <f>I1000</f>
        <v/>
      </c>
      <c r="K996" s="23">
        <f>J1000</f>
        <v/>
      </c>
      <c r="L996" s="23">
        <f>K1000</f>
        <v/>
      </c>
      <c r="M996" s="23">
        <f>L1000</f>
        <v/>
      </c>
      <c r="N996" s="23">
        <f>M1000</f>
        <v/>
      </c>
    </row>
    <row r="997">
      <c r="B997" s="2" t="inlineStr">
        <is>
          <t>Spending disallowed (never in rate base)</t>
        </is>
      </c>
      <c r="C997" s="5" t="inlineStr">
        <is>
          <t>$ million</t>
        </is>
      </c>
      <c r="E997" s="23">
        <f>pr_disallow*(E951+E952-E986)</f>
        <v/>
      </c>
      <c r="F997" s="23">
        <f>pr_disallow*(F951+F952-F986)</f>
        <v/>
      </c>
      <c r="G997" s="23">
        <f>pr_disallow*(G951+G952-G986)</f>
        <v/>
      </c>
      <c r="H997" s="23">
        <f>pr_disallow*(H951+H952-H986)</f>
        <v/>
      </c>
      <c r="I997" s="23">
        <f>pr_disallow*(I951+I952-I986)</f>
        <v/>
      </c>
      <c r="J997" s="23">
        <f>pr_disallow*(J951+J952-J986)</f>
        <v/>
      </c>
      <c r="K997" s="23">
        <f>pr_disallow*(K951+K952-K986)</f>
        <v/>
      </c>
      <c r="L997" s="23">
        <f>pr_disallow*(L951+L952-L986)</f>
        <v/>
      </c>
      <c r="M997" s="23">
        <f>pr_disallow*(M951+M952-M986)</f>
        <v/>
      </c>
      <c r="N997" s="23">
        <f>pr_disallow*(N951+N952-N986)</f>
        <v/>
      </c>
    </row>
    <row r="998">
      <c r="B998" s="2" t="inlineStr">
        <is>
          <t>Acquisitions (Fennick at its price)</t>
        </is>
      </c>
      <c r="C998" s="5" t="inlineStr">
        <is>
          <t>$ million</t>
        </is>
      </c>
      <c r="E998" s="23">
        <f>IF(AND(pr_fen_on=1,E943=pr_fen_year),pr_fen_price,0)</f>
        <v/>
      </c>
      <c r="F998" s="23">
        <f>IF(AND(pr_fen_on=1,F943=pr_fen_year),pr_fen_price,0)</f>
        <v/>
      </c>
      <c r="G998" s="23">
        <f>IF(AND(pr_fen_on=1,G943=pr_fen_year),pr_fen_price,0)</f>
        <v/>
      </c>
      <c r="H998" s="23">
        <f>IF(AND(pr_fen_on=1,H943=pr_fen_year),pr_fen_price,0)</f>
        <v/>
      </c>
      <c r="I998" s="23">
        <f>IF(AND(pr_fen_on=1,I943=pr_fen_year),pr_fen_price,0)</f>
        <v/>
      </c>
      <c r="J998" s="23">
        <f>IF(AND(pr_fen_on=1,J943=pr_fen_year),pr_fen_price,0)</f>
        <v/>
      </c>
      <c r="K998" s="23">
        <f>IF(AND(pr_fen_on=1,K943=pr_fen_year),pr_fen_price,0)</f>
        <v/>
      </c>
      <c r="L998" s="23">
        <f>IF(AND(pr_fen_on=1,L943=pr_fen_year),pr_fen_price,0)</f>
        <v/>
      </c>
      <c r="M998" s="23">
        <f>IF(AND(pr_fen_on=1,M943=pr_fen_year),pr_fen_price,0)</f>
        <v/>
      </c>
      <c r="N998" s="23">
        <f>IF(AND(pr_fen_on=1,N943=pr_fen_year),pr_fen_price,0)</f>
        <v/>
      </c>
    </row>
    <row r="999">
      <c r="B999" s="2" t="inlineStr">
        <is>
          <t>Settlement credited against rate base</t>
        </is>
      </c>
      <c r="C999" s="5" t="inlineStr">
        <is>
          <t>$ million</t>
        </is>
      </c>
      <c r="E999" s="23">
        <f>IF(E943=pr_settle_y,pr_settle,0)</f>
        <v/>
      </c>
      <c r="F999" s="23">
        <f>IF(F943=pr_settle_y,pr_settle,0)</f>
        <v/>
      </c>
      <c r="G999" s="23">
        <f>IF(G943=pr_settle_y,pr_settle,0)</f>
        <v/>
      </c>
      <c r="H999" s="23">
        <f>IF(H943=pr_settle_y,pr_settle,0)</f>
        <v/>
      </c>
      <c r="I999" s="23">
        <f>IF(I943=pr_settle_y,pr_settle,0)</f>
        <v/>
      </c>
      <c r="J999" s="23">
        <f>IF(J943=pr_settle_y,pr_settle,0)</f>
        <v/>
      </c>
      <c r="K999" s="23">
        <f>IF(K943=pr_settle_y,pr_settle,0)</f>
        <v/>
      </c>
      <c r="L999" s="23">
        <f>IF(L943=pr_settle_y,pr_settle,0)</f>
        <v/>
      </c>
      <c r="M999" s="23">
        <f>IF(M943=pr_settle_y,pr_settle,0)</f>
        <v/>
      </c>
      <c r="N999" s="23">
        <f>IF(N943=pr_settle_y,pr_settle,0)</f>
        <v/>
      </c>
    </row>
    <row r="1000">
      <c r="B1000" s="3" t="inlineStr">
        <is>
          <t>Closing rate base</t>
        </is>
      </c>
      <c r="C1000" s="5" t="inlineStr">
        <is>
          <t>$ million</t>
        </is>
      </c>
      <c r="D1000" s="23">
        <f>pr_rb0</f>
        <v/>
      </c>
      <c r="E1000" s="23">
        <f>E996+E954-E986-E997+E998-E989-E999</f>
        <v/>
      </c>
      <c r="F1000" s="23">
        <f>F996+F954-F986-F997+F998-F989-F999</f>
        <v/>
      </c>
      <c r="G1000" s="23">
        <f>G996+G954-G986-G997+G998-G989-G999</f>
        <v/>
      </c>
      <c r="H1000" s="23">
        <f>H996+H954-H986-H997+H998-H989-H999</f>
        <v/>
      </c>
      <c r="I1000" s="23">
        <f>I996+I954-I986-I997+I998-I989-I999</f>
        <v/>
      </c>
      <c r="J1000" s="23">
        <f>J996+J954-J986-J997+J998-J989-J999</f>
        <v/>
      </c>
      <c r="K1000" s="23">
        <f>K996+K954-K986-K997+K998-K989-K999</f>
        <v/>
      </c>
      <c r="L1000" s="23">
        <f>L996+L954-L986-L997+L998-L989-L999</f>
        <v/>
      </c>
      <c r="M1000" s="23">
        <f>M996+M954-M986-M997+M998-M989-M999</f>
        <v/>
      </c>
      <c r="N1000" s="23">
        <f>N996+N954-N986-N997+N998-N989-N999</f>
        <v/>
      </c>
    </row>
    <row r="1001">
      <c r="B1001" s="2" t="inlineStr">
        <is>
          <t>Original bonds outstanding</t>
        </is>
      </c>
      <c r="C1001" s="5" t="inlineStr">
        <is>
          <t>$ million</t>
        </is>
      </c>
      <c r="D1001" s="23">
        <f>(1-pr_eq)*pr_rb0</f>
        <v/>
      </c>
      <c r="E1001" s="23">
        <f>MAX(0,D1001-pr_amort*(1-pr_eq)*pr_rb0)</f>
        <v/>
      </c>
      <c r="F1001" s="23">
        <f>MAX(0,E1001-pr_amort*(1-pr_eq)*pr_rb0)</f>
        <v/>
      </c>
      <c r="G1001" s="23">
        <f>MAX(0,F1001-pr_amort*(1-pr_eq)*pr_rb0)</f>
        <v/>
      </c>
      <c r="H1001" s="23">
        <f>MAX(0,G1001-pr_amort*(1-pr_eq)*pr_rb0)</f>
        <v/>
      </c>
      <c r="I1001" s="23">
        <f>MAX(0,H1001-pr_amort*(1-pr_eq)*pr_rb0)</f>
        <v/>
      </c>
      <c r="J1001" s="23">
        <f>MAX(0,I1001-pr_amort*(1-pr_eq)*pr_rb0)</f>
        <v/>
      </c>
      <c r="K1001" s="23">
        <f>MAX(0,J1001-pr_amort*(1-pr_eq)*pr_rb0)</f>
        <v/>
      </c>
      <c r="L1001" s="23">
        <f>MAX(0,K1001-pr_amort*(1-pr_eq)*pr_rb0)</f>
        <v/>
      </c>
      <c r="M1001" s="23">
        <f>MAX(0,L1001-pr_amort*(1-pr_eq)*pr_rb0)</f>
        <v/>
      </c>
      <c r="N1001" s="23">
        <f>MAX(0,M1001-pr_amort*(1-pr_eq)*pr_rb0)</f>
        <v/>
      </c>
    </row>
    <row r="1002">
      <c r="B1002" s="2" t="inlineStr">
        <is>
          <t>Operating company debt (debt share of rate base)</t>
        </is>
      </c>
      <c r="C1002" s="5" t="inlineStr">
        <is>
          <t>$ million</t>
        </is>
      </c>
      <c r="D1002" s="23">
        <f>(1-pr_eq)*D1000</f>
        <v/>
      </c>
      <c r="E1002" s="23">
        <f>(1-pr_eq)*E1000</f>
        <v/>
      </c>
      <c r="F1002" s="23">
        <f>(1-pr_eq)*F1000</f>
        <v/>
      </c>
      <c r="G1002" s="23">
        <f>(1-pr_eq)*G1000</f>
        <v/>
      </c>
      <c r="H1002" s="23">
        <f>(1-pr_eq)*H1000</f>
        <v/>
      </c>
      <c r="I1002" s="23">
        <f>(1-pr_eq)*I1000</f>
        <v/>
      </c>
      <c r="J1002" s="23">
        <f>(1-pr_eq)*J1000</f>
        <v/>
      </c>
      <c r="K1002" s="23">
        <f>(1-pr_eq)*K1000</f>
        <v/>
      </c>
      <c r="L1002" s="23">
        <f>(1-pr_eq)*L1000</f>
        <v/>
      </c>
      <c r="M1002" s="23">
        <f>(1-pr_eq)*M1000</f>
        <v/>
      </c>
      <c r="N1002" s="23">
        <f>(1-pr_eq)*N1000</f>
        <v/>
      </c>
    </row>
    <row r="1003">
      <c r="B1003" s="2" t="inlineStr">
        <is>
          <t>New bonds outstanding</t>
        </is>
      </c>
      <c r="C1003" s="5" t="inlineStr">
        <is>
          <t>$ million</t>
        </is>
      </c>
      <c r="D1003" s="23">
        <f>D1002-D1001</f>
        <v/>
      </c>
      <c r="E1003" s="23">
        <f>E1002-E1001</f>
        <v/>
      </c>
      <c r="F1003" s="23">
        <f>F1002-F1001</f>
        <v/>
      </c>
      <c r="G1003" s="23">
        <f>G1002-G1001</f>
        <v/>
      </c>
      <c r="H1003" s="23">
        <f>H1002-H1001</f>
        <v/>
      </c>
      <c r="I1003" s="23">
        <f>I1002-I1001</f>
        <v/>
      </c>
      <c r="J1003" s="23">
        <f>J1002-J1001</f>
        <v/>
      </c>
      <c r="K1003" s="23">
        <f>K1002-K1001</f>
        <v/>
      </c>
      <c r="L1003" s="23">
        <f>L1002-L1001</f>
        <v/>
      </c>
      <c r="M1003" s="23">
        <f>M1002-M1001</f>
        <v/>
      </c>
      <c r="N1003" s="23">
        <f>N1002-N1001</f>
        <v/>
      </c>
    </row>
    <row r="1004">
      <c r="B1004" s="2" t="inlineStr">
        <is>
          <t>Embedded cost of debt at year end</t>
        </is>
      </c>
      <c r="C1004" s="5" t="inlineStr">
        <is>
          <t>rate</t>
        </is>
      </c>
      <c r="D1004" s="27">
        <f>pr_kd_old</f>
        <v/>
      </c>
      <c r="E1004" s="27">
        <f>(E1001*pr_kd_old+E1003*pr_kd_new)/E1002</f>
        <v/>
      </c>
      <c r="F1004" s="27">
        <f>(F1001*pr_kd_old+F1003*pr_kd_new)/F1002</f>
        <v/>
      </c>
      <c r="G1004" s="27">
        <f>(G1001*pr_kd_old+G1003*pr_kd_new)/G1002</f>
        <v/>
      </c>
      <c r="H1004" s="27">
        <f>(H1001*pr_kd_old+H1003*pr_kd_new)/H1002</f>
        <v/>
      </c>
      <c r="I1004" s="27">
        <f>(I1001*pr_kd_old+I1003*pr_kd_new)/I1002</f>
        <v/>
      </c>
      <c r="J1004" s="27">
        <f>(J1001*pr_kd_old+J1003*pr_kd_new)/J1002</f>
        <v/>
      </c>
      <c r="K1004" s="27">
        <f>(K1001*pr_kd_old+K1003*pr_kd_new)/K1002</f>
        <v/>
      </c>
      <c r="L1004" s="27">
        <f>(L1001*pr_kd_old+L1003*pr_kd_new)/L1002</f>
        <v/>
      </c>
      <c r="M1004" s="27">
        <f>(M1001*pr_kd_old+M1003*pr_kd_new)/M1002</f>
        <v/>
      </c>
      <c r="N1004" s="27">
        <f>(N1001*pr_kd_old+N1003*pr_kd_new)/N1002</f>
        <v/>
      </c>
    </row>
    <row r="1006">
      <c r="B1006" s="6" t="inlineStr">
        <is>
          <t>Returns and cash ($ million)</t>
        </is>
      </c>
      <c r="C1006" s="7" t="n"/>
      <c r="D1006" s="7" t="n"/>
      <c r="E1006" s="7" t="n"/>
      <c r="F1006" s="7" t="n"/>
      <c r="G1006" s="7" t="n"/>
      <c r="H1006" s="7" t="n"/>
      <c r="I1006" s="7" t="n"/>
      <c r="J1006" s="7" t="n"/>
      <c r="K1006" s="7" t="n"/>
      <c r="L1006" s="7" t="n"/>
      <c r="M1006" s="7" t="n"/>
      <c r="N1006" s="7" t="n"/>
    </row>
    <row r="1007">
      <c r="B1007" s="2" t="inlineStr">
        <is>
          <t>Average equity share of rate base</t>
        </is>
      </c>
      <c r="C1007" s="5" t="inlineStr">
        <is>
          <t>$ million</t>
        </is>
      </c>
      <c r="E1007" s="23">
        <f>pr_eq*0.5*(E996+E1000)</f>
        <v/>
      </c>
      <c r="F1007" s="23">
        <f>pr_eq*0.5*(F996+F1000)</f>
        <v/>
      </c>
      <c r="G1007" s="23">
        <f>pr_eq*0.5*(G996+G1000)</f>
        <v/>
      </c>
      <c r="H1007" s="23">
        <f>pr_eq*0.5*(H996+H1000)</f>
        <v/>
      </c>
      <c r="I1007" s="23">
        <f>pr_eq*0.5*(I996+I1000)</f>
        <v/>
      </c>
      <c r="J1007" s="23">
        <f>pr_eq*0.5*(J996+J1000)</f>
        <v/>
      </c>
      <c r="K1007" s="23">
        <f>pr_eq*0.5*(K996+K1000)</f>
        <v/>
      </c>
      <c r="L1007" s="23">
        <f>pr_eq*0.5*(L996+L1000)</f>
        <v/>
      </c>
      <c r="M1007" s="23">
        <f>pr_eq*0.5*(M996+M1000)</f>
        <v/>
      </c>
      <c r="N1007" s="23">
        <f>pr_eq*0.5*(N996+N1000)</f>
        <v/>
      </c>
    </row>
    <row r="1008">
      <c r="B1008" s="2" t="inlineStr">
        <is>
          <t>Earned return on equity</t>
        </is>
      </c>
      <c r="C1008" s="5" t="inlineStr">
        <is>
          <t>rate</t>
        </is>
      </c>
      <c r="E1008" s="27">
        <f>E993/E1007</f>
        <v/>
      </c>
      <c r="F1008" s="27">
        <f>F993/F1007</f>
        <v/>
      </c>
      <c r="G1008" s="27">
        <f>G993/G1007</f>
        <v/>
      </c>
      <c r="H1008" s="27">
        <f>H993/H1007</f>
        <v/>
      </c>
      <c r="I1008" s="27">
        <f>I993/I1007</f>
        <v/>
      </c>
      <c r="J1008" s="27">
        <f>J993/J1007</f>
        <v/>
      </c>
      <c r="K1008" s="27">
        <f>K993/K1007</f>
        <v/>
      </c>
      <c r="L1008" s="27">
        <f>L993/L1007</f>
        <v/>
      </c>
      <c r="M1008" s="27">
        <f>M993/M1007</f>
        <v/>
      </c>
      <c r="N1008" s="27">
        <f>N993/N1007</f>
        <v/>
      </c>
    </row>
    <row r="1009">
      <c r="B1009" s="2" t="inlineStr">
        <is>
          <t>Authorized return on equity</t>
        </is>
      </c>
      <c r="C1009" s="5" t="inlineStr">
        <is>
          <t>rate</t>
        </is>
      </c>
      <c r="E1009" s="27">
        <f>pr_roe</f>
        <v/>
      </c>
      <c r="F1009" s="27">
        <f>pr_roe</f>
        <v/>
      </c>
      <c r="G1009" s="27">
        <f>pr_roe</f>
        <v/>
      </c>
      <c r="H1009" s="27">
        <f>pr_roe</f>
        <v/>
      </c>
      <c r="I1009" s="27">
        <f>pr_roe</f>
        <v/>
      </c>
      <c r="J1009" s="27">
        <f>pr_roe</f>
        <v/>
      </c>
      <c r="K1009" s="27">
        <f>pr_roe</f>
        <v/>
      </c>
      <c r="L1009" s="27">
        <f>pr_roe</f>
        <v/>
      </c>
      <c r="M1009" s="27">
        <f>pr_roe</f>
        <v/>
      </c>
      <c r="N1009" s="27">
        <f>pr_roe</f>
        <v/>
      </c>
    </row>
    <row r="1010">
      <c r="B1010" s="3" t="inlineStr">
        <is>
          <t>Cash to the shareholder (FCFE)</t>
        </is>
      </c>
      <c r="C1010" s="5" t="inlineStr">
        <is>
          <t>$ million</t>
        </is>
      </c>
      <c r="E1010" s="23">
        <f>E993+E989-E954-E998+E999+E1002-D1002</f>
        <v/>
      </c>
      <c r="F1010" s="23">
        <f>F993+F989-F954-F998+F999+F1002-E1002</f>
        <v/>
      </c>
      <c r="G1010" s="23">
        <f>G993+G989-G954-G998+G999+G1002-F1002</f>
        <v/>
      </c>
      <c r="H1010" s="23">
        <f>H993+H989-H954-H998+H999+H1002-G1002</f>
        <v/>
      </c>
      <c r="I1010" s="23">
        <f>I993+I989-I954-I998+I999+I1002-H1002</f>
        <v/>
      </c>
      <c r="J1010" s="23">
        <f>J993+J989-J954-J998+J999+J1002-I1002</f>
        <v/>
      </c>
      <c r="K1010" s="23">
        <f>K993+K989-K954-K998+K999+K1002-J1002</f>
        <v/>
      </c>
      <c r="L1010" s="23">
        <f>L993+L989-L954-L998+L999+L1002-K1002</f>
        <v/>
      </c>
      <c r="M1010" s="23">
        <f>M993+M989-M954-M998+M999+M1002-L1002</f>
        <v/>
      </c>
      <c r="N1010" s="23">
        <f>N993+N989-N954-N998+N999+N1002-M1002</f>
        <v/>
      </c>
    </row>
    <row r="1011">
      <c r="B1011" s="2" t="inlineStr">
        <is>
          <t>Funds from operations (net income + depreciation)</t>
        </is>
      </c>
      <c r="C1011" s="5" t="inlineStr">
        <is>
          <t>$ million</t>
        </is>
      </c>
      <c r="E1011" s="23">
        <f>E993+E989</f>
        <v/>
      </c>
      <c r="F1011" s="23">
        <f>F993+F989</f>
        <v/>
      </c>
      <c r="G1011" s="23">
        <f>G993+G989</f>
        <v/>
      </c>
      <c r="H1011" s="23">
        <f>H993+H989</f>
        <v/>
      </c>
      <c r="I1011" s="23">
        <f>I993+I989</f>
        <v/>
      </c>
      <c r="J1011" s="23">
        <f>J993+J989</f>
        <v/>
      </c>
      <c r="K1011" s="23">
        <f>K993+K989</f>
        <v/>
      </c>
      <c r="L1011" s="23">
        <f>L993+L989</f>
        <v/>
      </c>
      <c r="M1011" s="23">
        <f>M993+M989</f>
        <v/>
      </c>
      <c r="N1011" s="23">
        <f>N993+N989</f>
        <v/>
      </c>
    </row>
    <row r="1012">
      <c r="B1012" s="3" t="inlineStr">
        <is>
          <t>Brannock's net flows (exit at the exit multiple)</t>
        </is>
      </c>
      <c r="C1012" s="5" t="inlineStr">
        <is>
          <t>$ million</t>
        </is>
      </c>
      <c r="D1012" s="23">
        <f>-(pr_ev_mult*pr_rb0-(1-pr_eq)*pr_rb0+pr_costs-pr_holdco)</f>
        <v/>
      </c>
      <c r="E1012" s="23">
        <f>E1010-pr_holdco*pr_kd_holdco*(1-pr_tax)</f>
        <v/>
      </c>
      <c r="F1012" s="23">
        <f>F1010-pr_holdco*pr_kd_holdco*(1-pr_tax)</f>
        <v/>
      </c>
      <c r="G1012" s="23">
        <f>G1010-pr_holdco*pr_kd_holdco*(1-pr_tax)</f>
        <v/>
      </c>
      <c r="H1012" s="23">
        <f>H1010-pr_holdco*pr_kd_holdco*(1-pr_tax)</f>
        <v/>
      </c>
      <c r="I1012" s="23">
        <f>I1010-pr_holdco*pr_kd_holdco*(1-pr_tax)</f>
        <v/>
      </c>
      <c r="J1012" s="23">
        <f>J1010-pr_holdco*pr_kd_holdco*(1-pr_tax)</f>
        <v/>
      </c>
      <c r="K1012" s="23">
        <f>K1010-pr_holdco*pr_kd_holdco*(1-pr_tax)</f>
        <v/>
      </c>
      <c r="L1012" s="23">
        <f>L1010-pr_holdco*pr_kd_holdco*(1-pr_tax)</f>
        <v/>
      </c>
      <c r="M1012" s="23">
        <f>M1010-pr_holdco*pr_kd_holdco*(1-pr_tax)</f>
        <v/>
      </c>
      <c r="N1012" s="23">
        <f>N1010-pr_holdco*pr_kd_holdco*(1-pr_tax)+pr_exit_mult*N1000-N1002-pr_holdco</f>
        <v/>
      </c>
    </row>
    <row r="1013">
      <c r="B1013" s="2" t="inlineStr">
        <is>
          <t>Levered IRR</t>
        </is>
      </c>
      <c r="C1013" s="5" t="inlineStr">
        <is>
          <t>rate</t>
        </is>
      </c>
      <c r="D1013" s="27">
        <f>IRR($D$1012:N$1012,0.08)</f>
        <v/>
      </c>
    </row>
    <row r="1014">
      <c r="B1014" s="2" t="inlineStr">
        <is>
          <t>Average earned return on equity 2028 to 2037</t>
        </is>
      </c>
      <c r="C1014" s="5" t="inlineStr">
        <is>
          <t>rate</t>
        </is>
      </c>
      <c r="D1014" s="27">
        <f>AVERAGE($E$1008:N$1008)</f>
        <v/>
      </c>
    </row>
    <row r="1015">
      <c r="B1015" s="2" t="inlineStr">
        <is>
          <t>Price at the target return (enterprise value)</t>
        </is>
      </c>
      <c r="C1015" s="5" t="inlineStr">
        <is>
          <t>$ million</t>
        </is>
      </c>
      <c r="D1015" s="23">
        <f>NPV(pr_target,$E$1012:N$1012)+(1-pr_eq)*pr_rb0-pr_costs+pr_holdco</f>
        <v/>
      </c>
    </row>
    <row r="1016">
      <c r="B1016" s="2" t="inlineStr">
        <is>
          <t>Exit equity</t>
        </is>
      </c>
      <c r="C1016" s="5" t="inlineStr">
        <is>
          <t>$ million</t>
        </is>
      </c>
      <c r="D1016" s="23">
        <f>pr_exit_mult*N1000-N1002-pr_holdco</f>
        <v/>
      </c>
    </row>
    <row r="1017">
      <c r="B1017" s="2" t="inlineStr">
        <is>
          <t>Rate base at exit</t>
        </is>
      </c>
      <c r="C1017" s="5" t="inlineStr">
        <is>
          <t>$ million</t>
        </is>
      </c>
      <c r="D1017" s="23">
        <f>N1000</f>
        <v/>
      </c>
    </row>
    <row r="1020">
      <c r="B1020" s="6" t="inlineStr">
        <is>
          <t>B1: Diligence bridge step 1: seller's plan (Pell River, after tax)</t>
        </is>
      </c>
      <c r="C1020" s="7" t="n"/>
      <c r="D1020" s="7" t="n"/>
      <c r="E1020" s="7" t="n"/>
      <c r="F1020" s="7" t="n"/>
      <c r="G1020" s="7" t="n"/>
      <c r="H1020" s="7" t="n"/>
      <c r="I1020" s="7" t="n"/>
      <c r="J1020" s="7" t="n"/>
      <c r="K1020" s="7" t="n"/>
      <c r="L1020" s="7" t="n"/>
      <c r="M1020" s="7" t="n"/>
      <c r="N1020" s="7" t="n"/>
    </row>
    <row r="1021">
      <c r="B1021" s="2" t="inlineStr">
        <is>
          <t>Year (31 December)</t>
        </is>
      </c>
      <c r="D1021" s="26">
        <f>pr_close</f>
        <v/>
      </c>
      <c r="E1021" s="26">
        <f>D1021+1</f>
        <v/>
      </c>
      <c r="F1021" s="26">
        <f>E1021+1</f>
        <v/>
      </c>
      <c r="G1021" s="26">
        <f>F1021+1</f>
        <v/>
      </c>
      <c r="H1021" s="26">
        <f>G1021+1</f>
        <v/>
      </c>
      <c r="I1021" s="26">
        <f>H1021+1</f>
        <v/>
      </c>
      <c r="J1021" s="26">
        <f>I1021+1</f>
        <v/>
      </c>
      <c r="K1021" s="26">
        <f>J1021+1</f>
        <v/>
      </c>
      <c r="L1021" s="26">
        <f>K1021+1</f>
        <v/>
      </c>
      <c r="M1021" s="26">
        <f>L1021+1</f>
        <v/>
      </c>
      <c r="N1021" s="26">
        <f>M1021+1</f>
        <v/>
      </c>
    </row>
    <row r="1022">
      <c r="B1022" s="2" t="inlineStr">
        <is>
          <t>Years after the first year of the hold (2028 = 0)</t>
        </is>
      </c>
      <c r="D1022" s="26">
        <f>D1021-(pr_close+1)</f>
        <v/>
      </c>
      <c r="E1022" s="26">
        <f>E1021-(pr_close+1)</f>
        <v/>
      </c>
      <c r="F1022" s="26">
        <f>F1021-(pr_close+1)</f>
        <v/>
      </c>
      <c r="G1022" s="26">
        <f>G1021-(pr_close+1)</f>
        <v/>
      </c>
      <c r="H1022" s="26">
        <f>H1021-(pr_close+1)</f>
        <v/>
      </c>
      <c r="I1022" s="26">
        <f>I1021-(pr_close+1)</f>
        <v/>
      </c>
      <c r="J1022" s="26">
        <f>J1021-(pr_close+1)</f>
        <v/>
      </c>
      <c r="K1022" s="26">
        <f>K1021-(pr_close+1)</f>
        <v/>
      </c>
      <c r="L1022" s="26">
        <f>L1021-(pr_close+1)</f>
        <v/>
      </c>
      <c r="M1022" s="26">
        <f>M1021-(pr_close+1)</f>
        <v/>
      </c>
      <c r="N1022" s="26">
        <f>N1021-(pr_close+1)</f>
        <v/>
      </c>
    </row>
    <row r="1023">
      <c r="B1023" s="2" t="inlineStr">
        <is>
          <t>Connections (water and wastewater), year end</t>
        </is>
      </c>
      <c r="C1023" s="5" t="inlineStr">
        <is>
          <t>number</t>
        </is>
      </c>
      <c r="D1023" s="19">
        <f>pr_water_conn+pr_ww_conn</f>
        <v/>
      </c>
      <c r="E1023" s="19">
        <f>D1023*(1+pr_growth)+IF(AND(pr_fen_on=1,E1021=pr_fen_year+1),pr_fen_conn,0)</f>
        <v/>
      </c>
      <c r="F1023" s="19">
        <f>E1023*(1+pr_growth)+IF(AND(pr_fen_on=1,F1021=pr_fen_year+1),pr_fen_conn,0)</f>
        <v/>
      </c>
      <c r="G1023" s="19">
        <f>F1023*(1+pr_growth)+IF(AND(pr_fen_on=1,G1021=pr_fen_year+1),pr_fen_conn,0)</f>
        <v/>
      </c>
      <c r="H1023" s="19">
        <f>G1023*(1+pr_growth)+IF(AND(pr_fen_on=1,H1021=pr_fen_year+1),pr_fen_conn,0)</f>
        <v/>
      </c>
      <c r="I1023" s="19">
        <f>H1023*(1+pr_growth)+IF(AND(pr_fen_on=1,I1021=pr_fen_year+1),pr_fen_conn,0)</f>
        <v/>
      </c>
      <c r="J1023" s="19">
        <f>I1023*(1+pr_growth)+IF(AND(pr_fen_on=1,J1021=pr_fen_year+1),pr_fen_conn,0)</f>
        <v/>
      </c>
      <c r="K1023" s="19">
        <f>J1023*(1+pr_growth)+IF(AND(pr_fen_on=1,K1021=pr_fen_year+1),pr_fen_conn,0)</f>
        <v/>
      </c>
      <c r="L1023" s="19">
        <f>K1023*(1+pr_growth)+IF(AND(pr_fen_on=1,L1021=pr_fen_year+1),pr_fen_conn,0)</f>
        <v/>
      </c>
      <c r="M1023" s="19">
        <f>L1023*(1+pr_growth)+IF(AND(pr_fen_on=1,M1021=pr_fen_year+1),pr_fen_conn,0)</f>
        <v/>
      </c>
      <c r="N1023" s="19">
        <f>M1023*(1+pr_growth)+IF(AND(pr_fen_on=1,N1021=pr_fen_year+1),pr_fen_conn,0)</f>
        <v/>
      </c>
    </row>
    <row r="1025">
      <c r="B1025" s="6" t="inlineStr">
        <is>
          <t>Capital spending ($ million)</t>
        </is>
      </c>
      <c r="C1025" s="7" t="n"/>
      <c r="D1025" s="7" t="n"/>
      <c r="E1025" s="7" t="n"/>
      <c r="F1025" s="7" t="n"/>
      <c r="G1025" s="7" t="n"/>
      <c r="H1025" s="7" t="n"/>
      <c r="I1025" s="7" t="n"/>
      <c r="J1025" s="7" t="n"/>
      <c r="K1025" s="7" t="n"/>
      <c r="L1025" s="7" t="n"/>
      <c r="M1025" s="7" t="n"/>
      <c r="N1025" s="7" t="n"/>
    </row>
    <row r="1026">
      <c r="B1026" s="2" t="inlineStr">
        <is>
          <t>Cost escalation index (2028 = 1)</t>
        </is>
      </c>
      <c r="E1026" s="28">
        <f>(1+pr_capex_esc)^(E1021-(pr_close+1))</f>
        <v/>
      </c>
      <c r="F1026" s="28">
        <f>(1+pr_capex_esc)^(F1021-(pr_close+1))</f>
        <v/>
      </c>
      <c r="G1026" s="28">
        <f>(1+pr_capex_esc)^(G1021-(pr_close+1))</f>
        <v/>
      </c>
      <c r="H1026" s="28">
        <f>(1+pr_capex_esc)^(H1021-(pr_close+1))</f>
        <v/>
      </c>
      <c r="I1026" s="28">
        <f>(1+pr_capex_esc)^(I1021-(pr_close+1))</f>
        <v/>
      </c>
      <c r="J1026" s="28">
        <f>(1+pr_capex_esc)^(J1021-(pr_close+1))</f>
        <v/>
      </c>
      <c r="K1026" s="28">
        <f>(1+pr_capex_esc)^(K1021-(pr_close+1))</f>
        <v/>
      </c>
      <c r="L1026" s="28">
        <f>(1+pr_capex_esc)^(L1021-(pr_close+1))</f>
        <v/>
      </c>
      <c r="M1026" s="28">
        <f>(1+pr_capex_esc)^(M1021-(pr_close+1))</f>
        <v/>
      </c>
      <c r="N1026" s="28">
        <f>(1+pr_capex_esc)^(N1021-(pr_close+1))</f>
        <v/>
      </c>
    </row>
    <row r="1027">
      <c r="B1027" s="2" t="inlineStr">
        <is>
          <t>Main renewal</t>
        </is>
      </c>
      <c r="C1027" s="5" t="inlineStr">
        <is>
          <t>$ million</t>
        </is>
      </c>
      <c r="E1027" s="23">
        <f>pr_renewal*pr_mains_miles*pr_cost_mile*E1026*(1+pr_capex_shift)</f>
        <v/>
      </c>
      <c r="F1027" s="23">
        <f>pr_renewal*pr_mains_miles*pr_cost_mile*F1026*(1+pr_capex_shift)</f>
        <v/>
      </c>
      <c r="G1027" s="23">
        <f>pr_renewal*pr_mains_miles*pr_cost_mile*G1026*(1+pr_capex_shift)</f>
        <v/>
      </c>
      <c r="H1027" s="23">
        <f>pr_renewal*pr_mains_miles*pr_cost_mile*H1026*(1+pr_capex_shift)</f>
        <v/>
      </c>
      <c r="I1027" s="23">
        <f>pr_renewal*pr_mains_miles*pr_cost_mile*I1026*(1+pr_capex_shift)</f>
        <v/>
      </c>
      <c r="J1027" s="23">
        <f>pr_renewal*pr_mains_miles*pr_cost_mile*J1026*(1+pr_capex_shift)</f>
        <v/>
      </c>
      <c r="K1027" s="23">
        <f>pr_renewal*pr_mains_miles*pr_cost_mile*K1026*(1+pr_capex_shift)</f>
        <v/>
      </c>
      <c r="L1027" s="23">
        <f>pr_renewal*pr_mains_miles*pr_cost_mile*L1026*(1+pr_capex_shift)</f>
        <v/>
      </c>
      <c r="M1027" s="23">
        <f>pr_renewal*pr_mains_miles*pr_cost_mile*M1026*(1+pr_capex_shift)</f>
        <v/>
      </c>
      <c r="N1027" s="23">
        <f>pr_renewal*pr_mains_miles*pr_cost_mile*N1026*(1+pr_capex_shift)</f>
        <v/>
      </c>
    </row>
    <row r="1028">
      <c r="B1028" s="2" t="inlineStr">
        <is>
          <t>Treatment, storage, meters, IT and growth</t>
        </is>
      </c>
      <c r="C1028" s="5" t="inlineStr">
        <is>
          <t>$ million</t>
        </is>
      </c>
      <c r="E1028" s="23">
        <f>pr_other_capex*E1026*(1+pr_capex_shift)</f>
        <v/>
      </c>
      <c r="F1028" s="23">
        <f>pr_other_capex*F1026*(1+pr_capex_shift)</f>
        <v/>
      </c>
      <c r="G1028" s="23">
        <f>pr_other_capex*G1026*(1+pr_capex_shift)</f>
        <v/>
      </c>
      <c r="H1028" s="23">
        <f>pr_other_capex*H1026*(1+pr_capex_shift)</f>
        <v/>
      </c>
      <c r="I1028" s="23">
        <f>pr_other_capex*I1026*(1+pr_capex_shift)</f>
        <v/>
      </c>
      <c r="J1028" s="23">
        <f>pr_other_capex*J1026*(1+pr_capex_shift)</f>
        <v/>
      </c>
      <c r="K1028" s="23">
        <f>pr_other_capex*K1026*(1+pr_capex_shift)</f>
        <v/>
      </c>
      <c r="L1028" s="23">
        <f>pr_other_capex*L1026*(1+pr_capex_shift)</f>
        <v/>
      </c>
      <c r="M1028" s="23">
        <f>pr_other_capex*M1026*(1+pr_capex_shift)</f>
        <v/>
      </c>
      <c r="N1028" s="23">
        <f>pr_other_capex*N1026*(1+pr_capex_shift)</f>
        <v/>
      </c>
    </row>
    <row r="1029">
      <c r="B1029" s="2" t="inlineStr">
        <is>
          <t>PFAS treatment</t>
        </is>
      </c>
      <c r="C1029" s="5" t="inlineStr">
        <is>
          <t>$ million</t>
        </is>
      </c>
      <c r="E1029" s="23">
        <f>(IF(E1021-pr_pfas_delay=pr_pfas_y1,pr_pfas_1,0)+IF(E1021-pr_pfas_delay=pr_pfas_y1+1,pr_pfas_2,0)+IF(E1021-pr_pfas_delay=pr_pfas_y1+2,pr_pfas_3,0))*(1+pr_capex_esc)^pr_pfas_delay*(1+pr_capex_shift)</f>
        <v/>
      </c>
      <c r="F1029" s="23">
        <f>(IF(F1021-pr_pfas_delay=pr_pfas_y1,pr_pfas_1,0)+IF(F1021-pr_pfas_delay=pr_pfas_y1+1,pr_pfas_2,0)+IF(F1021-pr_pfas_delay=pr_pfas_y1+2,pr_pfas_3,0))*(1+pr_capex_esc)^pr_pfas_delay*(1+pr_capex_shift)</f>
        <v/>
      </c>
      <c r="G1029" s="23">
        <f>(IF(G1021-pr_pfas_delay=pr_pfas_y1,pr_pfas_1,0)+IF(G1021-pr_pfas_delay=pr_pfas_y1+1,pr_pfas_2,0)+IF(G1021-pr_pfas_delay=pr_pfas_y1+2,pr_pfas_3,0))*(1+pr_capex_esc)^pr_pfas_delay*(1+pr_capex_shift)</f>
        <v/>
      </c>
      <c r="H1029" s="23">
        <f>(IF(H1021-pr_pfas_delay=pr_pfas_y1,pr_pfas_1,0)+IF(H1021-pr_pfas_delay=pr_pfas_y1+1,pr_pfas_2,0)+IF(H1021-pr_pfas_delay=pr_pfas_y1+2,pr_pfas_3,0))*(1+pr_capex_esc)^pr_pfas_delay*(1+pr_capex_shift)</f>
        <v/>
      </c>
      <c r="I1029" s="23">
        <f>(IF(I1021-pr_pfas_delay=pr_pfas_y1,pr_pfas_1,0)+IF(I1021-pr_pfas_delay=pr_pfas_y1+1,pr_pfas_2,0)+IF(I1021-pr_pfas_delay=pr_pfas_y1+2,pr_pfas_3,0))*(1+pr_capex_esc)^pr_pfas_delay*(1+pr_capex_shift)</f>
        <v/>
      </c>
      <c r="J1029" s="23">
        <f>(IF(J1021-pr_pfas_delay=pr_pfas_y1,pr_pfas_1,0)+IF(J1021-pr_pfas_delay=pr_pfas_y1+1,pr_pfas_2,0)+IF(J1021-pr_pfas_delay=pr_pfas_y1+2,pr_pfas_3,0))*(1+pr_capex_esc)^pr_pfas_delay*(1+pr_capex_shift)</f>
        <v/>
      </c>
      <c r="K1029" s="23">
        <f>(IF(K1021-pr_pfas_delay=pr_pfas_y1,pr_pfas_1,0)+IF(K1021-pr_pfas_delay=pr_pfas_y1+1,pr_pfas_2,0)+IF(K1021-pr_pfas_delay=pr_pfas_y1+2,pr_pfas_3,0))*(1+pr_capex_esc)^pr_pfas_delay*(1+pr_capex_shift)</f>
        <v/>
      </c>
      <c r="L1029" s="23">
        <f>(IF(L1021-pr_pfas_delay=pr_pfas_y1,pr_pfas_1,0)+IF(L1021-pr_pfas_delay=pr_pfas_y1+1,pr_pfas_2,0)+IF(L1021-pr_pfas_delay=pr_pfas_y1+2,pr_pfas_3,0))*(1+pr_capex_esc)^pr_pfas_delay*(1+pr_capex_shift)</f>
        <v/>
      </c>
      <c r="M1029" s="23">
        <f>(IF(M1021-pr_pfas_delay=pr_pfas_y1,pr_pfas_1,0)+IF(M1021-pr_pfas_delay=pr_pfas_y1+1,pr_pfas_2,0)+IF(M1021-pr_pfas_delay=pr_pfas_y1+2,pr_pfas_3,0))*(1+pr_capex_esc)^pr_pfas_delay*(1+pr_capex_shift)</f>
        <v/>
      </c>
      <c r="N1029" s="23">
        <f>(IF(N1021-pr_pfas_delay=pr_pfas_y1,pr_pfas_1,0)+IF(N1021-pr_pfas_delay=pr_pfas_y1+1,pr_pfas_2,0)+IF(N1021-pr_pfas_delay=pr_pfas_y1+2,pr_pfas_3,0))*(1+pr_capex_esc)^pr_pfas_delay*(1+pr_capex_shift)</f>
        <v/>
      </c>
    </row>
    <row r="1030">
      <c r="B1030" s="2" t="inlineStr">
        <is>
          <t>Lead service lines</t>
        </is>
      </c>
      <c r="C1030" s="5" t="inlineStr">
        <is>
          <t>$ million</t>
        </is>
      </c>
      <c r="E1030" s="23">
        <f>IF(AND(E1021&gt;=(pr_close+1),E1021&lt;(pr_close+1)+pr_lead_years),pr_lead_lines/pr_lead_years*pr_lead_cost/1000000*E1026,0)*(1+pr_capex_shift)</f>
        <v/>
      </c>
      <c r="F1030" s="23">
        <f>IF(AND(F1021&gt;=(pr_close+1),F1021&lt;(pr_close+1)+pr_lead_years),pr_lead_lines/pr_lead_years*pr_lead_cost/1000000*F1026,0)*(1+pr_capex_shift)</f>
        <v/>
      </c>
      <c r="G1030" s="23">
        <f>IF(AND(G1021&gt;=(pr_close+1),G1021&lt;(pr_close+1)+pr_lead_years),pr_lead_lines/pr_lead_years*pr_lead_cost/1000000*G1026,0)*(1+pr_capex_shift)</f>
        <v/>
      </c>
      <c r="H1030" s="23">
        <f>IF(AND(H1021&gt;=(pr_close+1),H1021&lt;(pr_close+1)+pr_lead_years),pr_lead_lines/pr_lead_years*pr_lead_cost/1000000*H1026,0)*(1+pr_capex_shift)</f>
        <v/>
      </c>
      <c r="I1030" s="23">
        <f>IF(AND(I1021&gt;=(pr_close+1),I1021&lt;(pr_close+1)+pr_lead_years),pr_lead_lines/pr_lead_years*pr_lead_cost/1000000*I1026,0)*(1+pr_capex_shift)</f>
        <v/>
      </c>
      <c r="J1030" s="23">
        <f>IF(AND(J1021&gt;=(pr_close+1),J1021&lt;(pr_close+1)+pr_lead_years),pr_lead_lines/pr_lead_years*pr_lead_cost/1000000*J1026,0)*(1+pr_capex_shift)</f>
        <v/>
      </c>
      <c r="K1030" s="23">
        <f>IF(AND(K1021&gt;=(pr_close+1),K1021&lt;(pr_close+1)+pr_lead_years),pr_lead_lines/pr_lead_years*pr_lead_cost/1000000*K1026,0)*(1+pr_capex_shift)</f>
        <v/>
      </c>
      <c r="L1030" s="23">
        <f>IF(AND(L1021&gt;=(pr_close+1),L1021&lt;(pr_close+1)+pr_lead_years),pr_lead_lines/pr_lead_years*pr_lead_cost/1000000*L1026,0)*(1+pr_capex_shift)</f>
        <v/>
      </c>
      <c r="M1030" s="23">
        <f>IF(AND(M1021&gt;=(pr_close+1),M1021&lt;(pr_close+1)+pr_lead_years),pr_lead_lines/pr_lead_years*pr_lead_cost/1000000*M1026,0)*(1+pr_capex_shift)</f>
        <v/>
      </c>
      <c r="N1030" s="23">
        <f>IF(AND(N1021&gt;=(pr_close+1),N1021&lt;(pr_close+1)+pr_lead_years),pr_lead_lines/pr_lead_years*pr_lead_cost/1000000*N1026,0)*(1+pr_capex_shift)</f>
        <v/>
      </c>
    </row>
    <row r="1031">
      <c r="B1031" s="2" t="inlineStr">
        <is>
          <t>Fennick system</t>
        </is>
      </c>
      <c r="C1031" s="5" t="inlineStr">
        <is>
          <t>$ million</t>
        </is>
      </c>
      <c r="E1031" s="23">
        <f>IF(AND(pr_fen_on=1,E1021&gt;pr_fen_year),pr_fen_capex*(1+pr_capex_esc)^(E1021-pr_fen_year-1),0)*(1+pr_capex_shift)</f>
        <v/>
      </c>
      <c r="F1031" s="23">
        <f>IF(AND(pr_fen_on=1,F1021&gt;pr_fen_year),pr_fen_capex*(1+pr_capex_esc)^(F1021-pr_fen_year-1),0)*(1+pr_capex_shift)</f>
        <v/>
      </c>
      <c r="G1031" s="23">
        <f>IF(AND(pr_fen_on=1,G1021&gt;pr_fen_year),pr_fen_capex*(1+pr_capex_esc)^(G1021-pr_fen_year-1),0)*(1+pr_capex_shift)</f>
        <v/>
      </c>
      <c r="H1031" s="23">
        <f>IF(AND(pr_fen_on=1,H1021&gt;pr_fen_year),pr_fen_capex*(1+pr_capex_esc)^(H1021-pr_fen_year-1),0)*(1+pr_capex_shift)</f>
        <v/>
      </c>
      <c r="I1031" s="23">
        <f>IF(AND(pr_fen_on=1,I1021&gt;pr_fen_year),pr_fen_capex*(1+pr_capex_esc)^(I1021-pr_fen_year-1),0)*(1+pr_capex_shift)</f>
        <v/>
      </c>
      <c r="J1031" s="23">
        <f>IF(AND(pr_fen_on=1,J1021&gt;pr_fen_year),pr_fen_capex*(1+pr_capex_esc)^(J1021-pr_fen_year-1),0)*(1+pr_capex_shift)</f>
        <v/>
      </c>
      <c r="K1031" s="23">
        <f>IF(AND(pr_fen_on=1,K1021&gt;pr_fen_year),pr_fen_capex*(1+pr_capex_esc)^(K1021-pr_fen_year-1),0)*(1+pr_capex_shift)</f>
        <v/>
      </c>
      <c r="L1031" s="23">
        <f>IF(AND(pr_fen_on=1,L1021&gt;pr_fen_year),pr_fen_capex*(1+pr_capex_esc)^(L1021-pr_fen_year-1),0)*(1+pr_capex_shift)</f>
        <v/>
      </c>
      <c r="M1031" s="23">
        <f>IF(AND(pr_fen_on=1,M1021&gt;pr_fen_year),pr_fen_capex*(1+pr_capex_esc)^(M1021-pr_fen_year-1),0)*(1+pr_capex_shift)</f>
        <v/>
      </c>
      <c r="N1031" s="23">
        <f>IF(AND(pr_fen_on=1,N1021&gt;pr_fen_year),pr_fen_capex*(1+pr_capex_esc)^(N1021-pr_fen_year-1),0)*(1+pr_capex_shift)</f>
        <v/>
      </c>
    </row>
    <row r="1032">
      <c r="B1032" s="2" t="inlineStr">
        <is>
          <t>Total capital spending</t>
        </is>
      </c>
      <c r="C1032" s="5" t="inlineStr">
        <is>
          <t>$ million</t>
        </is>
      </c>
      <c r="E1032" s="23">
        <f>SUM(E1027:E1031)</f>
        <v/>
      </c>
      <c r="F1032" s="23">
        <f>SUM(F1027:F1031)</f>
        <v/>
      </c>
      <c r="G1032" s="23">
        <f>SUM(G1027:G1031)</f>
        <v/>
      </c>
      <c r="H1032" s="23">
        <f>SUM(H1027:H1031)</f>
        <v/>
      </c>
      <c r="I1032" s="23">
        <f>SUM(I1027:I1031)</f>
        <v/>
      </c>
      <c r="J1032" s="23">
        <f>SUM(J1027:J1031)</f>
        <v/>
      </c>
      <c r="K1032" s="23">
        <f>SUM(K1027:K1031)</f>
        <v/>
      </c>
      <c r="L1032" s="23">
        <f>SUM(L1027:L1031)</f>
        <v/>
      </c>
      <c r="M1032" s="23">
        <f>SUM(M1027:M1031)</f>
        <v/>
      </c>
      <c r="N1032" s="23">
        <f>SUM(N1027:N1031)</f>
        <v/>
      </c>
    </row>
    <row r="1033">
      <c r="B1033" s="2" t="inlineStr">
        <is>
          <t>DSIC-eligible (mains and lead lines)</t>
        </is>
      </c>
      <c r="C1033" s="5" t="inlineStr">
        <is>
          <t>$ million</t>
        </is>
      </c>
      <c r="E1033" s="23">
        <f>E1027+E1030</f>
        <v/>
      </c>
      <c r="F1033" s="23">
        <f>F1027+F1030</f>
        <v/>
      </c>
      <c r="G1033" s="23">
        <f>G1027+G1030</f>
        <v/>
      </c>
      <c r="H1033" s="23">
        <f>H1027+H1030</f>
        <v/>
      </c>
      <c r="I1033" s="23">
        <f>I1027+I1030</f>
        <v/>
      </c>
      <c r="J1033" s="23">
        <f>J1027+J1030</f>
        <v/>
      </c>
      <c r="K1033" s="23">
        <f>K1027+K1030</f>
        <v/>
      </c>
      <c r="L1033" s="23">
        <f>L1027+L1030</f>
        <v/>
      </c>
      <c r="M1033" s="23">
        <f>M1027+M1030</f>
        <v/>
      </c>
      <c r="N1033" s="23">
        <f>N1027+N1030</f>
        <v/>
      </c>
    </row>
    <row r="1035">
      <c r="B1035" s="6" t="inlineStr">
        <is>
          <t>Rate case (rates effective 1 January of the year; test-year values looked up to the left)</t>
        </is>
      </c>
      <c r="C1035" s="7" t="n"/>
      <c r="D1035" s="7" t="n"/>
      <c r="E1035" s="7" t="n"/>
      <c r="F1035" s="7" t="n"/>
      <c r="G1035" s="7" t="n"/>
      <c r="H1035" s="7" t="n"/>
      <c r="I1035" s="7" t="n"/>
      <c r="J1035" s="7" t="n"/>
      <c r="K1035" s="7" t="n"/>
      <c r="L1035" s="7" t="n"/>
      <c r="M1035" s="7" t="n"/>
      <c r="N1035" s="7" t="n"/>
    </row>
    <row r="1036">
      <c r="B1036" s="2" t="inlineStr">
        <is>
          <t>Rate case this year (1 = yes)</t>
        </is>
      </c>
      <c r="E1036" s="26">
        <f>IF(AND(E1021&gt;=pr_rc_first,MOD(E1021-pr_rc_first,Inputs!$C$245)=0),1,0)</f>
        <v/>
      </c>
      <c r="F1036" s="26">
        <f>IF(AND(F1021&gt;=pr_rc_first,MOD(F1021-pr_rc_first,Inputs!$C$245)=0),1,0)</f>
        <v/>
      </c>
      <c r="G1036" s="26">
        <f>IF(AND(G1021&gt;=pr_rc_first,MOD(G1021-pr_rc_first,Inputs!$C$245)=0),1,0)</f>
        <v/>
      </c>
      <c r="H1036" s="26">
        <f>IF(AND(H1021&gt;=pr_rc_first,MOD(H1021-pr_rc_first,Inputs!$C$245)=0),1,0)</f>
        <v/>
      </c>
      <c r="I1036" s="26">
        <f>IF(AND(I1021&gt;=pr_rc_first,MOD(I1021-pr_rc_first,Inputs!$C$245)=0),1,0)</f>
        <v/>
      </c>
      <c r="J1036" s="26">
        <f>IF(AND(J1021&gt;=pr_rc_first,MOD(J1021-pr_rc_first,Inputs!$C$245)=0),1,0)</f>
        <v/>
      </c>
      <c r="K1036" s="26">
        <f>IF(AND(K1021&gt;=pr_rc_first,MOD(K1021-pr_rc_first,Inputs!$C$245)=0),1,0)</f>
        <v/>
      </c>
      <c r="L1036" s="26">
        <f>IF(AND(L1021&gt;=pr_rc_first,MOD(L1021-pr_rc_first,Inputs!$C$245)=0),1,0)</f>
        <v/>
      </c>
      <c r="M1036" s="26">
        <f>IF(AND(M1021&gt;=pr_rc_first,MOD(M1021-pr_rc_first,Inputs!$C$245)=0),1,0)</f>
        <v/>
      </c>
      <c r="N1036" s="26">
        <f>IF(AND(N1021&gt;=pr_rc_first,MOD(N1021-pr_rc_first,Inputs!$C$245)=0),1,0)</f>
        <v/>
      </c>
    </row>
    <row r="1037">
      <c r="B1037" s="2" t="inlineStr">
        <is>
          <t>Test year</t>
        </is>
      </c>
      <c r="E1037" s="26">
        <f>E1021-Inputs!$C$246</f>
        <v/>
      </c>
      <c r="F1037" s="26">
        <f>F1021-Inputs!$C$246</f>
        <v/>
      </c>
      <c r="G1037" s="26">
        <f>G1021-Inputs!$C$246</f>
        <v/>
      </c>
      <c r="H1037" s="26">
        <f>H1021-Inputs!$C$246</f>
        <v/>
      </c>
      <c r="I1037" s="26">
        <f>I1021-Inputs!$C$246</f>
        <v/>
      </c>
      <c r="J1037" s="26">
        <f>J1021-Inputs!$C$246</f>
        <v/>
      </c>
      <c r="K1037" s="26">
        <f>K1021-Inputs!$C$246</f>
        <v/>
      </c>
      <c r="L1037" s="26">
        <f>L1021-Inputs!$C$246</f>
        <v/>
      </c>
      <c r="M1037" s="26">
        <f>M1021-Inputs!$C$246</f>
        <v/>
      </c>
      <c r="N1037" s="26">
        <f>N1021-Inputs!$C$246</f>
        <v/>
      </c>
    </row>
    <row r="1038">
      <c r="B1038" s="2" t="inlineStr">
        <is>
          <t>Test year of the latest rate case</t>
        </is>
      </c>
      <c r="D1038" s="26">
        <f>pr_close</f>
        <v/>
      </c>
      <c r="E1038" s="26">
        <f>IF(E1036=1,E1037,D1038)</f>
        <v/>
      </c>
      <c r="F1038" s="26">
        <f>IF(F1036=1,F1037,E1038)</f>
        <v/>
      </c>
      <c r="G1038" s="26">
        <f>IF(G1036=1,G1037,F1038)</f>
        <v/>
      </c>
      <c r="H1038" s="26">
        <f>IF(H1036=1,H1037,G1038)</f>
        <v/>
      </c>
      <c r="I1038" s="26">
        <f>IF(I1036=1,I1037,H1038)</f>
        <v/>
      </c>
      <c r="J1038" s="26">
        <f>IF(J1036=1,J1037,I1038)</f>
        <v/>
      </c>
      <c r="K1038" s="26">
        <f>IF(K1036=1,K1037,J1038)</f>
        <v/>
      </c>
      <c r="L1038" s="26">
        <f>IF(L1036=1,L1037,K1038)</f>
        <v/>
      </c>
      <c r="M1038" s="26">
        <f>IF(M1036=1,M1037,L1038)</f>
        <v/>
      </c>
      <c r="N1038" s="26">
        <f>IF(N1036=1,N1037,M1038)</f>
        <v/>
      </c>
    </row>
    <row r="1039">
      <c r="B1039" s="2" t="inlineStr">
        <is>
          <t>Rate base at the end of the test year</t>
        </is>
      </c>
      <c r="C1039" s="5" t="inlineStr">
        <is>
          <t>$ million</t>
        </is>
      </c>
      <c r="E1039" s="23">
        <f>INDEX($D$1078:D$1078,MATCH(MAX(E1037,pr_close),$D$1021:D$1021,0))</f>
        <v/>
      </c>
      <c r="F1039" s="23">
        <f>INDEX($D$1078:E$1078,MATCH(MAX(F1037,pr_close),$D$1021:E$1021,0))</f>
        <v/>
      </c>
      <c r="G1039" s="23">
        <f>INDEX($D$1078:F$1078,MATCH(MAX(G1037,pr_close),$D$1021:F$1021,0))</f>
        <v/>
      </c>
      <c r="H1039" s="23">
        <f>INDEX($D$1078:G$1078,MATCH(MAX(H1037,pr_close),$D$1021:G$1021,0))</f>
        <v/>
      </c>
      <c r="I1039" s="23">
        <f>INDEX($D$1078:H$1078,MATCH(MAX(I1037,pr_close),$D$1021:H$1021,0))</f>
        <v/>
      </c>
      <c r="J1039" s="23">
        <f>INDEX($D$1078:I$1078,MATCH(MAX(J1037,pr_close),$D$1021:I$1021,0))</f>
        <v/>
      </c>
      <c r="K1039" s="23">
        <f>INDEX($D$1078:J$1078,MATCH(MAX(K1037,pr_close),$D$1021:J$1021,0))</f>
        <v/>
      </c>
      <c r="L1039" s="23">
        <f>INDEX($D$1078:K$1078,MATCH(MAX(L1037,pr_close),$D$1021:K$1021,0))</f>
        <v/>
      </c>
      <c r="M1039" s="23">
        <f>INDEX($D$1078:L$1078,MATCH(MAX(M1037,pr_close),$D$1021:L$1021,0))</f>
        <v/>
      </c>
      <c r="N1039" s="23">
        <f>INDEX($D$1078:M$1078,MATCH(MAX(N1037,pr_close),$D$1021:M$1021,0))</f>
        <v/>
      </c>
    </row>
    <row r="1040">
      <c r="B1040" s="2" t="inlineStr">
        <is>
          <t>Embedded cost of debt in the test year</t>
        </is>
      </c>
      <c r="C1040" s="5" t="inlineStr">
        <is>
          <t>rate</t>
        </is>
      </c>
      <c r="E1040" s="27">
        <f>INDEX($D$1082:D$1082,MATCH(MAX(E1037,pr_close),$D$1021:D$1021,0))</f>
        <v/>
      </c>
      <c r="F1040" s="27">
        <f>INDEX($D$1082:E$1082,MATCH(MAX(F1037,pr_close),$D$1021:E$1021,0))</f>
        <v/>
      </c>
      <c r="G1040" s="27">
        <f>INDEX($D$1082:F$1082,MATCH(MAX(G1037,pr_close),$D$1021:F$1021,0))</f>
        <v/>
      </c>
      <c r="H1040" s="27">
        <f>INDEX($D$1082:G$1082,MATCH(MAX(H1037,pr_close),$D$1021:G$1021,0))</f>
        <v/>
      </c>
      <c r="I1040" s="27">
        <f>INDEX($D$1082:H$1082,MATCH(MAX(I1037,pr_close),$D$1021:H$1021,0))</f>
        <v/>
      </c>
      <c r="J1040" s="27">
        <f>INDEX($D$1082:I$1082,MATCH(MAX(J1037,pr_close),$D$1021:I$1021,0))</f>
        <v/>
      </c>
      <c r="K1040" s="27">
        <f>INDEX($D$1082:J$1082,MATCH(MAX(K1037,pr_close),$D$1021:J$1021,0))</f>
        <v/>
      </c>
      <c r="L1040" s="27">
        <f>INDEX($D$1082:K$1082,MATCH(MAX(L1037,pr_close),$D$1021:K$1021,0))</f>
        <v/>
      </c>
      <c r="M1040" s="27">
        <f>INDEX($D$1082:L$1082,MATCH(MAX(M1037,pr_close),$D$1021:L$1021,0))</f>
        <v/>
      </c>
      <c r="N1040" s="27">
        <f>INDEX($D$1082:M$1082,MATCH(MAX(N1037,pr_close),$D$1021:M$1021,0))</f>
        <v/>
      </c>
    </row>
    <row r="1041">
      <c r="B1041" s="2" t="inlineStr">
        <is>
          <t>O&amp;M in the test year</t>
        </is>
      </c>
      <c r="C1041" s="5" t="inlineStr">
        <is>
          <t>$ million</t>
        </is>
      </c>
      <c r="E1041" s="23">
        <f>INDEX($D$1063:D$1063,MATCH(MAX(E1037,pr_close),$D$1021:D$1021,0))</f>
        <v/>
      </c>
      <c r="F1041" s="23">
        <f>INDEX($D$1063:E$1063,MATCH(MAX(F1037,pr_close),$D$1021:E$1021,0))</f>
        <v/>
      </c>
      <c r="G1041" s="23">
        <f>INDEX($D$1063:F$1063,MATCH(MAX(G1037,pr_close),$D$1021:F$1021,0))</f>
        <v/>
      </c>
      <c r="H1041" s="23">
        <f>INDEX($D$1063:G$1063,MATCH(MAX(H1037,pr_close),$D$1021:G$1021,0))</f>
        <v/>
      </c>
      <c r="I1041" s="23">
        <f>INDEX($D$1063:H$1063,MATCH(MAX(I1037,pr_close),$D$1021:H$1021,0))</f>
        <v/>
      </c>
      <c r="J1041" s="23">
        <f>INDEX($D$1063:I$1063,MATCH(MAX(J1037,pr_close),$D$1021:I$1021,0))</f>
        <v/>
      </c>
      <c r="K1041" s="23">
        <f>INDEX($D$1063:J$1063,MATCH(MAX(K1037,pr_close),$D$1021:J$1021,0))</f>
        <v/>
      </c>
      <c r="L1041" s="23">
        <f>INDEX($D$1063:K$1063,MATCH(MAX(L1037,pr_close),$D$1021:K$1021,0))</f>
        <v/>
      </c>
      <c r="M1041" s="23">
        <f>INDEX($D$1063:L$1063,MATCH(MAX(M1037,pr_close),$D$1021:L$1021,0))</f>
        <v/>
      </c>
      <c r="N1041" s="23">
        <f>INDEX($D$1063:M$1063,MATCH(MAX(N1037,pr_close),$D$1021:M$1021,0))</f>
        <v/>
      </c>
    </row>
    <row r="1042">
      <c r="B1042" s="2" t="inlineStr">
        <is>
          <t>Authorized return on rate base</t>
        </is>
      </c>
      <c r="C1042" s="5" t="inlineStr">
        <is>
          <t>rate</t>
        </is>
      </c>
      <c r="E1042" s="27">
        <f>(pr_eq*Inputs!$C$244+(1-pr_eq)*E1040)</f>
        <v/>
      </c>
      <c r="F1042" s="27">
        <f>(pr_eq*Inputs!$C$244+(1-pr_eq)*F1040)</f>
        <v/>
      </c>
      <c r="G1042" s="27">
        <f>(pr_eq*Inputs!$C$244+(1-pr_eq)*G1040)</f>
        <v/>
      </c>
      <c r="H1042" s="27">
        <f>(pr_eq*Inputs!$C$244+(1-pr_eq)*H1040)</f>
        <v/>
      </c>
      <c r="I1042" s="27">
        <f>(pr_eq*Inputs!$C$244+(1-pr_eq)*I1040)</f>
        <v/>
      </c>
      <c r="J1042" s="27">
        <f>(pr_eq*Inputs!$C$244+(1-pr_eq)*J1040)</f>
        <v/>
      </c>
      <c r="K1042" s="27">
        <f>(pr_eq*Inputs!$C$244+(1-pr_eq)*K1040)</f>
        <v/>
      </c>
      <c r="L1042" s="27">
        <f>(pr_eq*Inputs!$C$244+(1-pr_eq)*L1040)</f>
        <v/>
      </c>
      <c r="M1042" s="27">
        <f>(pr_eq*Inputs!$C$244+(1-pr_eq)*M1040)</f>
        <v/>
      </c>
      <c r="N1042" s="27">
        <f>(pr_eq*Inputs!$C$244+(1-pr_eq)*N1040)</f>
        <v/>
      </c>
    </row>
    <row r="1043">
      <c r="B1043" s="2" t="inlineStr">
        <is>
          <t>Return</t>
        </is>
      </c>
      <c r="C1043" s="5" t="inlineStr">
        <is>
          <t>$ million</t>
        </is>
      </c>
      <c r="E1043" s="23">
        <f>E1042*E1039</f>
        <v/>
      </c>
      <c r="F1043" s="23">
        <f>F1042*F1039</f>
        <v/>
      </c>
      <c r="G1043" s="23">
        <f>G1042*G1039</f>
        <v/>
      </c>
      <c r="H1043" s="23">
        <f>H1042*H1039</f>
        <v/>
      </c>
      <c r="I1043" s="23">
        <f>I1042*I1039</f>
        <v/>
      </c>
      <c r="J1043" s="23">
        <f>J1042*J1039</f>
        <v/>
      </c>
      <c r="K1043" s="23">
        <f>K1042*K1039</f>
        <v/>
      </c>
      <c r="L1043" s="23">
        <f>L1042*L1039</f>
        <v/>
      </c>
      <c r="M1043" s="23">
        <f>M1042*M1039</f>
        <v/>
      </c>
      <c r="N1043" s="23">
        <f>N1042*N1039</f>
        <v/>
      </c>
    </row>
    <row r="1044">
      <c r="B1044" s="2" t="inlineStr">
        <is>
          <t>Income tax gross-up</t>
        </is>
      </c>
      <c r="C1044" s="5" t="inlineStr">
        <is>
          <t>$ million</t>
        </is>
      </c>
      <c r="E1044" s="23">
        <f>(pr_eq*Inputs!$C$244*pr_tax/(1-pr_tax))*E1039</f>
        <v/>
      </c>
      <c r="F1044" s="23">
        <f>(pr_eq*Inputs!$C$244*pr_tax/(1-pr_tax))*F1039</f>
        <v/>
      </c>
      <c r="G1044" s="23">
        <f>(pr_eq*Inputs!$C$244*pr_tax/(1-pr_tax))*G1039</f>
        <v/>
      </c>
      <c r="H1044" s="23">
        <f>(pr_eq*Inputs!$C$244*pr_tax/(1-pr_tax))*H1039</f>
        <v/>
      </c>
      <c r="I1044" s="23">
        <f>(pr_eq*Inputs!$C$244*pr_tax/(1-pr_tax))*I1039</f>
        <v/>
      </c>
      <c r="J1044" s="23">
        <f>(pr_eq*Inputs!$C$244*pr_tax/(1-pr_tax))*J1039</f>
        <v/>
      </c>
      <c r="K1044" s="23">
        <f>(pr_eq*Inputs!$C$244*pr_tax/(1-pr_tax))*K1039</f>
        <v/>
      </c>
      <c r="L1044" s="23">
        <f>(pr_eq*Inputs!$C$244*pr_tax/(1-pr_tax))*L1039</f>
        <v/>
      </c>
      <c r="M1044" s="23">
        <f>(pr_eq*Inputs!$C$244*pr_tax/(1-pr_tax))*M1039</f>
        <v/>
      </c>
      <c r="N1044" s="23">
        <f>(pr_eq*Inputs!$C$244*pr_tax/(1-pr_tax))*N1039</f>
        <v/>
      </c>
    </row>
    <row r="1045">
      <c r="B1045" s="2" t="inlineStr">
        <is>
          <t>Depreciation</t>
        </is>
      </c>
      <c r="C1045" s="5" t="inlineStr">
        <is>
          <t>$ million</t>
        </is>
      </c>
      <c r="E1045" s="23">
        <f>pr_dep*E1039</f>
        <v/>
      </c>
      <c r="F1045" s="23">
        <f>pr_dep*F1039</f>
        <v/>
      </c>
      <c r="G1045" s="23">
        <f>pr_dep*G1039</f>
        <v/>
      </c>
      <c r="H1045" s="23">
        <f>pr_dep*H1039</f>
        <v/>
      </c>
      <c r="I1045" s="23">
        <f>pr_dep*I1039</f>
        <v/>
      </c>
      <c r="J1045" s="23">
        <f>pr_dep*J1039</f>
        <v/>
      </c>
      <c r="K1045" s="23">
        <f>pr_dep*K1039</f>
        <v/>
      </c>
      <c r="L1045" s="23">
        <f>pr_dep*L1039</f>
        <v/>
      </c>
      <c r="M1045" s="23">
        <f>pr_dep*M1039</f>
        <v/>
      </c>
      <c r="N1045" s="23">
        <f>pr_dep*N1039</f>
        <v/>
      </c>
    </row>
    <row r="1046">
      <c r="B1046" s="2" t="inlineStr">
        <is>
          <t>Other taxes</t>
        </is>
      </c>
      <c r="C1046" s="5" t="inlineStr">
        <is>
          <t>$ million</t>
        </is>
      </c>
      <c r="E1046" s="23">
        <f>pr_ptax*E1039</f>
        <v/>
      </c>
      <c r="F1046" s="23">
        <f>pr_ptax*F1039</f>
        <v/>
      </c>
      <c r="G1046" s="23">
        <f>pr_ptax*G1039</f>
        <v/>
      </c>
      <c r="H1046" s="23">
        <f>pr_ptax*H1039</f>
        <v/>
      </c>
      <c r="I1046" s="23">
        <f>pr_ptax*I1039</f>
        <v/>
      </c>
      <c r="J1046" s="23">
        <f>pr_ptax*J1039</f>
        <v/>
      </c>
      <c r="K1046" s="23">
        <f>pr_ptax*K1039</f>
        <v/>
      </c>
      <c r="L1046" s="23">
        <f>pr_ptax*L1039</f>
        <v/>
      </c>
      <c r="M1046" s="23">
        <f>pr_ptax*M1039</f>
        <v/>
      </c>
      <c r="N1046" s="23">
        <f>pr_ptax*N1039</f>
        <v/>
      </c>
    </row>
    <row r="1047">
      <c r="B1047" s="2" t="inlineStr">
        <is>
          <t>O&amp;M (test year, known and measurable)</t>
        </is>
      </c>
      <c r="C1047" s="5" t="inlineStr">
        <is>
          <t>$ million</t>
        </is>
      </c>
      <c r="E1047" s="23">
        <f>E1041*(1+Inputs!$C$247)*(1+pr_growth)</f>
        <v/>
      </c>
      <c r="F1047" s="23">
        <f>F1041*(1+Inputs!$C$247)*(1+pr_growth)</f>
        <v/>
      </c>
      <c r="G1047" s="23">
        <f>G1041*(1+Inputs!$C$247)*(1+pr_growth)</f>
        <v/>
      </c>
      <c r="H1047" s="23">
        <f>H1041*(1+Inputs!$C$247)*(1+pr_growth)</f>
        <v/>
      </c>
      <c r="I1047" s="23">
        <f>I1041*(1+Inputs!$C$247)*(1+pr_growth)</f>
        <v/>
      </c>
      <c r="J1047" s="23">
        <f>J1041*(1+Inputs!$C$247)*(1+pr_growth)</f>
        <v/>
      </c>
      <c r="K1047" s="23">
        <f>K1041*(1+Inputs!$C$247)*(1+pr_growth)</f>
        <v/>
      </c>
      <c r="L1047" s="23">
        <f>L1041*(1+Inputs!$C$247)*(1+pr_growth)</f>
        <v/>
      </c>
      <c r="M1047" s="23">
        <f>M1041*(1+Inputs!$C$247)*(1+pr_growth)</f>
        <v/>
      </c>
      <c r="N1047" s="23">
        <f>N1041*(1+Inputs!$C$247)*(1+pr_growth)</f>
        <v/>
      </c>
    </row>
    <row r="1048">
      <c r="B1048" s="2" t="inlineStr">
        <is>
          <t>Revenue requirement (test-year connections)</t>
        </is>
      </c>
      <c r="C1048" s="5" t="inlineStr">
        <is>
          <t>$ million</t>
        </is>
      </c>
      <c r="E1048" s="23">
        <f>SUM(E1043:E1047)</f>
        <v/>
      </c>
      <c r="F1048" s="23">
        <f>SUM(F1043:F1047)</f>
        <v/>
      </c>
      <c r="G1048" s="23">
        <f>SUM(G1043:G1047)</f>
        <v/>
      </c>
      <c r="H1048" s="23">
        <f>SUM(H1043:H1047)</f>
        <v/>
      </c>
      <c r="I1048" s="23">
        <f>SUM(I1043:I1047)</f>
        <v/>
      </c>
      <c r="J1048" s="23">
        <f>SUM(J1043:J1047)</f>
        <v/>
      </c>
      <c r="K1048" s="23">
        <f>SUM(K1043:K1047)</f>
        <v/>
      </c>
      <c r="L1048" s="23">
        <f>SUM(L1043:L1047)</f>
        <v/>
      </c>
      <c r="M1048" s="23">
        <f>SUM(M1043:M1047)</f>
        <v/>
      </c>
      <c r="N1048" s="23">
        <f>SUM(N1043:N1047)</f>
        <v/>
      </c>
    </row>
    <row r="1049">
      <c r="B1049" s="2" t="inlineStr">
        <is>
          <t>Revenue requirement on effective-year connections</t>
        </is>
      </c>
      <c r="C1049" s="5" t="inlineStr">
        <is>
          <t>$ million</t>
        </is>
      </c>
      <c r="E1049" s="23">
        <f>E1048*(1+pr_growth)</f>
        <v/>
      </c>
      <c r="F1049" s="23">
        <f>F1048*(1+pr_growth)</f>
        <v/>
      </c>
      <c r="G1049" s="23">
        <f>G1048*(1+pr_growth)</f>
        <v/>
      </c>
      <c r="H1049" s="23">
        <f>H1048*(1+pr_growth)</f>
        <v/>
      </c>
      <c r="I1049" s="23">
        <f>I1048*(1+pr_growth)</f>
        <v/>
      </c>
      <c r="J1049" s="23">
        <f>J1048*(1+pr_growth)</f>
        <v/>
      </c>
      <c r="K1049" s="23">
        <f>K1048*(1+pr_growth)</f>
        <v/>
      </c>
      <c r="L1049" s="23">
        <f>L1048*(1+pr_growth)</f>
        <v/>
      </c>
      <c r="M1049" s="23">
        <f>M1048*(1+pr_growth)</f>
        <v/>
      </c>
      <c r="N1049" s="23">
        <f>N1048*(1+pr_growth)</f>
        <v/>
      </c>
    </row>
    <row r="1050">
      <c r="B1050" s="2" t="inlineStr">
        <is>
          <t>Revenue at existing rates</t>
        </is>
      </c>
      <c r="C1050" s="5" t="inlineStr">
        <is>
          <t>$ million</t>
        </is>
      </c>
      <c r="E1050" s="23">
        <f>IF(E1021=(pr_close+1),D1056,D1056*(1+pr_growth)*(1-pr_vol_share*IF(pr_decoupling=1,0,pr_usage))+D1057+D1059)</f>
        <v/>
      </c>
      <c r="F1050" s="23">
        <f>IF(F1021=(pr_close+1),E1056,E1056*(1+pr_growth)*(1-pr_vol_share*IF(pr_decoupling=1,0,pr_usage))+E1057+E1059)</f>
        <v/>
      </c>
      <c r="G1050" s="23">
        <f>IF(G1021=(pr_close+1),F1056,F1056*(1+pr_growth)*(1-pr_vol_share*IF(pr_decoupling=1,0,pr_usage))+F1057+F1059)</f>
        <v/>
      </c>
      <c r="H1050" s="23">
        <f>IF(H1021=(pr_close+1),G1056,G1056*(1+pr_growth)*(1-pr_vol_share*IF(pr_decoupling=1,0,pr_usage))+G1057+G1059)</f>
        <v/>
      </c>
      <c r="I1050" s="23">
        <f>IF(I1021=(pr_close+1),H1056,H1056*(1+pr_growth)*(1-pr_vol_share*IF(pr_decoupling=1,0,pr_usage))+H1057+H1059)</f>
        <v/>
      </c>
      <c r="J1050" s="23">
        <f>IF(J1021=(pr_close+1),I1056,I1056*(1+pr_growth)*(1-pr_vol_share*IF(pr_decoupling=1,0,pr_usage))+I1057+I1059)</f>
        <v/>
      </c>
      <c r="K1050" s="23">
        <f>IF(K1021=(pr_close+1),J1056,J1056*(1+pr_growth)*(1-pr_vol_share*IF(pr_decoupling=1,0,pr_usage))+J1057+J1059)</f>
        <v/>
      </c>
      <c r="L1050" s="23">
        <f>IF(L1021=(pr_close+1),K1056,K1056*(1+pr_growth)*(1-pr_vol_share*IF(pr_decoupling=1,0,pr_usage))+K1057+K1059)</f>
        <v/>
      </c>
      <c r="M1050" s="23">
        <f>IF(M1021=(pr_close+1),L1056,L1056*(1+pr_growth)*(1-pr_vol_share*IF(pr_decoupling=1,0,pr_usage))+L1057+L1059)</f>
        <v/>
      </c>
      <c r="N1050" s="23">
        <f>IF(N1021=(pr_close+1),M1056,M1056*(1+pr_growth)*(1-pr_vol_share*IF(pr_decoupling=1,0,pr_usage))+M1057+M1059)</f>
        <v/>
      </c>
    </row>
    <row r="1051">
      <c r="B1051" s="2" t="inlineStr">
        <is>
          <t>Increase granted</t>
        </is>
      </c>
      <c r="C1051" s="5" t="inlineStr">
        <is>
          <t>share</t>
        </is>
      </c>
      <c r="E1051" s="20">
        <f>E1049/E1050-1</f>
        <v/>
      </c>
      <c r="F1051" s="20">
        <f>F1049/F1050-1</f>
        <v/>
      </c>
      <c r="G1051" s="20">
        <f>G1049/G1050-1</f>
        <v/>
      </c>
      <c r="H1051" s="20">
        <f>H1049/H1050-1</f>
        <v/>
      </c>
      <c r="I1051" s="20">
        <f>I1049/I1050-1</f>
        <v/>
      </c>
      <c r="J1051" s="20">
        <f>J1049/J1050-1</f>
        <v/>
      </c>
      <c r="K1051" s="20">
        <f>K1049/K1050-1</f>
        <v/>
      </c>
      <c r="L1051" s="20">
        <f>L1049/L1050-1</f>
        <v/>
      </c>
      <c r="M1051" s="20">
        <f>M1049/M1050-1</f>
        <v/>
      </c>
      <c r="N1051" s="20">
        <f>N1049/N1050-1</f>
        <v/>
      </c>
    </row>
    <row r="1052">
      <c r="B1052" s="2" t="inlineStr">
        <is>
          <t>Revenue requirement requested (at the requested ROE)</t>
        </is>
      </c>
      <c r="C1052" s="5" t="inlineStr">
        <is>
          <t>$ million</t>
        </is>
      </c>
      <c r="E1052" s="23">
        <f>(pr_eq*pr_roe_ask+(1-pr_eq)*E1040)*E1039+pr_eq*pr_roe_ask*E1039*pr_tax/(1-pr_tax)+E1045+E1046+E1047</f>
        <v/>
      </c>
      <c r="F1052" s="23">
        <f>(pr_eq*pr_roe_ask+(1-pr_eq)*F1040)*F1039+pr_eq*pr_roe_ask*F1039*pr_tax/(1-pr_tax)+F1045+F1046+F1047</f>
        <v/>
      </c>
      <c r="G1052" s="23">
        <f>(pr_eq*pr_roe_ask+(1-pr_eq)*G1040)*G1039+pr_eq*pr_roe_ask*G1039*pr_tax/(1-pr_tax)+G1045+G1046+G1047</f>
        <v/>
      </c>
      <c r="H1052" s="23">
        <f>(pr_eq*pr_roe_ask+(1-pr_eq)*H1040)*H1039+pr_eq*pr_roe_ask*H1039*pr_tax/(1-pr_tax)+H1045+H1046+H1047</f>
        <v/>
      </c>
      <c r="I1052" s="23">
        <f>(pr_eq*pr_roe_ask+(1-pr_eq)*I1040)*I1039+pr_eq*pr_roe_ask*I1039*pr_tax/(1-pr_tax)+I1045+I1046+I1047</f>
        <v/>
      </c>
      <c r="J1052" s="23">
        <f>(pr_eq*pr_roe_ask+(1-pr_eq)*J1040)*J1039+pr_eq*pr_roe_ask*J1039*pr_tax/(1-pr_tax)+J1045+J1046+J1047</f>
        <v/>
      </c>
      <c r="K1052" s="23">
        <f>(pr_eq*pr_roe_ask+(1-pr_eq)*K1040)*K1039+pr_eq*pr_roe_ask*K1039*pr_tax/(1-pr_tax)+K1045+K1046+K1047</f>
        <v/>
      </c>
      <c r="L1052" s="23">
        <f>(pr_eq*pr_roe_ask+(1-pr_eq)*L1040)*L1039+pr_eq*pr_roe_ask*L1039*pr_tax/(1-pr_tax)+L1045+L1046+L1047</f>
        <v/>
      </c>
      <c r="M1052" s="23">
        <f>(pr_eq*pr_roe_ask+(1-pr_eq)*M1040)*M1039+pr_eq*pr_roe_ask*M1039*pr_tax/(1-pr_tax)+M1045+M1046+M1047</f>
        <v/>
      </c>
      <c r="N1052" s="23">
        <f>(pr_eq*pr_roe_ask+(1-pr_eq)*N1040)*N1039+pr_eq*pr_roe_ask*N1039*pr_tax/(1-pr_tax)+N1045+N1046+N1047</f>
        <v/>
      </c>
    </row>
    <row r="1053">
      <c r="B1053" s="2" t="inlineStr">
        <is>
          <t>Increase requested</t>
        </is>
      </c>
      <c r="C1053" s="5" t="inlineStr">
        <is>
          <t>share</t>
        </is>
      </c>
      <c r="E1053" s="20">
        <f>E1052*(1+pr_growth)/E1050-1</f>
        <v/>
      </c>
      <c r="F1053" s="20">
        <f>F1052*(1+pr_growth)/F1050-1</f>
        <v/>
      </c>
      <c r="G1053" s="20">
        <f>G1052*(1+pr_growth)/G1050-1</f>
        <v/>
      </c>
      <c r="H1053" s="20">
        <f>H1052*(1+pr_growth)/H1050-1</f>
        <v/>
      </c>
      <c r="I1053" s="20">
        <f>I1052*(1+pr_growth)/I1050-1</f>
        <v/>
      </c>
      <c r="J1053" s="20">
        <f>J1052*(1+pr_growth)/J1050-1</f>
        <v/>
      </c>
      <c r="K1053" s="20">
        <f>K1052*(1+pr_growth)/K1050-1</f>
        <v/>
      </c>
      <c r="L1053" s="20">
        <f>L1052*(1+pr_growth)/L1050-1</f>
        <v/>
      </c>
      <c r="M1053" s="20">
        <f>M1052*(1+pr_growth)/M1050-1</f>
        <v/>
      </c>
      <c r="N1053" s="20">
        <f>N1052*(1+pr_growth)/N1050-1</f>
        <v/>
      </c>
    </row>
    <row r="1055">
      <c r="B1055" s="6" t="inlineStr">
        <is>
          <t>Revenue ($ million)</t>
        </is>
      </c>
      <c r="C1055" s="7" t="n"/>
      <c r="D1055" s="7" t="n"/>
      <c r="E1055" s="7" t="n"/>
      <c r="F1055" s="7" t="n"/>
      <c r="G1055" s="7" t="n"/>
      <c r="H1055" s="7" t="n"/>
      <c r="I1055" s="7" t="n"/>
      <c r="J1055" s="7" t="n"/>
      <c r="K1055" s="7" t="n"/>
      <c r="L1055" s="7" t="n"/>
      <c r="M1055" s="7" t="n"/>
      <c r="N1055" s="7" t="n"/>
    </row>
    <row r="1056">
      <c r="B1056" s="2" t="inlineStr">
        <is>
          <t>Base revenue (rate case, or prior year x growth x volume erosion)</t>
        </is>
      </c>
      <c r="C1056" s="5" t="inlineStr">
        <is>
          <t>$ million</t>
        </is>
      </c>
      <c r="D1056" s="23">
        <f>pr_rev_2028/((1+pr_growth)*(1-pr_vol_share*IF(pr_decoupling=1,0,pr_usage)))</f>
        <v/>
      </c>
      <c r="E1056" s="23">
        <f>IF(E1036=1,E1049,D1056*(1+pr_growth)*(1-pr_vol_share*IF(pr_decoupling=1,0,pr_usage)))</f>
        <v/>
      </c>
      <c r="F1056" s="23">
        <f>IF(F1036=1,F1049,E1056*(1+pr_growth)*(1-pr_vol_share*IF(pr_decoupling=1,0,pr_usage)))</f>
        <v/>
      </c>
      <c r="G1056" s="23">
        <f>IF(G1036=1,G1049,F1056*(1+pr_growth)*(1-pr_vol_share*IF(pr_decoupling=1,0,pr_usage)))</f>
        <v/>
      </c>
      <c r="H1056" s="23">
        <f>IF(H1036=1,H1049,G1056*(1+pr_growth)*(1-pr_vol_share*IF(pr_decoupling=1,0,pr_usage)))</f>
        <v/>
      </c>
      <c r="I1056" s="23">
        <f>IF(I1036=1,I1049,H1056*(1+pr_growth)*(1-pr_vol_share*IF(pr_decoupling=1,0,pr_usage)))</f>
        <v/>
      </c>
      <c r="J1056" s="23">
        <f>IF(J1036=1,J1049,I1056*(1+pr_growth)*(1-pr_vol_share*IF(pr_decoupling=1,0,pr_usage)))</f>
        <v/>
      </c>
      <c r="K1056" s="23">
        <f>IF(K1036=1,K1049,J1056*(1+pr_growth)*(1-pr_vol_share*IF(pr_decoupling=1,0,pr_usage)))</f>
        <v/>
      </c>
      <c r="L1056" s="23">
        <f>IF(L1036=1,L1049,K1056*(1+pr_growth)*(1-pr_vol_share*IF(pr_decoupling=1,0,pr_usage)))</f>
        <v/>
      </c>
      <c r="M1056" s="23">
        <f>IF(M1036=1,M1049,L1056*(1+pr_growth)*(1-pr_vol_share*IF(pr_decoupling=1,0,pr_usage)))</f>
        <v/>
      </c>
      <c r="N1056" s="23">
        <f>IF(N1036=1,N1049,M1056*(1+pr_growth)*(1-pr_vol_share*IF(pr_decoupling=1,0,pr_usage)))</f>
        <v/>
      </c>
    </row>
    <row r="1057">
      <c r="B1057" s="2" t="inlineStr">
        <is>
          <t>Fennick revenue at its old rates (until the next rate case)</t>
        </is>
      </c>
      <c r="C1057" s="5" t="inlineStr">
        <is>
          <t>$ million</t>
        </is>
      </c>
      <c r="E1057" s="23">
        <f>IF(AND(pr_fen_on=1,E1021&gt;pr_fen_year,SUMIFS($D$1036:E$1036,$D$1021:E$1021,"&gt;"&amp;pr_fen_year)=0),pr_fen_rev,0)</f>
        <v/>
      </c>
      <c r="F1057" s="23">
        <f>IF(AND(pr_fen_on=1,F1021&gt;pr_fen_year,SUMIFS($D$1036:F$1036,$D$1021:F$1021,"&gt;"&amp;pr_fen_year)=0),pr_fen_rev,0)</f>
        <v/>
      </c>
      <c r="G1057" s="23">
        <f>IF(AND(pr_fen_on=1,G1021&gt;pr_fen_year,SUMIFS($D$1036:G$1036,$D$1021:G$1021,"&gt;"&amp;pr_fen_year)=0),pr_fen_rev,0)</f>
        <v/>
      </c>
      <c r="H1057" s="23">
        <f>IF(AND(pr_fen_on=1,H1021&gt;pr_fen_year,SUMIFS($D$1036:H$1036,$D$1021:H$1021,"&gt;"&amp;pr_fen_year)=0),pr_fen_rev,0)</f>
        <v/>
      </c>
      <c r="I1057" s="23">
        <f>IF(AND(pr_fen_on=1,I1021&gt;pr_fen_year,SUMIFS($D$1036:I$1036,$D$1021:I$1021,"&gt;"&amp;pr_fen_year)=0),pr_fen_rev,0)</f>
        <v/>
      </c>
      <c r="J1057" s="23">
        <f>IF(AND(pr_fen_on=1,J1021&gt;pr_fen_year,SUMIFS($D$1036:J$1036,$D$1021:J$1021,"&gt;"&amp;pr_fen_year)=0),pr_fen_rev,0)</f>
        <v/>
      </c>
      <c r="K1057" s="23">
        <f>IF(AND(pr_fen_on=1,K1021&gt;pr_fen_year,SUMIFS($D$1036:K$1036,$D$1021:K$1021,"&gt;"&amp;pr_fen_year)=0),pr_fen_rev,0)</f>
        <v/>
      </c>
      <c r="L1057" s="23">
        <f>IF(AND(pr_fen_on=1,L1021&gt;pr_fen_year,SUMIFS($D$1036:L$1036,$D$1021:L$1021,"&gt;"&amp;pr_fen_year)=0),pr_fen_rev,0)</f>
        <v/>
      </c>
      <c r="M1057" s="23">
        <f>IF(AND(pr_fen_on=1,M1021&gt;pr_fen_year,SUMIFS($D$1036:M$1036,$D$1021:M$1021,"&gt;"&amp;pr_fen_year)=0),pr_fen_rev,0)</f>
        <v/>
      </c>
      <c r="N1057" s="23">
        <f>IF(AND(pr_fen_on=1,N1021&gt;pr_fen_year,SUMIFS($D$1036:N$1036,$D$1021:N$1021,"&gt;"&amp;pr_fen_year)=0),pr_fen_rev,0)</f>
        <v/>
      </c>
    </row>
    <row r="1058">
      <c r="B1058" s="2" t="inlineStr">
        <is>
          <t>DSIC pool: eligible plant since the latest test year</t>
        </is>
      </c>
      <c r="C1058" s="5" t="inlineStr">
        <is>
          <t>$ million</t>
        </is>
      </c>
      <c r="E1058" s="23">
        <f>IF(E1021=(pr_close+1),0,SUMIFS($D$1033:D$1033,$D$1021:D$1021,"&gt;"&amp;E1038))</f>
        <v/>
      </c>
      <c r="F1058" s="23">
        <f>IF(F1021=(pr_close+1),0,SUMIFS($D$1033:E$1033,$D$1021:E$1021,"&gt;"&amp;F1038))</f>
        <v/>
      </c>
      <c r="G1058" s="23">
        <f>IF(G1021=(pr_close+1),0,SUMIFS($D$1033:F$1033,$D$1021:F$1021,"&gt;"&amp;G1038))</f>
        <v/>
      </c>
      <c r="H1058" s="23">
        <f>IF(H1021=(pr_close+1),0,SUMIFS($D$1033:G$1033,$D$1021:G$1021,"&gt;"&amp;H1038))</f>
        <v/>
      </c>
      <c r="I1058" s="23">
        <f>IF(I1021=(pr_close+1),0,SUMIFS($D$1033:H$1033,$D$1021:H$1021,"&gt;"&amp;I1038))</f>
        <v/>
      </c>
      <c r="J1058" s="23">
        <f>IF(J1021=(pr_close+1),0,SUMIFS($D$1033:I$1033,$D$1021:I$1021,"&gt;"&amp;J1038))</f>
        <v/>
      </c>
      <c r="K1058" s="23">
        <f>IF(K1021=(pr_close+1),0,SUMIFS($D$1033:J$1033,$D$1021:J$1021,"&gt;"&amp;K1038))</f>
        <v/>
      </c>
      <c r="L1058" s="23">
        <f>IF(L1021=(pr_close+1),0,SUMIFS($D$1033:K$1033,$D$1021:K$1021,"&gt;"&amp;L1038))</f>
        <v/>
      </c>
      <c r="M1058" s="23">
        <f>IF(M1021=(pr_close+1),0,SUMIFS($D$1033:L$1033,$D$1021:L$1021,"&gt;"&amp;M1038))</f>
        <v/>
      </c>
      <c r="N1058" s="23">
        <f>IF(N1021=(pr_close+1),0,SUMIFS($D$1033:M$1033,$D$1021:M$1021,"&gt;"&amp;N1038))</f>
        <v/>
      </c>
    </row>
    <row r="1059">
      <c r="B1059" s="2" t="inlineStr">
        <is>
          <t>DSIC surcharge (capped)</t>
        </is>
      </c>
      <c r="C1059" s="5" t="inlineStr">
        <is>
          <t>$ million</t>
        </is>
      </c>
      <c r="E1059" s="23">
        <f>IF(AND(pr_dsic=1,E1021&gt;(pr_close+1)),MIN(pr_dsic_cap*E1056,E1058*((pr_eq*Inputs!$C$244+(1-pr_eq)*D1082)+(pr_eq*Inputs!$C$244*pr_tax/(1-pr_tax))+pr_dep)),0)</f>
        <v/>
      </c>
      <c r="F1059" s="23">
        <f>IF(AND(pr_dsic=1,F1021&gt;(pr_close+1)),MIN(pr_dsic_cap*F1056,F1058*((pr_eq*Inputs!$C$244+(1-pr_eq)*E1082)+(pr_eq*Inputs!$C$244*pr_tax/(1-pr_tax))+pr_dep)),0)</f>
        <v/>
      </c>
      <c r="G1059" s="23">
        <f>IF(AND(pr_dsic=1,G1021&gt;(pr_close+1)),MIN(pr_dsic_cap*G1056,G1058*((pr_eq*Inputs!$C$244+(1-pr_eq)*F1082)+(pr_eq*Inputs!$C$244*pr_tax/(1-pr_tax))+pr_dep)),0)</f>
        <v/>
      </c>
      <c r="H1059" s="23">
        <f>IF(AND(pr_dsic=1,H1021&gt;(pr_close+1)),MIN(pr_dsic_cap*H1056,H1058*((pr_eq*Inputs!$C$244+(1-pr_eq)*G1082)+(pr_eq*Inputs!$C$244*pr_tax/(1-pr_tax))+pr_dep)),0)</f>
        <v/>
      </c>
      <c r="I1059" s="23">
        <f>IF(AND(pr_dsic=1,I1021&gt;(pr_close+1)),MIN(pr_dsic_cap*I1056,I1058*((pr_eq*Inputs!$C$244+(1-pr_eq)*H1082)+(pr_eq*Inputs!$C$244*pr_tax/(1-pr_tax))+pr_dep)),0)</f>
        <v/>
      </c>
      <c r="J1059" s="23">
        <f>IF(AND(pr_dsic=1,J1021&gt;(pr_close+1)),MIN(pr_dsic_cap*J1056,J1058*((pr_eq*Inputs!$C$244+(1-pr_eq)*I1082)+(pr_eq*Inputs!$C$244*pr_tax/(1-pr_tax))+pr_dep)),0)</f>
        <v/>
      </c>
      <c r="K1059" s="23">
        <f>IF(AND(pr_dsic=1,K1021&gt;(pr_close+1)),MIN(pr_dsic_cap*K1056,K1058*((pr_eq*Inputs!$C$244+(1-pr_eq)*J1082)+(pr_eq*Inputs!$C$244*pr_tax/(1-pr_tax))+pr_dep)),0)</f>
        <v/>
      </c>
      <c r="L1059" s="23">
        <f>IF(AND(pr_dsic=1,L1021&gt;(pr_close+1)),MIN(pr_dsic_cap*L1056,L1058*((pr_eq*Inputs!$C$244+(1-pr_eq)*K1082)+(pr_eq*Inputs!$C$244*pr_tax/(1-pr_tax))+pr_dep)),0)</f>
        <v/>
      </c>
      <c r="M1059" s="23">
        <f>IF(AND(pr_dsic=1,M1021&gt;(pr_close+1)),MIN(pr_dsic_cap*M1056,M1058*((pr_eq*Inputs!$C$244+(1-pr_eq)*L1082)+(pr_eq*Inputs!$C$244*pr_tax/(1-pr_tax))+pr_dep)),0)</f>
        <v/>
      </c>
      <c r="N1059" s="23">
        <f>IF(AND(pr_dsic=1,N1021&gt;(pr_close+1)),MIN(pr_dsic_cap*N1056,N1058*((pr_eq*Inputs!$C$244+(1-pr_eq)*M1082)+(pr_eq*Inputs!$C$244*pr_tax/(1-pr_tax))+pr_dep)),0)</f>
        <v/>
      </c>
    </row>
    <row r="1060">
      <c r="B1060" s="3" t="inlineStr">
        <is>
          <t>Revenue</t>
        </is>
      </c>
      <c r="C1060" s="5" t="inlineStr">
        <is>
          <t>$ million</t>
        </is>
      </c>
      <c r="E1060" s="23">
        <f>E1056+E1057+E1059</f>
        <v/>
      </c>
      <c r="F1060" s="23">
        <f>F1056+F1057+F1059</f>
        <v/>
      </c>
      <c r="G1060" s="23">
        <f>G1056+G1057+G1059</f>
        <v/>
      </c>
      <c r="H1060" s="23">
        <f>H1056+H1057+H1059</f>
        <v/>
      </c>
      <c r="I1060" s="23">
        <f>I1056+I1057+I1059</f>
        <v/>
      </c>
      <c r="J1060" s="23">
        <f>J1056+J1057+J1059</f>
        <v/>
      </c>
      <c r="K1060" s="23">
        <f>K1056+K1057+K1059</f>
        <v/>
      </c>
      <c r="L1060" s="23">
        <f>L1056+L1057+L1059</f>
        <v/>
      </c>
      <c r="M1060" s="23">
        <f>M1056+M1057+M1059</f>
        <v/>
      </c>
      <c r="N1060" s="23">
        <f>N1056+N1057+N1059</f>
        <v/>
      </c>
    </row>
    <row r="1062">
      <c r="B1062" s="6" t="inlineStr">
        <is>
          <t>Costs and income ($ million)</t>
        </is>
      </c>
      <c r="C1062" s="7" t="n"/>
      <c r="D1062" s="7" t="n"/>
      <c r="E1062" s="7" t="n"/>
      <c r="F1062" s="7" t="n"/>
      <c r="G1062" s="7" t="n"/>
      <c r="H1062" s="7" t="n"/>
      <c r="I1062" s="7" t="n"/>
      <c r="J1062" s="7" t="n"/>
      <c r="K1062" s="7" t="n"/>
      <c r="L1062" s="7" t="n"/>
      <c r="M1062" s="7" t="n"/>
      <c r="N1062" s="7" t="n"/>
    </row>
    <row r="1063">
      <c r="B1063" s="2" t="inlineStr">
        <is>
          <t>Operation and maintenance (with PFAS and Fennick)</t>
        </is>
      </c>
      <c r="C1063" s="5" t="inlineStr">
        <is>
          <t>$ million</t>
        </is>
      </c>
      <c r="D1063" s="23">
        <f>pr_om_2028/((1+Inputs!$C$247)*(1+pr_growth))</f>
        <v/>
      </c>
      <c r="E1063" s="23">
        <f>pr_om_2028*((1+Inputs!$C$247)*(1+pr_growth))^E1022+IF(E1021&gt;=pr_pfas_om_y+pr_pfas_delay,Inputs!$C$248*(1+pr_pfas_om_esc)^(E1021-pr_pfas_om_y),0)+IF(AND(pr_fen_on=1,E1021&gt;pr_fen_year),pr_fen_om*(1+pr_fen_esc)^(E1021-pr_fen_year-1),0)</f>
        <v/>
      </c>
      <c r="F1063" s="23">
        <f>pr_om_2028*((1+Inputs!$C$247)*(1+pr_growth))^F1022+IF(F1021&gt;=pr_pfas_om_y+pr_pfas_delay,Inputs!$C$248*(1+pr_pfas_om_esc)^(F1021-pr_pfas_om_y),0)+IF(AND(pr_fen_on=1,F1021&gt;pr_fen_year),pr_fen_om*(1+pr_fen_esc)^(F1021-pr_fen_year-1),0)</f>
        <v/>
      </c>
      <c r="G1063" s="23">
        <f>pr_om_2028*((1+Inputs!$C$247)*(1+pr_growth))^G1022+IF(G1021&gt;=pr_pfas_om_y+pr_pfas_delay,Inputs!$C$248*(1+pr_pfas_om_esc)^(G1021-pr_pfas_om_y),0)+IF(AND(pr_fen_on=1,G1021&gt;pr_fen_year),pr_fen_om*(1+pr_fen_esc)^(G1021-pr_fen_year-1),0)</f>
        <v/>
      </c>
      <c r="H1063" s="23">
        <f>pr_om_2028*((1+Inputs!$C$247)*(1+pr_growth))^H1022+IF(H1021&gt;=pr_pfas_om_y+pr_pfas_delay,Inputs!$C$248*(1+pr_pfas_om_esc)^(H1021-pr_pfas_om_y),0)+IF(AND(pr_fen_on=1,H1021&gt;pr_fen_year),pr_fen_om*(1+pr_fen_esc)^(H1021-pr_fen_year-1),0)</f>
        <v/>
      </c>
      <c r="I1063" s="23">
        <f>pr_om_2028*((1+Inputs!$C$247)*(1+pr_growth))^I1022+IF(I1021&gt;=pr_pfas_om_y+pr_pfas_delay,Inputs!$C$248*(1+pr_pfas_om_esc)^(I1021-pr_pfas_om_y),0)+IF(AND(pr_fen_on=1,I1021&gt;pr_fen_year),pr_fen_om*(1+pr_fen_esc)^(I1021-pr_fen_year-1),0)</f>
        <v/>
      </c>
      <c r="J1063" s="23">
        <f>pr_om_2028*((1+Inputs!$C$247)*(1+pr_growth))^J1022+IF(J1021&gt;=pr_pfas_om_y+pr_pfas_delay,Inputs!$C$248*(1+pr_pfas_om_esc)^(J1021-pr_pfas_om_y),0)+IF(AND(pr_fen_on=1,J1021&gt;pr_fen_year),pr_fen_om*(1+pr_fen_esc)^(J1021-pr_fen_year-1),0)</f>
        <v/>
      </c>
      <c r="K1063" s="23">
        <f>pr_om_2028*((1+Inputs!$C$247)*(1+pr_growth))^K1022+IF(K1021&gt;=pr_pfas_om_y+pr_pfas_delay,Inputs!$C$248*(1+pr_pfas_om_esc)^(K1021-pr_pfas_om_y),0)+IF(AND(pr_fen_on=1,K1021&gt;pr_fen_year),pr_fen_om*(1+pr_fen_esc)^(K1021-pr_fen_year-1),0)</f>
        <v/>
      </c>
      <c r="L1063" s="23">
        <f>pr_om_2028*((1+Inputs!$C$247)*(1+pr_growth))^L1022+IF(L1021&gt;=pr_pfas_om_y+pr_pfas_delay,Inputs!$C$248*(1+pr_pfas_om_esc)^(L1021-pr_pfas_om_y),0)+IF(AND(pr_fen_on=1,L1021&gt;pr_fen_year),pr_fen_om*(1+pr_fen_esc)^(L1021-pr_fen_year-1),0)</f>
        <v/>
      </c>
      <c r="M1063" s="23">
        <f>pr_om_2028*((1+Inputs!$C$247)*(1+pr_growth))^M1022+IF(M1021&gt;=pr_pfas_om_y+pr_pfas_delay,Inputs!$C$248*(1+pr_pfas_om_esc)^(M1021-pr_pfas_om_y),0)+IF(AND(pr_fen_on=1,M1021&gt;pr_fen_year),pr_fen_om*(1+pr_fen_esc)^(M1021-pr_fen_year-1),0)</f>
        <v/>
      </c>
      <c r="N1063" s="23">
        <f>pr_om_2028*((1+Inputs!$C$247)*(1+pr_growth))^N1022+IF(N1021&gt;=pr_pfas_om_y+pr_pfas_delay,Inputs!$C$248*(1+pr_pfas_om_esc)^(N1021-pr_pfas_om_y),0)+IF(AND(pr_fen_on=1,N1021&gt;pr_fen_year),pr_fen_om*(1+pr_fen_esc)^(N1021-pr_fen_year-1),0)</f>
        <v/>
      </c>
    </row>
    <row r="1064">
      <c r="B1064" s="2" t="inlineStr">
        <is>
          <t>Customer-side lead cost expensed</t>
        </is>
      </c>
      <c r="C1064" s="5" t="inlineStr">
        <is>
          <t>$ million</t>
        </is>
      </c>
      <c r="E1064" s="23">
        <f>pr_lead_exp*E1030*pr_lead_cust</f>
        <v/>
      </c>
      <c r="F1064" s="23">
        <f>pr_lead_exp*F1030*pr_lead_cust</f>
        <v/>
      </c>
      <c r="G1064" s="23">
        <f>pr_lead_exp*G1030*pr_lead_cust</f>
        <v/>
      </c>
      <c r="H1064" s="23">
        <f>pr_lead_exp*H1030*pr_lead_cust</f>
        <v/>
      </c>
      <c r="I1064" s="23">
        <f>pr_lead_exp*I1030*pr_lead_cust</f>
        <v/>
      </c>
      <c r="J1064" s="23">
        <f>pr_lead_exp*J1030*pr_lead_cust</f>
        <v/>
      </c>
      <c r="K1064" s="23">
        <f>pr_lead_exp*K1030*pr_lead_cust</f>
        <v/>
      </c>
      <c r="L1064" s="23">
        <f>pr_lead_exp*L1030*pr_lead_cust</f>
        <v/>
      </c>
      <c r="M1064" s="23">
        <f>pr_lead_exp*M1030*pr_lead_cust</f>
        <v/>
      </c>
      <c r="N1064" s="23">
        <f>pr_lead_exp*N1030*pr_lead_cust</f>
        <v/>
      </c>
    </row>
    <row r="1065">
      <c r="B1065" s="2" t="inlineStr">
        <is>
          <t>Other taxes</t>
        </is>
      </c>
      <c r="C1065" s="5" t="inlineStr">
        <is>
          <t>$ million</t>
        </is>
      </c>
      <c r="E1065" s="23">
        <f>pr_ptax*E1074</f>
        <v/>
      </c>
      <c r="F1065" s="23">
        <f>pr_ptax*F1074</f>
        <v/>
      </c>
      <c r="G1065" s="23">
        <f>pr_ptax*G1074</f>
        <v/>
      </c>
      <c r="H1065" s="23">
        <f>pr_ptax*H1074</f>
        <v/>
      </c>
      <c r="I1065" s="23">
        <f>pr_ptax*I1074</f>
        <v/>
      </c>
      <c r="J1065" s="23">
        <f>pr_ptax*J1074</f>
        <v/>
      </c>
      <c r="K1065" s="23">
        <f>pr_ptax*K1074</f>
        <v/>
      </c>
      <c r="L1065" s="23">
        <f>pr_ptax*L1074</f>
        <v/>
      </c>
      <c r="M1065" s="23">
        <f>pr_ptax*M1074</f>
        <v/>
      </c>
      <c r="N1065" s="23">
        <f>pr_ptax*N1074</f>
        <v/>
      </c>
    </row>
    <row r="1066">
      <c r="B1066" s="2" t="inlineStr">
        <is>
          <t>EBITDA</t>
        </is>
      </c>
      <c r="C1066" s="5" t="inlineStr">
        <is>
          <t>$ million</t>
        </is>
      </c>
      <c r="E1066" s="23">
        <f>E1060-E1063-E1065-E1064</f>
        <v/>
      </c>
      <c r="F1066" s="23">
        <f>F1060-F1063-F1065-F1064</f>
        <v/>
      </c>
      <c r="G1066" s="23">
        <f>G1060-G1063-G1065-G1064</f>
        <v/>
      </c>
      <c r="H1066" s="23">
        <f>H1060-H1063-H1065-H1064</f>
        <v/>
      </c>
      <c r="I1066" s="23">
        <f>I1060-I1063-I1065-I1064</f>
        <v/>
      </c>
      <c r="J1066" s="23">
        <f>J1060-J1063-J1065-J1064</f>
        <v/>
      </c>
      <c r="K1066" s="23">
        <f>K1060-K1063-K1065-K1064</f>
        <v/>
      </c>
      <c r="L1066" s="23">
        <f>L1060-L1063-L1065-L1064</f>
        <v/>
      </c>
      <c r="M1066" s="23">
        <f>M1060-M1063-M1065-M1064</f>
        <v/>
      </c>
      <c r="N1066" s="23">
        <f>N1060-N1063-N1065-N1064</f>
        <v/>
      </c>
    </row>
    <row r="1067">
      <c r="B1067" s="2" t="inlineStr">
        <is>
          <t>Depreciation</t>
        </is>
      </c>
      <c r="C1067" s="5" t="inlineStr">
        <is>
          <t>$ million</t>
        </is>
      </c>
      <c r="E1067" s="23">
        <f>pr_dep*E1074</f>
        <v/>
      </c>
      <c r="F1067" s="23">
        <f>pr_dep*F1074</f>
        <v/>
      </c>
      <c r="G1067" s="23">
        <f>pr_dep*G1074</f>
        <v/>
      </c>
      <c r="H1067" s="23">
        <f>pr_dep*H1074</f>
        <v/>
      </c>
      <c r="I1067" s="23">
        <f>pr_dep*I1074</f>
        <v/>
      </c>
      <c r="J1067" s="23">
        <f>pr_dep*J1074</f>
        <v/>
      </c>
      <c r="K1067" s="23">
        <f>pr_dep*K1074</f>
        <v/>
      </c>
      <c r="L1067" s="23">
        <f>pr_dep*L1074</f>
        <v/>
      </c>
      <c r="M1067" s="23">
        <f>pr_dep*M1074</f>
        <v/>
      </c>
      <c r="N1067" s="23">
        <f>pr_dep*N1074</f>
        <v/>
      </c>
    </row>
    <row r="1068">
      <c r="B1068" s="2" t="inlineStr">
        <is>
          <t>Interest (average of opening and closing debt)</t>
        </is>
      </c>
      <c r="C1068" s="5" t="inlineStr">
        <is>
          <t>$ million</t>
        </is>
      </c>
      <c r="E1068" s="23">
        <f>0.5*(D1080*D1082+E1080*E1082)</f>
        <v/>
      </c>
      <c r="F1068" s="23">
        <f>0.5*(E1080*E1082+F1080*F1082)</f>
        <v/>
      </c>
      <c r="G1068" s="23">
        <f>0.5*(F1080*F1082+G1080*G1082)</f>
        <v/>
      </c>
      <c r="H1068" s="23">
        <f>0.5*(G1080*G1082+H1080*H1082)</f>
        <v/>
      </c>
      <c r="I1068" s="23">
        <f>0.5*(H1080*H1082+I1080*I1082)</f>
        <v/>
      </c>
      <c r="J1068" s="23">
        <f>0.5*(I1080*I1082+J1080*J1082)</f>
        <v/>
      </c>
      <c r="K1068" s="23">
        <f>0.5*(J1080*J1082+K1080*K1082)</f>
        <v/>
      </c>
      <c r="L1068" s="23">
        <f>0.5*(K1080*K1082+L1080*L1082)</f>
        <v/>
      </c>
      <c r="M1068" s="23">
        <f>0.5*(L1080*L1082+M1080*M1082)</f>
        <v/>
      </c>
      <c r="N1068" s="23">
        <f>0.5*(M1080*M1082+N1080*N1082)</f>
        <v/>
      </c>
    </row>
    <row r="1069">
      <c r="B1069" s="2" t="inlineStr">
        <is>
          <t>Income before tax</t>
        </is>
      </c>
      <c r="C1069" s="5" t="inlineStr">
        <is>
          <t>$ million</t>
        </is>
      </c>
      <c r="E1069" s="23">
        <f>E1066-E1067-E1068</f>
        <v/>
      </c>
      <c r="F1069" s="23">
        <f>F1066-F1067-F1068</f>
        <v/>
      </c>
      <c r="G1069" s="23">
        <f>G1066-G1067-G1068</f>
        <v/>
      </c>
      <c r="H1069" s="23">
        <f>H1066-H1067-H1068</f>
        <v/>
      </c>
      <c r="I1069" s="23">
        <f>I1066-I1067-I1068</f>
        <v/>
      </c>
      <c r="J1069" s="23">
        <f>J1066-J1067-J1068</f>
        <v/>
      </c>
      <c r="K1069" s="23">
        <f>K1066-K1067-K1068</f>
        <v/>
      </c>
      <c r="L1069" s="23">
        <f>L1066-L1067-L1068</f>
        <v/>
      </c>
      <c r="M1069" s="23">
        <f>M1066-M1067-M1068</f>
        <v/>
      </c>
      <c r="N1069" s="23">
        <f>N1066-N1067-N1068</f>
        <v/>
      </c>
    </row>
    <row r="1070">
      <c r="B1070" s="2" t="inlineStr">
        <is>
          <t>Income tax</t>
        </is>
      </c>
      <c r="C1070" s="5" t="inlineStr">
        <is>
          <t>$ million</t>
        </is>
      </c>
      <c r="E1070" s="23">
        <f>pr_tax*E1069</f>
        <v/>
      </c>
      <c r="F1070" s="23">
        <f>pr_tax*F1069</f>
        <v/>
      </c>
      <c r="G1070" s="23">
        <f>pr_tax*G1069</f>
        <v/>
      </c>
      <c r="H1070" s="23">
        <f>pr_tax*H1069</f>
        <v/>
      </c>
      <c r="I1070" s="23">
        <f>pr_tax*I1069</f>
        <v/>
      </c>
      <c r="J1070" s="23">
        <f>pr_tax*J1069</f>
        <v/>
      </c>
      <c r="K1070" s="23">
        <f>pr_tax*K1069</f>
        <v/>
      </c>
      <c r="L1070" s="23">
        <f>pr_tax*L1069</f>
        <v/>
      </c>
      <c r="M1070" s="23">
        <f>pr_tax*M1069</f>
        <v/>
      </c>
      <c r="N1070" s="23">
        <f>pr_tax*N1069</f>
        <v/>
      </c>
    </row>
    <row r="1071">
      <c r="B1071" s="3" t="inlineStr">
        <is>
          <t>Net income</t>
        </is>
      </c>
      <c r="C1071" s="5" t="inlineStr">
        <is>
          <t>$ million</t>
        </is>
      </c>
      <c r="E1071" s="23">
        <f>E1069-E1070</f>
        <v/>
      </c>
      <c r="F1071" s="23">
        <f>F1069-F1070</f>
        <v/>
      </c>
      <c r="G1071" s="23">
        <f>G1069-G1070</f>
        <v/>
      </c>
      <c r="H1071" s="23">
        <f>H1069-H1070</f>
        <v/>
      </c>
      <c r="I1071" s="23">
        <f>I1069-I1070</f>
        <v/>
      </c>
      <c r="J1071" s="23">
        <f>J1069-J1070</f>
        <v/>
      </c>
      <c r="K1071" s="23">
        <f>K1069-K1070</f>
        <v/>
      </c>
      <c r="L1071" s="23">
        <f>L1069-L1070</f>
        <v/>
      </c>
      <c r="M1071" s="23">
        <f>M1069-M1070</f>
        <v/>
      </c>
      <c r="N1071" s="23">
        <f>N1069-N1070</f>
        <v/>
      </c>
    </row>
    <row r="1073">
      <c r="B1073" s="6" t="inlineStr">
        <is>
          <t>Rate base and debt ($ million)</t>
        </is>
      </c>
      <c r="C1073" s="7" t="n"/>
      <c r="D1073" s="7" t="n"/>
      <c r="E1073" s="7" t="n"/>
      <c r="F1073" s="7" t="n"/>
      <c r="G1073" s="7" t="n"/>
      <c r="H1073" s="7" t="n"/>
      <c r="I1073" s="7" t="n"/>
      <c r="J1073" s="7" t="n"/>
      <c r="K1073" s="7" t="n"/>
      <c r="L1073" s="7" t="n"/>
      <c r="M1073" s="7" t="n"/>
      <c r="N1073" s="7" t="n"/>
    </row>
    <row r="1074">
      <c r="B1074" s="2" t="inlineStr">
        <is>
          <t>Opening rate base</t>
        </is>
      </c>
      <c r="C1074" s="5" t="inlineStr">
        <is>
          <t>$ million</t>
        </is>
      </c>
      <c r="E1074" s="23">
        <f>D1078</f>
        <v/>
      </c>
      <c r="F1074" s="23">
        <f>E1078</f>
        <v/>
      </c>
      <c r="G1074" s="23">
        <f>F1078</f>
        <v/>
      </c>
      <c r="H1074" s="23">
        <f>G1078</f>
        <v/>
      </c>
      <c r="I1074" s="23">
        <f>H1078</f>
        <v/>
      </c>
      <c r="J1074" s="23">
        <f>I1078</f>
        <v/>
      </c>
      <c r="K1074" s="23">
        <f>J1078</f>
        <v/>
      </c>
      <c r="L1074" s="23">
        <f>K1078</f>
        <v/>
      </c>
      <c r="M1074" s="23">
        <f>L1078</f>
        <v/>
      </c>
      <c r="N1074" s="23">
        <f>M1078</f>
        <v/>
      </c>
    </row>
    <row r="1075">
      <c r="B1075" s="2" t="inlineStr">
        <is>
          <t>Spending disallowed (never in rate base)</t>
        </is>
      </c>
      <c r="C1075" s="5" t="inlineStr">
        <is>
          <t>$ million</t>
        </is>
      </c>
      <c r="E1075" s="23">
        <f>pr_disallow*(E1029+E1030-E1064)</f>
        <v/>
      </c>
      <c r="F1075" s="23">
        <f>pr_disallow*(F1029+F1030-F1064)</f>
        <v/>
      </c>
      <c r="G1075" s="23">
        <f>pr_disallow*(G1029+G1030-G1064)</f>
        <v/>
      </c>
      <c r="H1075" s="23">
        <f>pr_disallow*(H1029+H1030-H1064)</f>
        <v/>
      </c>
      <c r="I1075" s="23">
        <f>pr_disallow*(I1029+I1030-I1064)</f>
        <v/>
      </c>
      <c r="J1075" s="23">
        <f>pr_disallow*(J1029+J1030-J1064)</f>
        <v/>
      </c>
      <c r="K1075" s="23">
        <f>pr_disallow*(K1029+K1030-K1064)</f>
        <v/>
      </c>
      <c r="L1075" s="23">
        <f>pr_disallow*(L1029+L1030-L1064)</f>
        <v/>
      </c>
      <c r="M1075" s="23">
        <f>pr_disallow*(M1029+M1030-M1064)</f>
        <v/>
      </c>
      <c r="N1075" s="23">
        <f>pr_disallow*(N1029+N1030-N1064)</f>
        <v/>
      </c>
    </row>
    <row r="1076">
      <c r="B1076" s="2" t="inlineStr">
        <is>
          <t>Acquisitions (Fennick at its price)</t>
        </is>
      </c>
      <c r="C1076" s="5" t="inlineStr">
        <is>
          <t>$ million</t>
        </is>
      </c>
      <c r="E1076" s="23">
        <f>IF(AND(pr_fen_on=1,E1021=pr_fen_year),pr_fen_price,0)</f>
        <v/>
      </c>
      <c r="F1076" s="23">
        <f>IF(AND(pr_fen_on=1,F1021=pr_fen_year),pr_fen_price,0)</f>
        <v/>
      </c>
      <c r="G1076" s="23">
        <f>IF(AND(pr_fen_on=1,G1021=pr_fen_year),pr_fen_price,0)</f>
        <v/>
      </c>
      <c r="H1076" s="23">
        <f>IF(AND(pr_fen_on=1,H1021=pr_fen_year),pr_fen_price,0)</f>
        <v/>
      </c>
      <c r="I1076" s="23">
        <f>IF(AND(pr_fen_on=1,I1021=pr_fen_year),pr_fen_price,0)</f>
        <v/>
      </c>
      <c r="J1076" s="23">
        <f>IF(AND(pr_fen_on=1,J1021=pr_fen_year),pr_fen_price,0)</f>
        <v/>
      </c>
      <c r="K1076" s="23">
        <f>IF(AND(pr_fen_on=1,K1021=pr_fen_year),pr_fen_price,0)</f>
        <v/>
      </c>
      <c r="L1076" s="23">
        <f>IF(AND(pr_fen_on=1,L1021=pr_fen_year),pr_fen_price,0)</f>
        <v/>
      </c>
      <c r="M1076" s="23">
        <f>IF(AND(pr_fen_on=1,M1021=pr_fen_year),pr_fen_price,0)</f>
        <v/>
      </c>
      <c r="N1076" s="23">
        <f>IF(AND(pr_fen_on=1,N1021=pr_fen_year),pr_fen_price,0)</f>
        <v/>
      </c>
    </row>
    <row r="1077">
      <c r="B1077" s="2" t="inlineStr">
        <is>
          <t>Settlement credited against rate base</t>
        </is>
      </c>
      <c r="C1077" s="5" t="inlineStr">
        <is>
          <t>$ million</t>
        </is>
      </c>
      <c r="E1077" s="23">
        <f>IF(E1021=pr_settle_y,pr_settle,0)</f>
        <v/>
      </c>
      <c r="F1077" s="23">
        <f>IF(F1021=pr_settle_y,pr_settle,0)</f>
        <v/>
      </c>
      <c r="G1077" s="23">
        <f>IF(G1021=pr_settle_y,pr_settle,0)</f>
        <v/>
      </c>
      <c r="H1077" s="23">
        <f>IF(H1021=pr_settle_y,pr_settle,0)</f>
        <v/>
      </c>
      <c r="I1077" s="23">
        <f>IF(I1021=pr_settle_y,pr_settle,0)</f>
        <v/>
      </c>
      <c r="J1077" s="23">
        <f>IF(J1021=pr_settle_y,pr_settle,0)</f>
        <v/>
      </c>
      <c r="K1077" s="23">
        <f>IF(K1021=pr_settle_y,pr_settle,0)</f>
        <v/>
      </c>
      <c r="L1077" s="23">
        <f>IF(L1021=pr_settle_y,pr_settle,0)</f>
        <v/>
      </c>
      <c r="M1077" s="23">
        <f>IF(M1021=pr_settle_y,pr_settle,0)</f>
        <v/>
      </c>
      <c r="N1077" s="23">
        <f>IF(N1021=pr_settle_y,pr_settle,0)</f>
        <v/>
      </c>
    </row>
    <row r="1078">
      <c r="B1078" s="3" t="inlineStr">
        <is>
          <t>Closing rate base</t>
        </is>
      </c>
      <c r="C1078" s="5" t="inlineStr">
        <is>
          <t>$ million</t>
        </is>
      </c>
      <c r="D1078" s="23">
        <f>pr_rb0</f>
        <v/>
      </c>
      <c r="E1078" s="23">
        <f>E1074+E1032-E1064-E1075+E1076-E1067-E1077</f>
        <v/>
      </c>
      <c r="F1078" s="23">
        <f>F1074+F1032-F1064-F1075+F1076-F1067-F1077</f>
        <v/>
      </c>
      <c r="G1078" s="23">
        <f>G1074+G1032-G1064-G1075+G1076-G1067-G1077</f>
        <v/>
      </c>
      <c r="H1078" s="23">
        <f>H1074+H1032-H1064-H1075+H1076-H1067-H1077</f>
        <v/>
      </c>
      <c r="I1078" s="23">
        <f>I1074+I1032-I1064-I1075+I1076-I1067-I1077</f>
        <v/>
      </c>
      <c r="J1078" s="23">
        <f>J1074+J1032-J1064-J1075+J1076-J1067-J1077</f>
        <v/>
      </c>
      <c r="K1078" s="23">
        <f>K1074+K1032-K1064-K1075+K1076-K1067-K1077</f>
        <v/>
      </c>
      <c r="L1078" s="23">
        <f>L1074+L1032-L1064-L1075+L1076-L1067-L1077</f>
        <v/>
      </c>
      <c r="M1078" s="23">
        <f>M1074+M1032-M1064-M1075+M1076-M1067-M1077</f>
        <v/>
      </c>
      <c r="N1078" s="23">
        <f>N1074+N1032-N1064-N1075+N1076-N1067-N1077</f>
        <v/>
      </c>
    </row>
    <row r="1079">
      <c r="B1079" s="2" t="inlineStr">
        <is>
          <t>Original bonds outstanding</t>
        </is>
      </c>
      <c r="C1079" s="5" t="inlineStr">
        <is>
          <t>$ million</t>
        </is>
      </c>
      <c r="D1079" s="23">
        <f>(1-pr_eq)*pr_rb0</f>
        <v/>
      </c>
      <c r="E1079" s="23">
        <f>MAX(0,D1079-pr_amort*(1-pr_eq)*pr_rb0)</f>
        <v/>
      </c>
      <c r="F1079" s="23">
        <f>MAX(0,E1079-pr_amort*(1-pr_eq)*pr_rb0)</f>
        <v/>
      </c>
      <c r="G1079" s="23">
        <f>MAX(0,F1079-pr_amort*(1-pr_eq)*pr_rb0)</f>
        <v/>
      </c>
      <c r="H1079" s="23">
        <f>MAX(0,G1079-pr_amort*(1-pr_eq)*pr_rb0)</f>
        <v/>
      </c>
      <c r="I1079" s="23">
        <f>MAX(0,H1079-pr_amort*(1-pr_eq)*pr_rb0)</f>
        <v/>
      </c>
      <c r="J1079" s="23">
        <f>MAX(0,I1079-pr_amort*(1-pr_eq)*pr_rb0)</f>
        <v/>
      </c>
      <c r="K1079" s="23">
        <f>MAX(0,J1079-pr_amort*(1-pr_eq)*pr_rb0)</f>
        <v/>
      </c>
      <c r="L1079" s="23">
        <f>MAX(0,K1079-pr_amort*(1-pr_eq)*pr_rb0)</f>
        <v/>
      </c>
      <c r="M1079" s="23">
        <f>MAX(0,L1079-pr_amort*(1-pr_eq)*pr_rb0)</f>
        <v/>
      </c>
      <c r="N1079" s="23">
        <f>MAX(0,M1079-pr_amort*(1-pr_eq)*pr_rb0)</f>
        <v/>
      </c>
    </row>
    <row r="1080">
      <c r="B1080" s="2" t="inlineStr">
        <is>
          <t>Operating company debt (debt share of rate base)</t>
        </is>
      </c>
      <c r="C1080" s="5" t="inlineStr">
        <is>
          <t>$ million</t>
        </is>
      </c>
      <c r="D1080" s="23">
        <f>(1-pr_eq)*D1078</f>
        <v/>
      </c>
      <c r="E1080" s="23">
        <f>(1-pr_eq)*E1078</f>
        <v/>
      </c>
      <c r="F1080" s="23">
        <f>(1-pr_eq)*F1078</f>
        <v/>
      </c>
      <c r="G1080" s="23">
        <f>(1-pr_eq)*G1078</f>
        <v/>
      </c>
      <c r="H1080" s="23">
        <f>(1-pr_eq)*H1078</f>
        <v/>
      </c>
      <c r="I1080" s="23">
        <f>(1-pr_eq)*I1078</f>
        <v/>
      </c>
      <c r="J1080" s="23">
        <f>(1-pr_eq)*J1078</f>
        <v/>
      </c>
      <c r="K1080" s="23">
        <f>(1-pr_eq)*K1078</f>
        <v/>
      </c>
      <c r="L1080" s="23">
        <f>(1-pr_eq)*L1078</f>
        <v/>
      </c>
      <c r="M1080" s="23">
        <f>(1-pr_eq)*M1078</f>
        <v/>
      </c>
      <c r="N1080" s="23">
        <f>(1-pr_eq)*N1078</f>
        <v/>
      </c>
    </row>
    <row r="1081">
      <c r="B1081" s="2" t="inlineStr">
        <is>
          <t>New bonds outstanding</t>
        </is>
      </c>
      <c r="C1081" s="5" t="inlineStr">
        <is>
          <t>$ million</t>
        </is>
      </c>
      <c r="D1081" s="23">
        <f>D1080-D1079</f>
        <v/>
      </c>
      <c r="E1081" s="23">
        <f>E1080-E1079</f>
        <v/>
      </c>
      <c r="F1081" s="23">
        <f>F1080-F1079</f>
        <v/>
      </c>
      <c r="G1081" s="23">
        <f>G1080-G1079</f>
        <v/>
      </c>
      <c r="H1081" s="23">
        <f>H1080-H1079</f>
        <v/>
      </c>
      <c r="I1081" s="23">
        <f>I1080-I1079</f>
        <v/>
      </c>
      <c r="J1081" s="23">
        <f>J1080-J1079</f>
        <v/>
      </c>
      <c r="K1081" s="23">
        <f>K1080-K1079</f>
        <v/>
      </c>
      <c r="L1081" s="23">
        <f>L1080-L1079</f>
        <v/>
      </c>
      <c r="M1081" s="23">
        <f>M1080-M1079</f>
        <v/>
      </c>
      <c r="N1081" s="23">
        <f>N1080-N1079</f>
        <v/>
      </c>
    </row>
    <row r="1082">
      <c r="B1082" s="2" t="inlineStr">
        <is>
          <t>Embedded cost of debt at year end</t>
        </is>
      </c>
      <c r="C1082" s="5" t="inlineStr">
        <is>
          <t>rate</t>
        </is>
      </c>
      <c r="D1082" s="27">
        <f>pr_kd_old</f>
        <v/>
      </c>
      <c r="E1082" s="27">
        <f>(E1079*pr_kd_old+E1081*pr_kd_new)/E1080</f>
        <v/>
      </c>
      <c r="F1082" s="27">
        <f>(F1079*pr_kd_old+F1081*pr_kd_new)/F1080</f>
        <v/>
      </c>
      <c r="G1082" s="27">
        <f>(G1079*pr_kd_old+G1081*pr_kd_new)/G1080</f>
        <v/>
      </c>
      <c r="H1082" s="27">
        <f>(H1079*pr_kd_old+H1081*pr_kd_new)/H1080</f>
        <v/>
      </c>
      <c r="I1082" s="27">
        <f>(I1079*pr_kd_old+I1081*pr_kd_new)/I1080</f>
        <v/>
      </c>
      <c r="J1082" s="27">
        <f>(J1079*pr_kd_old+J1081*pr_kd_new)/J1080</f>
        <v/>
      </c>
      <c r="K1082" s="27">
        <f>(K1079*pr_kd_old+K1081*pr_kd_new)/K1080</f>
        <v/>
      </c>
      <c r="L1082" s="27">
        <f>(L1079*pr_kd_old+L1081*pr_kd_new)/L1080</f>
        <v/>
      </c>
      <c r="M1082" s="27">
        <f>(M1079*pr_kd_old+M1081*pr_kd_new)/M1080</f>
        <v/>
      </c>
      <c r="N1082" s="27">
        <f>(N1079*pr_kd_old+N1081*pr_kd_new)/N1080</f>
        <v/>
      </c>
    </row>
    <row r="1084">
      <c r="B1084" s="6" t="inlineStr">
        <is>
          <t>Returns and cash ($ million)</t>
        </is>
      </c>
      <c r="C1084" s="7" t="n"/>
      <c r="D1084" s="7" t="n"/>
      <c r="E1084" s="7" t="n"/>
      <c r="F1084" s="7" t="n"/>
      <c r="G1084" s="7" t="n"/>
      <c r="H1084" s="7" t="n"/>
      <c r="I1084" s="7" t="n"/>
      <c r="J1084" s="7" t="n"/>
      <c r="K1084" s="7" t="n"/>
      <c r="L1084" s="7" t="n"/>
      <c r="M1084" s="7" t="n"/>
      <c r="N1084" s="7" t="n"/>
    </row>
    <row r="1085">
      <c r="B1085" s="2" t="inlineStr">
        <is>
          <t>Average equity share of rate base</t>
        </is>
      </c>
      <c r="C1085" s="5" t="inlineStr">
        <is>
          <t>$ million</t>
        </is>
      </c>
      <c r="E1085" s="23">
        <f>pr_eq*0.5*(E1074+E1078)</f>
        <v/>
      </c>
      <c r="F1085" s="23">
        <f>pr_eq*0.5*(F1074+F1078)</f>
        <v/>
      </c>
      <c r="G1085" s="23">
        <f>pr_eq*0.5*(G1074+G1078)</f>
        <v/>
      </c>
      <c r="H1085" s="23">
        <f>pr_eq*0.5*(H1074+H1078)</f>
        <v/>
      </c>
      <c r="I1085" s="23">
        <f>pr_eq*0.5*(I1074+I1078)</f>
        <v/>
      </c>
      <c r="J1085" s="23">
        <f>pr_eq*0.5*(J1074+J1078)</f>
        <v/>
      </c>
      <c r="K1085" s="23">
        <f>pr_eq*0.5*(K1074+K1078)</f>
        <v/>
      </c>
      <c r="L1085" s="23">
        <f>pr_eq*0.5*(L1074+L1078)</f>
        <v/>
      </c>
      <c r="M1085" s="23">
        <f>pr_eq*0.5*(M1074+M1078)</f>
        <v/>
      </c>
      <c r="N1085" s="23">
        <f>pr_eq*0.5*(N1074+N1078)</f>
        <v/>
      </c>
    </row>
    <row r="1086">
      <c r="B1086" s="2" t="inlineStr">
        <is>
          <t>Earned return on equity</t>
        </is>
      </c>
      <c r="C1086" s="5" t="inlineStr">
        <is>
          <t>rate</t>
        </is>
      </c>
      <c r="E1086" s="27">
        <f>E1071/E1085</f>
        <v/>
      </c>
      <c r="F1086" s="27">
        <f>F1071/F1085</f>
        <v/>
      </c>
      <c r="G1086" s="27">
        <f>G1071/G1085</f>
        <v/>
      </c>
      <c r="H1086" s="27">
        <f>H1071/H1085</f>
        <v/>
      </c>
      <c r="I1086" s="27">
        <f>I1071/I1085</f>
        <v/>
      </c>
      <c r="J1086" s="27">
        <f>J1071/J1085</f>
        <v/>
      </c>
      <c r="K1086" s="27">
        <f>K1071/K1085</f>
        <v/>
      </c>
      <c r="L1086" s="27">
        <f>L1071/L1085</f>
        <v/>
      </c>
      <c r="M1086" s="27">
        <f>M1071/M1085</f>
        <v/>
      </c>
      <c r="N1086" s="27">
        <f>N1071/N1085</f>
        <v/>
      </c>
    </row>
    <row r="1087">
      <c r="B1087" s="2" t="inlineStr">
        <is>
          <t>Authorized return on equity</t>
        </is>
      </c>
      <c r="C1087" s="5" t="inlineStr">
        <is>
          <t>rate</t>
        </is>
      </c>
      <c r="E1087" s="27">
        <f>Inputs!$C$244</f>
        <v/>
      </c>
      <c r="F1087" s="27">
        <f>Inputs!$C$244</f>
        <v/>
      </c>
      <c r="G1087" s="27">
        <f>Inputs!$C$244</f>
        <v/>
      </c>
      <c r="H1087" s="27">
        <f>Inputs!$C$244</f>
        <v/>
      </c>
      <c r="I1087" s="27">
        <f>Inputs!$C$244</f>
        <v/>
      </c>
      <c r="J1087" s="27">
        <f>Inputs!$C$244</f>
        <v/>
      </c>
      <c r="K1087" s="27">
        <f>Inputs!$C$244</f>
        <v/>
      </c>
      <c r="L1087" s="27">
        <f>Inputs!$C$244</f>
        <v/>
      </c>
      <c r="M1087" s="27">
        <f>Inputs!$C$244</f>
        <v/>
      </c>
      <c r="N1087" s="27">
        <f>Inputs!$C$244</f>
        <v/>
      </c>
    </row>
    <row r="1088">
      <c r="B1088" s="3" t="inlineStr">
        <is>
          <t>Cash to the shareholder (FCFE)</t>
        </is>
      </c>
      <c r="C1088" s="5" t="inlineStr">
        <is>
          <t>$ million</t>
        </is>
      </c>
      <c r="E1088" s="23">
        <f>E1071+E1067-E1032-E1076+E1077+E1080-D1080</f>
        <v/>
      </c>
      <c r="F1088" s="23">
        <f>F1071+F1067-F1032-F1076+F1077+F1080-E1080</f>
        <v/>
      </c>
      <c r="G1088" s="23">
        <f>G1071+G1067-G1032-G1076+G1077+G1080-F1080</f>
        <v/>
      </c>
      <c r="H1088" s="23">
        <f>H1071+H1067-H1032-H1076+H1077+H1080-G1080</f>
        <v/>
      </c>
      <c r="I1088" s="23">
        <f>I1071+I1067-I1032-I1076+I1077+I1080-H1080</f>
        <v/>
      </c>
      <c r="J1088" s="23">
        <f>J1071+J1067-J1032-J1076+J1077+J1080-I1080</f>
        <v/>
      </c>
      <c r="K1088" s="23">
        <f>K1071+K1067-K1032-K1076+K1077+K1080-J1080</f>
        <v/>
      </c>
      <c r="L1088" s="23">
        <f>L1071+L1067-L1032-L1076+L1077+L1080-K1080</f>
        <v/>
      </c>
      <c r="M1088" s="23">
        <f>M1071+M1067-M1032-M1076+M1077+M1080-L1080</f>
        <v/>
      </c>
      <c r="N1088" s="23">
        <f>N1071+N1067-N1032-N1076+N1077+N1080-M1080</f>
        <v/>
      </c>
    </row>
    <row r="1089">
      <c r="B1089" s="2" t="inlineStr">
        <is>
          <t>Funds from operations (net income + depreciation)</t>
        </is>
      </c>
      <c r="C1089" s="5" t="inlineStr">
        <is>
          <t>$ million</t>
        </is>
      </c>
      <c r="E1089" s="23">
        <f>E1071+E1067</f>
        <v/>
      </c>
      <c r="F1089" s="23">
        <f>F1071+F1067</f>
        <v/>
      </c>
      <c r="G1089" s="23">
        <f>G1071+G1067</f>
        <v/>
      </c>
      <c r="H1089" s="23">
        <f>H1071+H1067</f>
        <v/>
      </c>
      <c r="I1089" s="23">
        <f>I1071+I1067</f>
        <v/>
      </c>
      <c r="J1089" s="23">
        <f>J1071+J1067</f>
        <v/>
      </c>
      <c r="K1089" s="23">
        <f>K1071+K1067</f>
        <v/>
      </c>
      <c r="L1089" s="23">
        <f>L1071+L1067</f>
        <v/>
      </c>
      <c r="M1089" s="23">
        <f>M1071+M1067</f>
        <v/>
      </c>
      <c r="N1089" s="23">
        <f>N1071+N1067</f>
        <v/>
      </c>
    </row>
    <row r="1090">
      <c r="B1090" s="3" t="inlineStr">
        <is>
          <t>Brannock's net flows (exit at the exit multiple)</t>
        </is>
      </c>
      <c r="C1090" s="5" t="inlineStr">
        <is>
          <t>$ million</t>
        </is>
      </c>
      <c r="D1090" s="23">
        <f>-(pr_ev_mult*pr_rb0-(1-pr_eq)*pr_rb0+pr_costs-pr_holdco)</f>
        <v/>
      </c>
      <c r="E1090" s="23">
        <f>E1088-pr_holdco*pr_kd_holdco*(1-pr_tax)</f>
        <v/>
      </c>
      <c r="F1090" s="23">
        <f>F1088-pr_holdco*pr_kd_holdco*(1-pr_tax)</f>
        <v/>
      </c>
      <c r="G1090" s="23">
        <f>G1088-pr_holdco*pr_kd_holdco*(1-pr_tax)</f>
        <v/>
      </c>
      <c r="H1090" s="23">
        <f>H1088-pr_holdco*pr_kd_holdco*(1-pr_tax)</f>
        <v/>
      </c>
      <c r="I1090" s="23">
        <f>I1088-pr_holdco*pr_kd_holdco*(1-pr_tax)</f>
        <v/>
      </c>
      <c r="J1090" s="23">
        <f>J1088-pr_holdco*pr_kd_holdco*(1-pr_tax)</f>
        <v/>
      </c>
      <c r="K1090" s="23">
        <f>K1088-pr_holdco*pr_kd_holdco*(1-pr_tax)</f>
        <v/>
      </c>
      <c r="L1090" s="23">
        <f>L1088-pr_holdco*pr_kd_holdco*(1-pr_tax)</f>
        <v/>
      </c>
      <c r="M1090" s="23">
        <f>M1088-pr_holdco*pr_kd_holdco*(1-pr_tax)</f>
        <v/>
      </c>
      <c r="N1090" s="23">
        <f>N1088-pr_holdco*pr_kd_holdco*(1-pr_tax)+pr_exit_mult*N1078-N1080-pr_holdco</f>
        <v/>
      </c>
    </row>
    <row r="1091">
      <c r="B1091" s="2" t="inlineStr">
        <is>
          <t>Levered IRR</t>
        </is>
      </c>
      <c r="C1091" s="5" t="inlineStr">
        <is>
          <t>rate</t>
        </is>
      </c>
      <c r="D1091" s="27">
        <f>IRR($D$1090:N$1090,0.08)</f>
        <v/>
      </c>
    </row>
    <row r="1092">
      <c r="B1092" s="2" t="inlineStr">
        <is>
          <t>Average earned return on equity 2028 to 2037</t>
        </is>
      </c>
      <c r="C1092" s="5" t="inlineStr">
        <is>
          <t>rate</t>
        </is>
      </c>
      <c r="D1092" s="27">
        <f>AVERAGE($E$1086:N$1086)</f>
        <v/>
      </c>
    </row>
    <row r="1093">
      <c r="B1093" s="2" t="inlineStr">
        <is>
          <t>Price at the target return (enterprise value)</t>
        </is>
      </c>
      <c r="C1093" s="5" t="inlineStr">
        <is>
          <t>$ million</t>
        </is>
      </c>
      <c r="D1093" s="23">
        <f>NPV(pr_target,$E$1090:N$1090)+(1-pr_eq)*pr_rb0-pr_costs+pr_holdco</f>
        <v/>
      </c>
    </row>
    <row r="1094">
      <c r="B1094" s="2" t="inlineStr">
        <is>
          <t>Exit equity</t>
        </is>
      </c>
      <c r="C1094" s="5" t="inlineStr">
        <is>
          <t>$ million</t>
        </is>
      </c>
      <c r="D1094" s="23">
        <f>pr_exit_mult*N1078-N1080-pr_holdco</f>
        <v/>
      </c>
    </row>
    <row r="1095">
      <c r="B1095" s="2" t="inlineStr">
        <is>
          <t>Rate base at exit</t>
        </is>
      </c>
      <c r="C1095" s="5" t="inlineStr">
        <is>
          <t>$ million</t>
        </is>
      </c>
      <c r="D1095" s="23">
        <f>N1078</f>
        <v/>
      </c>
    </row>
    <row r="1098">
      <c r="B1098" s="6" t="inlineStr">
        <is>
          <t>B2: Bridge step 2: return on equity 9.60 percent (Pell River, after tax)</t>
        </is>
      </c>
      <c r="C1098" s="7" t="n"/>
      <c r="D1098" s="7" t="n"/>
      <c r="E1098" s="7" t="n"/>
      <c r="F1098" s="7" t="n"/>
      <c r="G1098" s="7" t="n"/>
      <c r="H1098" s="7" t="n"/>
      <c r="I1098" s="7" t="n"/>
      <c r="J1098" s="7" t="n"/>
      <c r="K1098" s="7" t="n"/>
      <c r="L1098" s="7" t="n"/>
      <c r="M1098" s="7" t="n"/>
      <c r="N1098" s="7" t="n"/>
    </row>
    <row r="1099">
      <c r="B1099" s="2" t="inlineStr">
        <is>
          <t>Year (31 December)</t>
        </is>
      </c>
      <c r="D1099" s="26">
        <f>pr_close</f>
        <v/>
      </c>
      <c r="E1099" s="26">
        <f>D1099+1</f>
        <v/>
      </c>
      <c r="F1099" s="26">
        <f>E1099+1</f>
        <v/>
      </c>
      <c r="G1099" s="26">
        <f>F1099+1</f>
        <v/>
      </c>
      <c r="H1099" s="26">
        <f>G1099+1</f>
        <v/>
      </c>
      <c r="I1099" s="26">
        <f>H1099+1</f>
        <v/>
      </c>
      <c r="J1099" s="26">
        <f>I1099+1</f>
        <v/>
      </c>
      <c r="K1099" s="26">
        <f>J1099+1</f>
        <v/>
      </c>
      <c r="L1099" s="26">
        <f>K1099+1</f>
        <v/>
      </c>
      <c r="M1099" s="26">
        <f>L1099+1</f>
        <v/>
      </c>
      <c r="N1099" s="26">
        <f>M1099+1</f>
        <v/>
      </c>
    </row>
    <row r="1100">
      <c r="B1100" s="2" t="inlineStr">
        <is>
          <t>Years after the first year of the hold (2028 = 0)</t>
        </is>
      </c>
      <c r="D1100" s="26">
        <f>D1099-(pr_close+1)</f>
        <v/>
      </c>
      <c r="E1100" s="26">
        <f>E1099-(pr_close+1)</f>
        <v/>
      </c>
      <c r="F1100" s="26">
        <f>F1099-(pr_close+1)</f>
        <v/>
      </c>
      <c r="G1100" s="26">
        <f>G1099-(pr_close+1)</f>
        <v/>
      </c>
      <c r="H1100" s="26">
        <f>H1099-(pr_close+1)</f>
        <v/>
      </c>
      <c r="I1100" s="26">
        <f>I1099-(pr_close+1)</f>
        <v/>
      </c>
      <c r="J1100" s="26">
        <f>J1099-(pr_close+1)</f>
        <v/>
      </c>
      <c r="K1100" s="26">
        <f>K1099-(pr_close+1)</f>
        <v/>
      </c>
      <c r="L1100" s="26">
        <f>L1099-(pr_close+1)</f>
        <v/>
      </c>
      <c r="M1100" s="26">
        <f>M1099-(pr_close+1)</f>
        <v/>
      </c>
      <c r="N1100" s="26">
        <f>N1099-(pr_close+1)</f>
        <v/>
      </c>
    </row>
    <row r="1101">
      <c r="B1101" s="2" t="inlineStr">
        <is>
          <t>Connections (water and wastewater), year end</t>
        </is>
      </c>
      <c r="C1101" s="5" t="inlineStr">
        <is>
          <t>number</t>
        </is>
      </c>
      <c r="D1101" s="19">
        <f>pr_water_conn+pr_ww_conn</f>
        <v/>
      </c>
      <c r="E1101" s="19">
        <f>D1101*(1+pr_growth)+IF(AND(pr_fen_on=1,E1099=pr_fen_year+1),pr_fen_conn,0)</f>
        <v/>
      </c>
      <c r="F1101" s="19">
        <f>E1101*(1+pr_growth)+IF(AND(pr_fen_on=1,F1099=pr_fen_year+1),pr_fen_conn,0)</f>
        <v/>
      </c>
      <c r="G1101" s="19">
        <f>F1101*(1+pr_growth)+IF(AND(pr_fen_on=1,G1099=pr_fen_year+1),pr_fen_conn,0)</f>
        <v/>
      </c>
      <c r="H1101" s="19">
        <f>G1101*(1+pr_growth)+IF(AND(pr_fen_on=1,H1099=pr_fen_year+1),pr_fen_conn,0)</f>
        <v/>
      </c>
      <c r="I1101" s="19">
        <f>H1101*(1+pr_growth)+IF(AND(pr_fen_on=1,I1099=pr_fen_year+1),pr_fen_conn,0)</f>
        <v/>
      </c>
      <c r="J1101" s="19">
        <f>I1101*(1+pr_growth)+IF(AND(pr_fen_on=1,J1099=pr_fen_year+1),pr_fen_conn,0)</f>
        <v/>
      </c>
      <c r="K1101" s="19">
        <f>J1101*(1+pr_growth)+IF(AND(pr_fen_on=1,K1099=pr_fen_year+1),pr_fen_conn,0)</f>
        <v/>
      </c>
      <c r="L1101" s="19">
        <f>K1101*(1+pr_growth)+IF(AND(pr_fen_on=1,L1099=pr_fen_year+1),pr_fen_conn,0)</f>
        <v/>
      </c>
      <c r="M1101" s="19">
        <f>L1101*(1+pr_growth)+IF(AND(pr_fen_on=1,M1099=pr_fen_year+1),pr_fen_conn,0)</f>
        <v/>
      </c>
      <c r="N1101" s="19">
        <f>M1101*(1+pr_growth)+IF(AND(pr_fen_on=1,N1099=pr_fen_year+1),pr_fen_conn,0)</f>
        <v/>
      </c>
    </row>
    <row r="1103">
      <c r="B1103" s="6" t="inlineStr">
        <is>
          <t>Capital spending ($ million)</t>
        </is>
      </c>
      <c r="C1103" s="7" t="n"/>
      <c r="D1103" s="7" t="n"/>
      <c r="E1103" s="7" t="n"/>
      <c r="F1103" s="7" t="n"/>
      <c r="G1103" s="7" t="n"/>
      <c r="H1103" s="7" t="n"/>
      <c r="I1103" s="7" t="n"/>
      <c r="J1103" s="7" t="n"/>
      <c r="K1103" s="7" t="n"/>
      <c r="L1103" s="7" t="n"/>
      <c r="M1103" s="7" t="n"/>
      <c r="N1103" s="7" t="n"/>
    </row>
    <row r="1104">
      <c r="B1104" s="2" t="inlineStr">
        <is>
          <t>Cost escalation index (2028 = 1)</t>
        </is>
      </c>
      <c r="E1104" s="28">
        <f>(1+pr_capex_esc)^(E1099-(pr_close+1))</f>
        <v/>
      </c>
      <c r="F1104" s="28">
        <f>(1+pr_capex_esc)^(F1099-(pr_close+1))</f>
        <v/>
      </c>
      <c r="G1104" s="28">
        <f>(1+pr_capex_esc)^(G1099-(pr_close+1))</f>
        <v/>
      </c>
      <c r="H1104" s="28">
        <f>(1+pr_capex_esc)^(H1099-(pr_close+1))</f>
        <v/>
      </c>
      <c r="I1104" s="28">
        <f>(1+pr_capex_esc)^(I1099-(pr_close+1))</f>
        <v/>
      </c>
      <c r="J1104" s="28">
        <f>(1+pr_capex_esc)^(J1099-(pr_close+1))</f>
        <v/>
      </c>
      <c r="K1104" s="28">
        <f>(1+pr_capex_esc)^(K1099-(pr_close+1))</f>
        <v/>
      </c>
      <c r="L1104" s="28">
        <f>(1+pr_capex_esc)^(L1099-(pr_close+1))</f>
        <v/>
      </c>
      <c r="M1104" s="28">
        <f>(1+pr_capex_esc)^(M1099-(pr_close+1))</f>
        <v/>
      </c>
      <c r="N1104" s="28">
        <f>(1+pr_capex_esc)^(N1099-(pr_close+1))</f>
        <v/>
      </c>
    </row>
    <row r="1105">
      <c r="B1105" s="2" t="inlineStr">
        <is>
          <t>Main renewal</t>
        </is>
      </c>
      <c r="C1105" s="5" t="inlineStr">
        <is>
          <t>$ million</t>
        </is>
      </c>
      <c r="E1105" s="23">
        <f>pr_renewal*pr_mains_miles*pr_cost_mile*E1104*(1+pr_capex_shift)</f>
        <v/>
      </c>
      <c r="F1105" s="23">
        <f>pr_renewal*pr_mains_miles*pr_cost_mile*F1104*(1+pr_capex_shift)</f>
        <v/>
      </c>
      <c r="G1105" s="23">
        <f>pr_renewal*pr_mains_miles*pr_cost_mile*G1104*(1+pr_capex_shift)</f>
        <v/>
      </c>
      <c r="H1105" s="23">
        <f>pr_renewal*pr_mains_miles*pr_cost_mile*H1104*(1+pr_capex_shift)</f>
        <v/>
      </c>
      <c r="I1105" s="23">
        <f>pr_renewal*pr_mains_miles*pr_cost_mile*I1104*(1+pr_capex_shift)</f>
        <v/>
      </c>
      <c r="J1105" s="23">
        <f>pr_renewal*pr_mains_miles*pr_cost_mile*J1104*(1+pr_capex_shift)</f>
        <v/>
      </c>
      <c r="K1105" s="23">
        <f>pr_renewal*pr_mains_miles*pr_cost_mile*K1104*(1+pr_capex_shift)</f>
        <v/>
      </c>
      <c r="L1105" s="23">
        <f>pr_renewal*pr_mains_miles*pr_cost_mile*L1104*(1+pr_capex_shift)</f>
        <v/>
      </c>
      <c r="M1105" s="23">
        <f>pr_renewal*pr_mains_miles*pr_cost_mile*M1104*(1+pr_capex_shift)</f>
        <v/>
      </c>
      <c r="N1105" s="23">
        <f>pr_renewal*pr_mains_miles*pr_cost_mile*N1104*(1+pr_capex_shift)</f>
        <v/>
      </c>
    </row>
    <row r="1106">
      <c r="B1106" s="2" t="inlineStr">
        <is>
          <t>Treatment, storage, meters, IT and growth</t>
        </is>
      </c>
      <c r="C1106" s="5" t="inlineStr">
        <is>
          <t>$ million</t>
        </is>
      </c>
      <c r="E1106" s="23">
        <f>pr_other_capex*E1104*(1+pr_capex_shift)</f>
        <v/>
      </c>
      <c r="F1106" s="23">
        <f>pr_other_capex*F1104*(1+pr_capex_shift)</f>
        <v/>
      </c>
      <c r="G1106" s="23">
        <f>pr_other_capex*G1104*(1+pr_capex_shift)</f>
        <v/>
      </c>
      <c r="H1106" s="23">
        <f>pr_other_capex*H1104*(1+pr_capex_shift)</f>
        <v/>
      </c>
      <c r="I1106" s="23">
        <f>pr_other_capex*I1104*(1+pr_capex_shift)</f>
        <v/>
      </c>
      <c r="J1106" s="23">
        <f>pr_other_capex*J1104*(1+pr_capex_shift)</f>
        <v/>
      </c>
      <c r="K1106" s="23">
        <f>pr_other_capex*K1104*(1+pr_capex_shift)</f>
        <v/>
      </c>
      <c r="L1106" s="23">
        <f>pr_other_capex*L1104*(1+pr_capex_shift)</f>
        <v/>
      </c>
      <c r="M1106" s="23">
        <f>pr_other_capex*M1104*(1+pr_capex_shift)</f>
        <v/>
      </c>
      <c r="N1106" s="23">
        <f>pr_other_capex*N1104*(1+pr_capex_shift)</f>
        <v/>
      </c>
    </row>
    <row r="1107">
      <c r="B1107" s="2" t="inlineStr">
        <is>
          <t>PFAS treatment</t>
        </is>
      </c>
      <c r="C1107" s="5" t="inlineStr">
        <is>
          <t>$ million</t>
        </is>
      </c>
      <c r="E1107" s="23">
        <f>(IF(E1099-pr_pfas_delay=pr_pfas_y1,pr_pfas_1,0)+IF(E1099-pr_pfas_delay=pr_pfas_y1+1,pr_pfas_2,0)+IF(E1099-pr_pfas_delay=pr_pfas_y1+2,pr_pfas_3,0))*(1+pr_capex_esc)^pr_pfas_delay*(1+pr_capex_shift)</f>
        <v/>
      </c>
      <c r="F1107" s="23">
        <f>(IF(F1099-pr_pfas_delay=pr_pfas_y1,pr_pfas_1,0)+IF(F1099-pr_pfas_delay=pr_pfas_y1+1,pr_pfas_2,0)+IF(F1099-pr_pfas_delay=pr_pfas_y1+2,pr_pfas_3,0))*(1+pr_capex_esc)^pr_pfas_delay*(1+pr_capex_shift)</f>
        <v/>
      </c>
      <c r="G1107" s="23">
        <f>(IF(G1099-pr_pfas_delay=pr_pfas_y1,pr_pfas_1,0)+IF(G1099-pr_pfas_delay=pr_pfas_y1+1,pr_pfas_2,0)+IF(G1099-pr_pfas_delay=pr_pfas_y1+2,pr_pfas_3,0))*(1+pr_capex_esc)^pr_pfas_delay*(1+pr_capex_shift)</f>
        <v/>
      </c>
      <c r="H1107" s="23">
        <f>(IF(H1099-pr_pfas_delay=pr_pfas_y1,pr_pfas_1,0)+IF(H1099-pr_pfas_delay=pr_pfas_y1+1,pr_pfas_2,0)+IF(H1099-pr_pfas_delay=pr_pfas_y1+2,pr_pfas_3,0))*(1+pr_capex_esc)^pr_pfas_delay*(1+pr_capex_shift)</f>
        <v/>
      </c>
      <c r="I1107" s="23">
        <f>(IF(I1099-pr_pfas_delay=pr_pfas_y1,pr_pfas_1,0)+IF(I1099-pr_pfas_delay=pr_pfas_y1+1,pr_pfas_2,0)+IF(I1099-pr_pfas_delay=pr_pfas_y1+2,pr_pfas_3,0))*(1+pr_capex_esc)^pr_pfas_delay*(1+pr_capex_shift)</f>
        <v/>
      </c>
      <c r="J1107" s="23">
        <f>(IF(J1099-pr_pfas_delay=pr_pfas_y1,pr_pfas_1,0)+IF(J1099-pr_pfas_delay=pr_pfas_y1+1,pr_pfas_2,0)+IF(J1099-pr_pfas_delay=pr_pfas_y1+2,pr_pfas_3,0))*(1+pr_capex_esc)^pr_pfas_delay*(1+pr_capex_shift)</f>
        <v/>
      </c>
      <c r="K1107" s="23">
        <f>(IF(K1099-pr_pfas_delay=pr_pfas_y1,pr_pfas_1,0)+IF(K1099-pr_pfas_delay=pr_pfas_y1+1,pr_pfas_2,0)+IF(K1099-pr_pfas_delay=pr_pfas_y1+2,pr_pfas_3,0))*(1+pr_capex_esc)^pr_pfas_delay*(1+pr_capex_shift)</f>
        <v/>
      </c>
      <c r="L1107" s="23">
        <f>(IF(L1099-pr_pfas_delay=pr_pfas_y1,pr_pfas_1,0)+IF(L1099-pr_pfas_delay=pr_pfas_y1+1,pr_pfas_2,0)+IF(L1099-pr_pfas_delay=pr_pfas_y1+2,pr_pfas_3,0))*(1+pr_capex_esc)^pr_pfas_delay*(1+pr_capex_shift)</f>
        <v/>
      </c>
      <c r="M1107" s="23">
        <f>(IF(M1099-pr_pfas_delay=pr_pfas_y1,pr_pfas_1,0)+IF(M1099-pr_pfas_delay=pr_pfas_y1+1,pr_pfas_2,0)+IF(M1099-pr_pfas_delay=pr_pfas_y1+2,pr_pfas_3,0))*(1+pr_capex_esc)^pr_pfas_delay*(1+pr_capex_shift)</f>
        <v/>
      </c>
      <c r="N1107" s="23">
        <f>(IF(N1099-pr_pfas_delay=pr_pfas_y1,pr_pfas_1,0)+IF(N1099-pr_pfas_delay=pr_pfas_y1+1,pr_pfas_2,0)+IF(N1099-pr_pfas_delay=pr_pfas_y1+2,pr_pfas_3,0))*(1+pr_capex_esc)^pr_pfas_delay*(1+pr_capex_shift)</f>
        <v/>
      </c>
    </row>
    <row r="1108">
      <c r="B1108" s="2" t="inlineStr">
        <is>
          <t>Lead service lines</t>
        </is>
      </c>
      <c r="C1108" s="5" t="inlineStr">
        <is>
          <t>$ million</t>
        </is>
      </c>
      <c r="E1108" s="23">
        <f>IF(AND(E1099&gt;=(pr_close+1),E1099&lt;(pr_close+1)+pr_lead_years),pr_lead_lines/pr_lead_years*pr_lead_cost/1000000*E1104,0)*(1+pr_capex_shift)</f>
        <v/>
      </c>
      <c r="F1108" s="23">
        <f>IF(AND(F1099&gt;=(pr_close+1),F1099&lt;(pr_close+1)+pr_lead_years),pr_lead_lines/pr_lead_years*pr_lead_cost/1000000*F1104,0)*(1+pr_capex_shift)</f>
        <v/>
      </c>
      <c r="G1108" s="23">
        <f>IF(AND(G1099&gt;=(pr_close+1),G1099&lt;(pr_close+1)+pr_lead_years),pr_lead_lines/pr_lead_years*pr_lead_cost/1000000*G1104,0)*(1+pr_capex_shift)</f>
        <v/>
      </c>
      <c r="H1108" s="23">
        <f>IF(AND(H1099&gt;=(pr_close+1),H1099&lt;(pr_close+1)+pr_lead_years),pr_lead_lines/pr_lead_years*pr_lead_cost/1000000*H1104,0)*(1+pr_capex_shift)</f>
        <v/>
      </c>
      <c r="I1108" s="23">
        <f>IF(AND(I1099&gt;=(pr_close+1),I1099&lt;(pr_close+1)+pr_lead_years),pr_lead_lines/pr_lead_years*pr_lead_cost/1000000*I1104,0)*(1+pr_capex_shift)</f>
        <v/>
      </c>
      <c r="J1108" s="23">
        <f>IF(AND(J1099&gt;=(pr_close+1),J1099&lt;(pr_close+1)+pr_lead_years),pr_lead_lines/pr_lead_years*pr_lead_cost/1000000*J1104,0)*(1+pr_capex_shift)</f>
        <v/>
      </c>
      <c r="K1108" s="23">
        <f>IF(AND(K1099&gt;=(pr_close+1),K1099&lt;(pr_close+1)+pr_lead_years),pr_lead_lines/pr_lead_years*pr_lead_cost/1000000*K1104,0)*(1+pr_capex_shift)</f>
        <v/>
      </c>
      <c r="L1108" s="23">
        <f>IF(AND(L1099&gt;=(pr_close+1),L1099&lt;(pr_close+1)+pr_lead_years),pr_lead_lines/pr_lead_years*pr_lead_cost/1000000*L1104,0)*(1+pr_capex_shift)</f>
        <v/>
      </c>
      <c r="M1108" s="23">
        <f>IF(AND(M1099&gt;=(pr_close+1),M1099&lt;(pr_close+1)+pr_lead_years),pr_lead_lines/pr_lead_years*pr_lead_cost/1000000*M1104,0)*(1+pr_capex_shift)</f>
        <v/>
      </c>
      <c r="N1108" s="23">
        <f>IF(AND(N1099&gt;=(pr_close+1),N1099&lt;(pr_close+1)+pr_lead_years),pr_lead_lines/pr_lead_years*pr_lead_cost/1000000*N1104,0)*(1+pr_capex_shift)</f>
        <v/>
      </c>
    </row>
    <row r="1109">
      <c r="B1109" s="2" t="inlineStr">
        <is>
          <t>Fennick system</t>
        </is>
      </c>
      <c r="C1109" s="5" t="inlineStr">
        <is>
          <t>$ million</t>
        </is>
      </c>
      <c r="E1109" s="23">
        <f>IF(AND(pr_fen_on=1,E1099&gt;pr_fen_year),pr_fen_capex*(1+pr_capex_esc)^(E1099-pr_fen_year-1),0)*(1+pr_capex_shift)</f>
        <v/>
      </c>
      <c r="F1109" s="23">
        <f>IF(AND(pr_fen_on=1,F1099&gt;pr_fen_year),pr_fen_capex*(1+pr_capex_esc)^(F1099-pr_fen_year-1),0)*(1+pr_capex_shift)</f>
        <v/>
      </c>
      <c r="G1109" s="23">
        <f>IF(AND(pr_fen_on=1,G1099&gt;pr_fen_year),pr_fen_capex*(1+pr_capex_esc)^(G1099-pr_fen_year-1),0)*(1+pr_capex_shift)</f>
        <v/>
      </c>
      <c r="H1109" s="23">
        <f>IF(AND(pr_fen_on=1,H1099&gt;pr_fen_year),pr_fen_capex*(1+pr_capex_esc)^(H1099-pr_fen_year-1),0)*(1+pr_capex_shift)</f>
        <v/>
      </c>
      <c r="I1109" s="23">
        <f>IF(AND(pr_fen_on=1,I1099&gt;pr_fen_year),pr_fen_capex*(1+pr_capex_esc)^(I1099-pr_fen_year-1),0)*(1+pr_capex_shift)</f>
        <v/>
      </c>
      <c r="J1109" s="23">
        <f>IF(AND(pr_fen_on=1,J1099&gt;pr_fen_year),pr_fen_capex*(1+pr_capex_esc)^(J1099-pr_fen_year-1),0)*(1+pr_capex_shift)</f>
        <v/>
      </c>
      <c r="K1109" s="23">
        <f>IF(AND(pr_fen_on=1,K1099&gt;pr_fen_year),pr_fen_capex*(1+pr_capex_esc)^(K1099-pr_fen_year-1),0)*(1+pr_capex_shift)</f>
        <v/>
      </c>
      <c r="L1109" s="23">
        <f>IF(AND(pr_fen_on=1,L1099&gt;pr_fen_year),pr_fen_capex*(1+pr_capex_esc)^(L1099-pr_fen_year-1),0)*(1+pr_capex_shift)</f>
        <v/>
      </c>
      <c r="M1109" s="23">
        <f>IF(AND(pr_fen_on=1,M1099&gt;pr_fen_year),pr_fen_capex*(1+pr_capex_esc)^(M1099-pr_fen_year-1),0)*(1+pr_capex_shift)</f>
        <v/>
      </c>
      <c r="N1109" s="23">
        <f>IF(AND(pr_fen_on=1,N1099&gt;pr_fen_year),pr_fen_capex*(1+pr_capex_esc)^(N1099-pr_fen_year-1),0)*(1+pr_capex_shift)</f>
        <v/>
      </c>
    </row>
    <row r="1110">
      <c r="B1110" s="2" t="inlineStr">
        <is>
          <t>Total capital spending</t>
        </is>
      </c>
      <c r="C1110" s="5" t="inlineStr">
        <is>
          <t>$ million</t>
        </is>
      </c>
      <c r="E1110" s="23">
        <f>SUM(E1105:E1109)</f>
        <v/>
      </c>
      <c r="F1110" s="23">
        <f>SUM(F1105:F1109)</f>
        <v/>
      </c>
      <c r="G1110" s="23">
        <f>SUM(G1105:G1109)</f>
        <v/>
      </c>
      <c r="H1110" s="23">
        <f>SUM(H1105:H1109)</f>
        <v/>
      </c>
      <c r="I1110" s="23">
        <f>SUM(I1105:I1109)</f>
        <v/>
      </c>
      <c r="J1110" s="23">
        <f>SUM(J1105:J1109)</f>
        <v/>
      </c>
      <c r="K1110" s="23">
        <f>SUM(K1105:K1109)</f>
        <v/>
      </c>
      <c r="L1110" s="23">
        <f>SUM(L1105:L1109)</f>
        <v/>
      </c>
      <c r="M1110" s="23">
        <f>SUM(M1105:M1109)</f>
        <v/>
      </c>
      <c r="N1110" s="23">
        <f>SUM(N1105:N1109)</f>
        <v/>
      </c>
    </row>
    <row r="1111">
      <c r="B1111" s="2" t="inlineStr">
        <is>
          <t>DSIC-eligible (mains and lead lines)</t>
        </is>
      </c>
      <c r="C1111" s="5" t="inlineStr">
        <is>
          <t>$ million</t>
        </is>
      </c>
      <c r="E1111" s="23">
        <f>E1105+E1108</f>
        <v/>
      </c>
      <c r="F1111" s="23">
        <f>F1105+F1108</f>
        <v/>
      </c>
      <c r="G1111" s="23">
        <f>G1105+G1108</f>
        <v/>
      </c>
      <c r="H1111" s="23">
        <f>H1105+H1108</f>
        <v/>
      </c>
      <c r="I1111" s="23">
        <f>I1105+I1108</f>
        <v/>
      </c>
      <c r="J1111" s="23">
        <f>J1105+J1108</f>
        <v/>
      </c>
      <c r="K1111" s="23">
        <f>K1105+K1108</f>
        <v/>
      </c>
      <c r="L1111" s="23">
        <f>L1105+L1108</f>
        <v/>
      </c>
      <c r="M1111" s="23">
        <f>M1105+M1108</f>
        <v/>
      </c>
      <c r="N1111" s="23">
        <f>N1105+N1108</f>
        <v/>
      </c>
    </row>
    <row r="1113">
      <c r="B1113" s="6" t="inlineStr">
        <is>
          <t>Rate case (rates effective 1 January of the year; test-year values looked up to the left)</t>
        </is>
      </c>
      <c r="C1113" s="7" t="n"/>
      <c r="D1113" s="7" t="n"/>
      <c r="E1113" s="7" t="n"/>
      <c r="F1113" s="7" t="n"/>
      <c r="G1113" s="7" t="n"/>
      <c r="H1113" s="7" t="n"/>
      <c r="I1113" s="7" t="n"/>
      <c r="J1113" s="7" t="n"/>
      <c r="K1113" s="7" t="n"/>
      <c r="L1113" s="7" t="n"/>
      <c r="M1113" s="7" t="n"/>
      <c r="N1113" s="7" t="n"/>
    </row>
    <row r="1114">
      <c r="B1114" s="2" t="inlineStr">
        <is>
          <t>Rate case this year (1 = yes)</t>
        </is>
      </c>
      <c r="E1114" s="26">
        <f>IF(AND(E1099&gt;=pr_rc_first,MOD(E1099-pr_rc_first,Inputs!$C$250)=0),1,0)</f>
        <v/>
      </c>
      <c r="F1114" s="26">
        <f>IF(AND(F1099&gt;=pr_rc_first,MOD(F1099-pr_rc_first,Inputs!$C$250)=0),1,0)</f>
        <v/>
      </c>
      <c r="G1114" s="26">
        <f>IF(AND(G1099&gt;=pr_rc_first,MOD(G1099-pr_rc_first,Inputs!$C$250)=0),1,0)</f>
        <v/>
      </c>
      <c r="H1114" s="26">
        <f>IF(AND(H1099&gt;=pr_rc_first,MOD(H1099-pr_rc_first,Inputs!$C$250)=0),1,0)</f>
        <v/>
      </c>
      <c r="I1114" s="26">
        <f>IF(AND(I1099&gt;=pr_rc_first,MOD(I1099-pr_rc_first,Inputs!$C$250)=0),1,0)</f>
        <v/>
      </c>
      <c r="J1114" s="26">
        <f>IF(AND(J1099&gt;=pr_rc_first,MOD(J1099-pr_rc_first,Inputs!$C$250)=0),1,0)</f>
        <v/>
      </c>
      <c r="K1114" s="26">
        <f>IF(AND(K1099&gt;=pr_rc_first,MOD(K1099-pr_rc_first,Inputs!$C$250)=0),1,0)</f>
        <v/>
      </c>
      <c r="L1114" s="26">
        <f>IF(AND(L1099&gt;=pr_rc_first,MOD(L1099-pr_rc_first,Inputs!$C$250)=0),1,0)</f>
        <v/>
      </c>
      <c r="M1114" s="26">
        <f>IF(AND(M1099&gt;=pr_rc_first,MOD(M1099-pr_rc_first,Inputs!$C$250)=0),1,0)</f>
        <v/>
      </c>
      <c r="N1114" s="26">
        <f>IF(AND(N1099&gt;=pr_rc_first,MOD(N1099-pr_rc_first,Inputs!$C$250)=0),1,0)</f>
        <v/>
      </c>
    </row>
    <row r="1115">
      <c r="B1115" s="2" t="inlineStr">
        <is>
          <t>Test year</t>
        </is>
      </c>
      <c r="E1115" s="26">
        <f>E1099-Inputs!$C$251</f>
        <v/>
      </c>
      <c r="F1115" s="26">
        <f>F1099-Inputs!$C$251</f>
        <v/>
      </c>
      <c r="G1115" s="26">
        <f>G1099-Inputs!$C$251</f>
        <v/>
      </c>
      <c r="H1115" s="26">
        <f>H1099-Inputs!$C$251</f>
        <v/>
      </c>
      <c r="I1115" s="26">
        <f>I1099-Inputs!$C$251</f>
        <v/>
      </c>
      <c r="J1115" s="26">
        <f>J1099-Inputs!$C$251</f>
        <v/>
      </c>
      <c r="K1115" s="26">
        <f>K1099-Inputs!$C$251</f>
        <v/>
      </c>
      <c r="L1115" s="26">
        <f>L1099-Inputs!$C$251</f>
        <v/>
      </c>
      <c r="M1115" s="26">
        <f>M1099-Inputs!$C$251</f>
        <v/>
      </c>
      <c r="N1115" s="26">
        <f>N1099-Inputs!$C$251</f>
        <v/>
      </c>
    </row>
    <row r="1116">
      <c r="B1116" s="2" t="inlineStr">
        <is>
          <t>Test year of the latest rate case</t>
        </is>
      </c>
      <c r="D1116" s="26">
        <f>pr_close</f>
        <v/>
      </c>
      <c r="E1116" s="26">
        <f>IF(E1114=1,E1115,D1116)</f>
        <v/>
      </c>
      <c r="F1116" s="26">
        <f>IF(F1114=1,F1115,E1116)</f>
        <v/>
      </c>
      <c r="G1116" s="26">
        <f>IF(G1114=1,G1115,F1116)</f>
        <v/>
      </c>
      <c r="H1116" s="26">
        <f>IF(H1114=1,H1115,G1116)</f>
        <v/>
      </c>
      <c r="I1116" s="26">
        <f>IF(I1114=1,I1115,H1116)</f>
        <v/>
      </c>
      <c r="J1116" s="26">
        <f>IF(J1114=1,J1115,I1116)</f>
        <v/>
      </c>
      <c r="K1116" s="26">
        <f>IF(K1114=1,K1115,J1116)</f>
        <v/>
      </c>
      <c r="L1116" s="26">
        <f>IF(L1114=1,L1115,K1116)</f>
        <v/>
      </c>
      <c r="M1116" s="26">
        <f>IF(M1114=1,M1115,L1116)</f>
        <v/>
      </c>
      <c r="N1116" s="26">
        <f>IF(N1114=1,N1115,M1116)</f>
        <v/>
      </c>
    </row>
    <row r="1117">
      <c r="B1117" s="2" t="inlineStr">
        <is>
          <t>Rate base at the end of the test year</t>
        </is>
      </c>
      <c r="C1117" s="5" t="inlineStr">
        <is>
          <t>$ million</t>
        </is>
      </c>
      <c r="E1117" s="23">
        <f>INDEX($D$1156:D$1156,MATCH(MAX(E1115,pr_close),$D$1099:D$1099,0))</f>
        <v/>
      </c>
      <c r="F1117" s="23">
        <f>INDEX($D$1156:E$1156,MATCH(MAX(F1115,pr_close),$D$1099:E$1099,0))</f>
        <v/>
      </c>
      <c r="G1117" s="23">
        <f>INDEX($D$1156:F$1156,MATCH(MAX(G1115,pr_close),$D$1099:F$1099,0))</f>
        <v/>
      </c>
      <c r="H1117" s="23">
        <f>INDEX($D$1156:G$1156,MATCH(MAX(H1115,pr_close),$D$1099:G$1099,0))</f>
        <v/>
      </c>
      <c r="I1117" s="23">
        <f>INDEX($D$1156:H$1156,MATCH(MAX(I1115,pr_close),$D$1099:H$1099,0))</f>
        <v/>
      </c>
      <c r="J1117" s="23">
        <f>INDEX($D$1156:I$1156,MATCH(MAX(J1115,pr_close),$D$1099:I$1099,0))</f>
        <v/>
      </c>
      <c r="K1117" s="23">
        <f>INDEX($D$1156:J$1156,MATCH(MAX(K1115,pr_close),$D$1099:J$1099,0))</f>
        <v/>
      </c>
      <c r="L1117" s="23">
        <f>INDEX($D$1156:K$1156,MATCH(MAX(L1115,pr_close),$D$1099:K$1099,0))</f>
        <v/>
      </c>
      <c r="M1117" s="23">
        <f>INDEX($D$1156:L$1156,MATCH(MAX(M1115,pr_close),$D$1099:L$1099,0))</f>
        <v/>
      </c>
      <c r="N1117" s="23">
        <f>INDEX($D$1156:M$1156,MATCH(MAX(N1115,pr_close),$D$1099:M$1099,0))</f>
        <v/>
      </c>
    </row>
    <row r="1118">
      <c r="B1118" s="2" t="inlineStr">
        <is>
          <t>Embedded cost of debt in the test year</t>
        </is>
      </c>
      <c r="C1118" s="5" t="inlineStr">
        <is>
          <t>rate</t>
        </is>
      </c>
      <c r="E1118" s="27">
        <f>INDEX($D$1160:D$1160,MATCH(MAX(E1115,pr_close),$D$1099:D$1099,0))</f>
        <v/>
      </c>
      <c r="F1118" s="27">
        <f>INDEX($D$1160:E$1160,MATCH(MAX(F1115,pr_close),$D$1099:E$1099,0))</f>
        <v/>
      </c>
      <c r="G1118" s="27">
        <f>INDEX($D$1160:F$1160,MATCH(MAX(G1115,pr_close),$D$1099:F$1099,0))</f>
        <v/>
      </c>
      <c r="H1118" s="27">
        <f>INDEX($D$1160:G$1160,MATCH(MAX(H1115,pr_close),$D$1099:G$1099,0))</f>
        <v/>
      </c>
      <c r="I1118" s="27">
        <f>INDEX($D$1160:H$1160,MATCH(MAX(I1115,pr_close),$D$1099:H$1099,0))</f>
        <v/>
      </c>
      <c r="J1118" s="27">
        <f>INDEX($D$1160:I$1160,MATCH(MAX(J1115,pr_close),$D$1099:I$1099,0))</f>
        <v/>
      </c>
      <c r="K1118" s="27">
        <f>INDEX($D$1160:J$1160,MATCH(MAX(K1115,pr_close),$D$1099:J$1099,0))</f>
        <v/>
      </c>
      <c r="L1118" s="27">
        <f>INDEX($D$1160:K$1160,MATCH(MAX(L1115,pr_close),$D$1099:K$1099,0))</f>
        <v/>
      </c>
      <c r="M1118" s="27">
        <f>INDEX($D$1160:L$1160,MATCH(MAX(M1115,pr_close),$D$1099:L$1099,0))</f>
        <v/>
      </c>
      <c r="N1118" s="27">
        <f>INDEX($D$1160:M$1160,MATCH(MAX(N1115,pr_close),$D$1099:M$1099,0))</f>
        <v/>
      </c>
    </row>
    <row r="1119">
      <c r="B1119" s="2" t="inlineStr">
        <is>
          <t>O&amp;M in the test year</t>
        </is>
      </c>
      <c r="C1119" s="5" t="inlineStr">
        <is>
          <t>$ million</t>
        </is>
      </c>
      <c r="E1119" s="23">
        <f>INDEX($D$1141:D$1141,MATCH(MAX(E1115,pr_close),$D$1099:D$1099,0))</f>
        <v/>
      </c>
      <c r="F1119" s="23">
        <f>INDEX($D$1141:E$1141,MATCH(MAX(F1115,pr_close),$D$1099:E$1099,0))</f>
        <v/>
      </c>
      <c r="G1119" s="23">
        <f>INDEX($D$1141:F$1141,MATCH(MAX(G1115,pr_close),$D$1099:F$1099,0))</f>
        <v/>
      </c>
      <c r="H1119" s="23">
        <f>INDEX($D$1141:G$1141,MATCH(MAX(H1115,pr_close),$D$1099:G$1099,0))</f>
        <v/>
      </c>
      <c r="I1119" s="23">
        <f>INDEX($D$1141:H$1141,MATCH(MAX(I1115,pr_close),$D$1099:H$1099,0))</f>
        <v/>
      </c>
      <c r="J1119" s="23">
        <f>INDEX($D$1141:I$1141,MATCH(MAX(J1115,pr_close),$D$1099:I$1099,0))</f>
        <v/>
      </c>
      <c r="K1119" s="23">
        <f>INDEX($D$1141:J$1141,MATCH(MAX(K1115,pr_close),$D$1099:J$1099,0))</f>
        <v/>
      </c>
      <c r="L1119" s="23">
        <f>INDEX($D$1141:K$1141,MATCH(MAX(L1115,pr_close),$D$1099:K$1099,0))</f>
        <v/>
      </c>
      <c r="M1119" s="23">
        <f>INDEX($D$1141:L$1141,MATCH(MAX(M1115,pr_close),$D$1099:L$1099,0))</f>
        <v/>
      </c>
      <c r="N1119" s="23">
        <f>INDEX($D$1141:M$1141,MATCH(MAX(N1115,pr_close),$D$1099:M$1099,0))</f>
        <v/>
      </c>
    </row>
    <row r="1120">
      <c r="B1120" s="2" t="inlineStr">
        <is>
          <t>Authorized return on rate base</t>
        </is>
      </c>
      <c r="C1120" s="5" t="inlineStr">
        <is>
          <t>rate</t>
        </is>
      </c>
      <c r="E1120" s="27">
        <f>(pr_eq*Inputs!$C$249+(1-pr_eq)*E1118)</f>
        <v/>
      </c>
      <c r="F1120" s="27">
        <f>(pr_eq*Inputs!$C$249+(1-pr_eq)*F1118)</f>
        <v/>
      </c>
      <c r="G1120" s="27">
        <f>(pr_eq*Inputs!$C$249+(1-pr_eq)*G1118)</f>
        <v/>
      </c>
      <c r="H1120" s="27">
        <f>(pr_eq*Inputs!$C$249+(1-pr_eq)*H1118)</f>
        <v/>
      </c>
      <c r="I1120" s="27">
        <f>(pr_eq*Inputs!$C$249+(1-pr_eq)*I1118)</f>
        <v/>
      </c>
      <c r="J1120" s="27">
        <f>(pr_eq*Inputs!$C$249+(1-pr_eq)*J1118)</f>
        <v/>
      </c>
      <c r="K1120" s="27">
        <f>(pr_eq*Inputs!$C$249+(1-pr_eq)*K1118)</f>
        <v/>
      </c>
      <c r="L1120" s="27">
        <f>(pr_eq*Inputs!$C$249+(1-pr_eq)*L1118)</f>
        <v/>
      </c>
      <c r="M1120" s="27">
        <f>(pr_eq*Inputs!$C$249+(1-pr_eq)*M1118)</f>
        <v/>
      </c>
      <c r="N1120" s="27">
        <f>(pr_eq*Inputs!$C$249+(1-pr_eq)*N1118)</f>
        <v/>
      </c>
    </row>
    <row r="1121">
      <c r="B1121" s="2" t="inlineStr">
        <is>
          <t>Return</t>
        </is>
      </c>
      <c r="C1121" s="5" t="inlineStr">
        <is>
          <t>$ million</t>
        </is>
      </c>
      <c r="E1121" s="23">
        <f>E1120*E1117</f>
        <v/>
      </c>
      <c r="F1121" s="23">
        <f>F1120*F1117</f>
        <v/>
      </c>
      <c r="G1121" s="23">
        <f>G1120*G1117</f>
        <v/>
      </c>
      <c r="H1121" s="23">
        <f>H1120*H1117</f>
        <v/>
      </c>
      <c r="I1121" s="23">
        <f>I1120*I1117</f>
        <v/>
      </c>
      <c r="J1121" s="23">
        <f>J1120*J1117</f>
        <v/>
      </c>
      <c r="K1121" s="23">
        <f>K1120*K1117</f>
        <v/>
      </c>
      <c r="L1121" s="23">
        <f>L1120*L1117</f>
        <v/>
      </c>
      <c r="M1121" s="23">
        <f>M1120*M1117</f>
        <v/>
      </c>
      <c r="N1121" s="23">
        <f>N1120*N1117</f>
        <v/>
      </c>
    </row>
    <row r="1122">
      <c r="B1122" s="2" t="inlineStr">
        <is>
          <t>Income tax gross-up</t>
        </is>
      </c>
      <c r="C1122" s="5" t="inlineStr">
        <is>
          <t>$ million</t>
        </is>
      </c>
      <c r="E1122" s="23">
        <f>(pr_eq*Inputs!$C$249*pr_tax/(1-pr_tax))*E1117</f>
        <v/>
      </c>
      <c r="F1122" s="23">
        <f>(pr_eq*Inputs!$C$249*pr_tax/(1-pr_tax))*F1117</f>
        <v/>
      </c>
      <c r="G1122" s="23">
        <f>(pr_eq*Inputs!$C$249*pr_tax/(1-pr_tax))*G1117</f>
        <v/>
      </c>
      <c r="H1122" s="23">
        <f>(pr_eq*Inputs!$C$249*pr_tax/(1-pr_tax))*H1117</f>
        <v/>
      </c>
      <c r="I1122" s="23">
        <f>(pr_eq*Inputs!$C$249*pr_tax/(1-pr_tax))*I1117</f>
        <v/>
      </c>
      <c r="J1122" s="23">
        <f>(pr_eq*Inputs!$C$249*pr_tax/(1-pr_tax))*J1117</f>
        <v/>
      </c>
      <c r="K1122" s="23">
        <f>(pr_eq*Inputs!$C$249*pr_tax/(1-pr_tax))*K1117</f>
        <v/>
      </c>
      <c r="L1122" s="23">
        <f>(pr_eq*Inputs!$C$249*pr_tax/(1-pr_tax))*L1117</f>
        <v/>
      </c>
      <c r="M1122" s="23">
        <f>(pr_eq*Inputs!$C$249*pr_tax/(1-pr_tax))*M1117</f>
        <v/>
      </c>
      <c r="N1122" s="23">
        <f>(pr_eq*Inputs!$C$249*pr_tax/(1-pr_tax))*N1117</f>
        <v/>
      </c>
    </row>
    <row r="1123">
      <c r="B1123" s="2" t="inlineStr">
        <is>
          <t>Depreciation</t>
        </is>
      </c>
      <c r="C1123" s="5" t="inlineStr">
        <is>
          <t>$ million</t>
        </is>
      </c>
      <c r="E1123" s="23">
        <f>pr_dep*E1117</f>
        <v/>
      </c>
      <c r="F1123" s="23">
        <f>pr_dep*F1117</f>
        <v/>
      </c>
      <c r="G1123" s="23">
        <f>pr_dep*G1117</f>
        <v/>
      </c>
      <c r="H1123" s="23">
        <f>pr_dep*H1117</f>
        <v/>
      </c>
      <c r="I1123" s="23">
        <f>pr_dep*I1117</f>
        <v/>
      </c>
      <c r="J1123" s="23">
        <f>pr_dep*J1117</f>
        <v/>
      </c>
      <c r="K1123" s="23">
        <f>pr_dep*K1117</f>
        <v/>
      </c>
      <c r="L1123" s="23">
        <f>pr_dep*L1117</f>
        <v/>
      </c>
      <c r="M1123" s="23">
        <f>pr_dep*M1117</f>
        <v/>
      </c>
      <c r="N1123" s="23">
        <f>pr_dep*N1117</f>
        <v/>
      </c>
    </row>
    <row r="1124">
      <c r="B1124" s="2" t="inlineStr">
        <is>
          <t>Other taxes</t>
        </is>
      </c>
      <c r="C1124" s="5" t="inlineStr">
        <is>
          <t>$ million</t>
        </is>
      </c>
      <c r="E1124" s="23">
        <f>pr_ptax*E1117</f>
        <v/>
      </c>
      <c r="F1124" s="23">
        <f>pr_ptax*F1117</f>
        <v/>
      </c>
      <c r="G1124" s="23">
        <f>pr_ptax*G1117</f>
        <v/>
      </c>
      <c r="H1124" s="23">
        <f>pr_ptax*H1117</f>
        <v/>
      </c>
      <c r="I1124" s="23">
        <f>pr_ptax*I1117</f>
        <v/>
      </c>
      <c r="J1124" s="23">
        <f>pr_ptax*J1117</f>
        <v/>
      </c>
      <c r="K1124" s="23">
        <f>pr_ptax*K1117</f>
        <v/>
      </c>
      <c r="L1124" s="23">
        <f>pr_ptax*L1117</f>
        <v/>
      </c>
      <c r="M1124" s="23">
        <f>pr_ptax*M1117</f>
        <v/>
      </c>
      <c r="N1124" s="23">
        <f>pr_ptax*N1117</f>
        <v/>
      </c>
    </row>
    <row r="1125">
      <c r="B1125" s="2" t="inlineStr">
        <is>
          <t>O&amp;M (test year, known and measurable)</t>
        </is>
      </c>
      <c r="C1125" s="5" t="inlineStr">
        <is>
          <t>$ million</t>
        </is>
      </c>
      <c r="E1125" s="23">
        <f>E1119*(1+Inputs!$C$252)*(1+pr_growth)</f>
        <v/>
      </c>
      <c r="F1125" s="23">
        <f>F1119*(1+Inputs!$C$252)*(1+pr_growth)</f>
        <v/>
      </c>
      <c r="G1125" s="23">
        <f>G1119*(1+Inputs!$C$252)*(1+pr_growth)</f>
        <v/>
      </c>
      <c r="H1125" s="23">
        <f>H1119*(1+Inputs!$C$252)*(1+pr_growth)</f>
        <v/>
      </c>
      <c r="I1125" s="23">
        <f>I1119*(1+Inputs!$C$252)*(1+pr_growth)</f>
        <v/>
      </c>
      <c r="J1125" s="23">
        <f>J1119*(1+Inputs!$C$252)*(1+pr_growth)</f>
        <v/>
      </c>
      <c r="K1125" s="23">
        <f>K1119*(1+Inputs!$C$252)*(1+pr_growth)</f>
        <v/>
      </c>
      <c r="L1125" s="23">
        <f>L1119*(1+Inputs!$C$252)*(1+pr_growth)</f>
        <v/>
      </c>
      <c r="M1125" s="23">
        <f>M1119*(1+Inputs!$C$252)*(1+pr_growth)</f>
        <v/>
      </c>
      <c r="N1125" s="23">
        <f>N1119*(1+Inputs!$C$252)*(1+pr_growth)</f>
        <v/>
      </c>
    </row>
    <row r="1126">
      <c r="B1126" s="2" t="inlineStr">
        <is>
          <t>Revenue requirement (test-year connections)</t>
        </is>
      </c>
      <c r="C1126" s="5" t="inlineStr">
        <is>
          <t>$ million</t>
        </is>
      </c>
      <c r="E1126" s="23">
        <f>SUM(E1121:E1125)</f>
        <v/>
      </c>
      <c r="F1126" s="23">
        <f>SUM(F1121:F1125)</f>
        <v/>
      </c>
      <c r="G1126" s="23">
        <f>SUM(G1121:G1125)</f>
        <v/>
      </c>
      <c r="H1126" s="23">
        <f>SUM(H1121:H1125)</f>
        <v/>
      </c>
      <c r="I1126" s="23">
        <f>SUM(I1121:I1125)</f>
        <v/>
      </c>
      <c r="J1126" s="23">
        <f>SUM(J1121:J1125)</f>
        <v/>
      </c>
      <c r="K1126" s="23">
        <f>SUM(K1121:K1125)</f>
        <v/>
      </c>
      <c r="L1126" s="23">
        <f>SUM(L1121:L1125)</f>
        <v/>
      </c>
      <c r="M1126" s="23">
        <f>SUM(M1121:M1125)</f>
        <v/>
      </c>
      <c r="N1126" s="23">
        <f>SUM(N1121:N1125)</f>
        <v/>
      </c>
    </row>
    <row r="1127">
      <c r="B1127" s="2" t="inlineStr">
        <is>
          <t>Revenue requirement on effective-year connections</t>
        </is>
      </c>
      <c r="C1127" s="5" t="inlineStr">
        <is>
          <t>$ million</t>
        </is>
      </c>
      <c r="E1127" s="23">
        <f>E1126*(1+pr_growth)</f>
        <v/>
      </c>
      <c r="F1127" s="23">
        <f>F1126*(1+pr_growth)</f>
        <v/>
      </c>
      <c r="G1127" s="23">
        <f>G1126*(1+pr_growth)</f>
        <v/>
      </c>
      <c r="H1127" s="23">
        <f>H1126*(1+pr_growth)</f>
        <v/>
      </c>
      <c r="I1127" s="23">
        <f>I1126*(1+pr_growth)</f>
        <v/>
      </c>
      <c r="J1127" s="23">
        <f>J1126*(1+pr_growth)</f>
        <v/>
      </c>
      <c r="K1127" s="23">
        <f>K1126*(1+pr_growth)</f>
        <v/>
      </c>
      <c r="L1127" s="23">
        <f>L1126*(1+pr_growth)</f>
        <v/>
      </c>
      <c r="M1127" s="23">
        <f>M1126*(1+pr_growth)</f>
        <v/>
      </c>
      <c r="N1127" s="23">
        <f>N1126*(1+pr_growth)</f>
        <v/>
      </c>
    </row>
    <row r="1128">
      <c r="B1128" s="2" t="inlineStr">
        <is>
          <t>Revenue at existing rates</t>
        </is>
      </c>
      <c r="C1128" s="5" t="inlineStr">
        <is>
          <t>$ million</t>
        </is>
      </c>
      <c r="E1128" s="23">
        <f>IF(E1099=(pr_close+1),D1134,D1134*(1+pr_growth)*(1-pr_vol_share*IF(pr_decoupling=1,0,pr_usage))+D1135+D1137)</f>
        <v/>
      </c>
      <c r="F1128" s="23">
        <f>IF(F1099=(pr_close+1),E1134,E1134*(1+pr_growth)*(1-pr_vol_share*IF(pr_decoupling=1,0,pr_usage))+E1135+E1137)</f>
        <v/>
      </c>
      <c r="G1128" s="23">
        <f>IF(G1099=(pr_close+1),F1134,F1134*(1+pr_growth)*(1-pr_vol_share*IF(pr_decoupling=1,0,pr_usage))+F1135+F1137)</f>
        <v/>
      </c>
      <c r="H1128" s="23">
        <f>IF(H1099=(pr_close+1),G1134,G1134*(1+pr_growth)*(1-pr_vol_share*IF(pr_decoupling=1,0,pr_usage))+G1135+G1137)</f>
        <v/>
      </c>
      <c r="I1128" s="23">
        <f>IF(I1099=(pr_close+1),H1134,H1134*(1+pr_growth)*(1-pr_vol_share*IF(pr_decoupling=1,0,pr_usage))+H1135+H1137)</f>
        <v/>
      </c>
      <c r="J1128" s="23">
        <f>IF(J1099=(pr_close+1),I1134,I1134*(1+pr_growth)*(1-pr_vol_share*IF(pr_decoupling=1,0,pr_usage))+I1135+I1137)</f>
        <v/>
      </c>
      <c r="K1128" s="23">
        <f>IF(K1099=(pr_close+1),J1134,J1134*(1+pr_growth)*(1-pr_vol_share*IF(pr_decoupling=1,0,pr_usage))+J1135+J1137)</f>
        <v/>
      </c>
      <c r="L1128" s="23">
        <f>IF(L1099=(pr_close+1),K1134,K1134*(1+pr_growth)*(1-pr_vol_share*IF(pr_decoupling=1,0,pr_usage))+K1135+K1137)</f>
        <v/>
      </c>
      <c r="M1128" s="23">
        <f>IF(M1099=(pr_close+1),L1134,L1134*(1+pr_growth)*(1-pr_vol_share*IF(pr_decoupling=1,0,pr_usage))+L1135+L1137)</f>
        <v/>
      </c>
      <c r="N1128" s="23">
        <f>IF(N1099=(pr_close+1),M1134,M1134*(1+pr_growth)*(1-pr_vol_share*IF(pr_decoupling=1,0,pr_usage))+M1135+M1137)</f>
        <v/>
      </c>
    </row>
    <row r="1129">
      <c r="B1129" s="2" t="inlineStr">
        <is>
          <t>Increase granted</t>
        </is>
      </c>
      <c r="C1129" s="5" t="inlineStr">
        <is>
          <t>share</t>
        </is>
      </c>
      <c r="E1129" s="20">
        <f>E1127/E1128-1</f>
        <v/>
      </c>
      <c r="F1129" s="20">
        <f>F1127/F1128-1</f>
        <v/>
      </c>
      <c r="G1129" s="20">
        <f>G1127/G1128-1</f>
        <v/>
      </c>
      <c r="H1129" s="20">
        <f>H1127/H1128-1</f>
        <v/>
      </c>
      <c r="I1129" s="20">
        <f>I1127/I1128-1</f>
        <v/>
      </c>
      <c r="J1129" s="20">
        <f>J1127/J1128-1</f>
        <v/>
      </c>
      <c r="K1129" s="20">
        <f>K1127/K1128-1</f>
        <v/>
      </c>
      <c r="L1129" s="20">
        <f>L1127/L1128-1</f>
        <v/>
      </c>
      <c r="M1129" s="20">
        <f>M1127/M1128-1</f>
        <v/>
      </c>
      <c r="N1129" s="20">
        <f>N1127/N1128-1</f>
        <v/>
      </c>
    </row>
    <row r="1130">
      <c r="B1130" s="2" t="inlineStr">
        <is>
          <t>Revenue requirement requested (at the requested ROE)</t>
        </is>
      </c>
      <c r="C1130" s="5" t="inlineStr">
        <is>
          <t>$ million</t>
        </is>
      </c>
      <c r="E1130" s="23">
        <f>(pr_eq*pr_roe_ask+(1-pr_eq)*E1118)*E1117+pr_eq*pr_roe_ask*E1117*pr_tax/(1-pr_tax)+E1123+E1124+E1125</f>
        <v/>
      </c>
      <c r="F1130" s="23">
        <f>(pr_eq*pr_roe_ask+(1-pr_eq)*F1118)*F1117+pr_eq*pr_roe_ask*F1117*pr_tax/(1-pr_tax)+F1123+F1124+F1125</f>
        <v/>
      </c>
      <c r="G1130" s="23">
        <f>(pr_eq*pr_roe_ask+(1-pr_eq)*G1118)*G1117+pr_eq*pr_roe_ask*G1117*pr_tax/(1-pr_tax)+G1123+G1124+G1125</f>
        <v/>
      </c>
      <c r="H1130" s="23">
        <f>(pr_eq*pr_roe_ask+(1-pr_eq)*H1118)*H1117+pr_eq*pr_roe_ask*H1117*pr_tax/(1-pr_tax)+H1123+H1124+H1125</f>
        <v/>
      </c>
      <c r="I1130" s="23">
        <f>(pr_eq*pr_roe_ask+(1-pr_eq)*I1118)*I1117+pr_eq*pr_roe_ask*I1117*pr_tax/(1-pr_tax)+I1123+I1124+I1125</f>
        <v/>
      </c>
      <c r="J1130" s="23">
        <f>(pr_eq*pr_roe_ask+(1-pr_eq)*J1118)*J1117+pr_eq*pr_roe_ask*J1117*pr_tax/(1-pr_tax)+J1123+J1124+J1125</f>
        <v/>
      </c>
      <c r="K1130" s="23">
        <f>(pr_eq*pr_roe_ask+(1-pr_eq)*K1118)*K1117+pr_eq*pr_roe_ask*K1117*pr_tax/(1-pr_tax)+K1123+K1124+K1125</f>
        <v/>
      </c>
      <c r="L1130" s="23">
        <f>(pr_eq*pr_roe_ask+(1-pr_eq)*L1118)*L1117+pr_eq*pr_roe_ask*L1117*pr_tax/(1-pr_tax)+L1123+L1124+L1125</f>
        <v/>
      </c>
      <c r="M1130" s="23">
        <f>(pr_eq*pr_roe_ask+(1-pr_eq)*M1118)*M1117+pr_eq*pr_roe_ask*M1117*pr_tax/(1-pr_tax)+M1123+M1124+M1125</f>
        <v/>
      </c>
      <c r="N1130" s="23">
        <f>(pr_eq*pr_roe_ask+(1-pr_eq)*N1118)*N1117+pr_eq*pr_roe_ask*N1117*pr_tax/(1-pr_tax)+N1123+N1124+N1125</f>
        <v/>
      </c>
    </row>
    <row r="1131">
      <c r="B1131" s="2" t="inlineStr">
        <is>
          <t>Increase requested</t>
        </is>
      </c>
      <c r="C1131" s="5" t="inlineStr">
        <is>
          <t>share</t>
        </is>
      </c>
      <c r="E1131" s="20">
        <f>E1130*(1+pr_growth)/E1128-1</f>
        <v/>
      </c>
      <c r="F1131" s="20">
        <f>F1130*(1+pr_growth)/F1128-1</f>
        <v/>
      </c>
      <c r="G1131" s="20">
        <f>G1130*(1+pr_growth)/G1128-1</f>
        <v/>
      </c>
      <c r="H1131" s="20">
        <f>H1130*(1+pr_growth)/H1128-1</f>
        <v/>
      </c>
      <c r="I1131" s="20">
        <f>I1130*(1+pr_growth)/I1128-1</f>
        <v/>
      </c>
      <c r="J1131" s="20">
        <f>J1130*(1+pr_growth)/J1128-1</f>
        <v/>
      </c>
      <c r="K1131" s="20">
        <f>K1130*(1+pr_growth)/K1128-1</f>
        <v/>
      </c>
      <c r="L1131" s="20">
        <f>L1130*(1+pr_growth)/L1128-1</f>
        <v/>
      </c>
      <c r="M1131" s="20">
        <f>M1130*(1+pr_growth)/M1128-1</f>
        <v/>
      </c>
      <c r="N1131" s="20">
        <f>N1130*(1+pr_growth)/N1128-1</f>
        <v/>
      </c>
    </row>
    <row r="1133">
      <c r="B1133" s="6" t="inlineStr">
        <is>
          <t>Revenue ($ million)</t>
        </is>
      </c>
      <c r="C1133" s="7" t="n"/>
      <c r="D1133" s="7" t="n"/>
      <c r="E1133" s="7" t="n"/>
      <c r="F1133" s="7" t="n"/>
      <c r="G1133" s="7" t="n"/>
      <c r="H1133" s="7" t="n"/>
      <c r="I1133" s="7" t="n"/>
      <c r="J1133" s="7" t="n"/>
      <c r="K1133" s="7" t="n"/>
      <c r="L1133" s="7" t="n"/>
      <c r="M1133" s="7" t="n"/>
      <c r="N1133" s="7" t="n"/>
    </row>
    <row r="1134">
      <c r="B1134" s="2" t="inlineStr">
        <is>
          <t>Base revenue (rate case, or prior year x growth x volume erosion)</t>
        </is>
      </c>
      <c r="C1134" s="5" t="inlineStr">
        <is>
          <t>$ million</t>
        </is>
      </c>
      <c r="D1134" s="23">
        <f>pr_rev_2028/((1+pr_growth)*(1-pr_vol_share*IF(pr_decoupling=1,0,pr_usage)))</f>
        <v/>
      </c>
      <c r="E1134" s="23">
        <f>IF(E1114=1,E1127,D1134*(1+pr_growth)*(1-pr_vol_share*IF(pr_decoupling=1,0,pr_usage)))</f>
        <v/>
      </c>
      <c r="F1134" s="23">
        <f>IF(F1114=1,F1127,E1134*(1+pr_growth)*(1-pr_vol_share*IF(pr_decoupling=1,0,pr_usage)))</f>
        <v/>
      </c>
      <c r="G1134" s="23">
        <f>IF(G1114=1,G1127,F1134*(1+pr_growth)*(1-pr_vol_share*IF(pr_decoupling=1,0,pr_usage)))</f>
        <v/>
      </c>
      <c r="H1134" s="23">
        <f>IF(H1114=1,H1127,G1134*(1+pr_growth)*(1-pr_vol_share*IF(pr_decoupling=1,0,pr_usage)))</f>
        <v/>
      </c>
      <c r="I1134" s="23">
        <f>IF(I1114=1,I1127,H1134*(1+pr_growth)*(1-pr_vol_share*IF(pr_decoupling=1,0,pr_usage)))</f>
        <v/>
      </c>
      <c r="J1134" s="23">
        <f>IF(J1114=1,J1127,I1134*(1+pr_growth)*(1-pr_vol_share*IF(pr_decoupling=1,0,pr_usage)))</f>
        <v/>
      </c>
      <c r="K1134" s="23">
        <f>IF(K1114=1,K1127,J1134*(1+pr_growth)*(1-pr_vol_share*IF(pr_decoupling=1,0,pr_usage)))</f>
        <v/>
      </c>
      <c r="L1134" s="23">
        <f>IF(L1114=1,L1127,K1134*(1+pr_growth)*(1-pr_vol_share*IF(pr_decoupling=1,0,pr_usage)))</f>
        <v/>
      </c>
      <c r="M1134" s="23">
        <f>IF(M1114=1,M1127,L1134*(1+pr_growth)*(1-pr_vol_share*IF(pr_decoupling=1,0,pr_usage)))</f>
        <v/>
      </c>
      <c r="N1134" s="23">
        <f>IF(N1114=1,N1127,M1134*(1+pr_growth)*(1-pr_vol_share*IF(pr_decoupling=1,0,pr_usage)))</f>
        <v/>
      </c>
    </row>
    <row r="1135">
      <c r="B1135" s="2" t="inlineStr">
        <is>
          <t>Fennick revenue at its old rates (until the next rate case)</t>
        </is>
      </c>
      <c r="C1135" s="5" t="inlineStr">
        <is>
          <t>$ million</t>
        </is>
      </c>
      <c r="E1135" s="23">
        <f>IF(AND(pr_fen_on=1,E1099&gt;pr_fen_year,SUMIFS($D$1114:E$1114,$D$1099:E$1099,"&gt;"&amp;pr_fen_year)=0),pr_fen_rev,0)</f>
        <v/>
      </c>
      <c r="F1135" s="23">
        <f>IF(AND(pr_fen_on=1,F1099&gt;pr_fen_year,SUMIFS($D$1114:F$1114,$D$1099:F$1099,"&gt;"&amp;pr_fen_year)=0),pr_fen_rev,0)</f>
        <v/>
      </c>
      <c r="G1135" s="23">
        <f>IF(AND(pr_fen_on=1,G1099&gt;pr_fen_year,SUMIFS($D$1114:G$1114,$D$1099:G$1099,"&gt;"&amp;pr_fen_year)=0),pr_fen_rev,0)</f>
        <v/>
      </c>
      <c r="H1135" s="23">
        <f>IF(AND(pr_fen_on=1,H1099&gt;pr_fen_year,SUMIFS($D$1114:H$1114,$D$1099:H$1099,"&gt;"&amp;pr_fen_year)=0),pr_fen_rev,0)</f>
        <v/>
      </c>
      <c r="I1135" s="23">
        <f>IF(AND(pr_fen_on=1,I1099&gt;pr_fen_year,SUMIFS($D$1114:I$1114,$D$1099:I$1099,"&gt;"&amp;pr_fen_year)=0),pr_fen_rev,0)</f>
        <v/>
      </c>
      <c r="J1135" s="23">
        <f>IF(AND(pr_fen_on=1,J1099&gt;pr_fen_year,SUMIFS($D$1114:J$1114,$D$1099:J$1099,"&gt;"&amp;pr_fen_year)=0),pr_fen_rev,0)</f>
        <v/>
      </c>
      <c r="K1135" s="23">
        <f>IF(AND(pr_fen_on=1,K1099&gt;pr_fen_year,SUMIFS($D$1114:K$1114,$D$1099:K$1099,"&gt;"&amp;pr_fen_year)=0),pr_fen_rev,0)</f>
        <v/>
      </c>
      <c r="L1135" s="23">
        <f>IF(AND(pr_fen_on=1,L1099&gt;pr_fen_year,SUMIFS($D$1114:L$1114,$D$1099:L$1099,"&gt;"&amp;pr_fen_year)=0),pr_fen_rev,0)</f>
        <v/>
      </c>
      <c r="M1135" s="23">
        <f>IF(AND(pr_fen_on=1,M1099&gt;pr_fen_year,SUMIFS($D$1114:M$1114,$D$1099:M$1099,"&gt;"&amp;pr_fen_year)=0),pr_fen_rev,0)</f>
        <v/>
      </c>
      <c r="N1135" s="23">
        <f>IF(AND(pr_fen_on=1,N1099&gt;pr_fen_year,SUMIFS($D$1114:N$1114,$D$1099:N$1099,"&gt;"&amp;pr_fen_year)=0),pr_fen_rev,0)</f>
        <v/>
      </c>
    </row>
    <row r="1136">
      <c r="B1136" s="2" t="inlineStr">
        <is>
          <t>DSIC pool: eligible plant since the latest test year</t>
        </is>
      </c>
      <c r="C1136" s="5" t="inlineStr">
        <is>
          <t>$ million</t>
        </is>
      </c>
      <c r="E1136" s="23">
        <f>IF(E1099=(pr_close+1),0,SUMIFS($D$1111:D$1111,$D$1099:D$1099,"&gt;"&amp;E1116))</f>
        <v/>
      </c>
      <c r="F1136" s="23">
        <f>IF(F1099=(pr_close+1),0,SUMIFS($D$1111:E$1111,$D$1099:E$1099,"&gt;"&amp;F1116))</f>
        <v/>
      </c>
      <c r="G1136" s="23">
        <f>IF(G1099=(pr_close+1),0,SUMIFS($D$1111:F$1111,$D$1099:F$1099,"&gt;"&amp;G1116))</f>
        <v/>
      </c>
      <c r="H1136" s="23">
        <f>IF(H1099=(pr_close+1),0,SUMIFS($D$1111:G$1111,$D$1099:G$1099,"&gt;"&amp;H1116))</f>
        <v/>
      </c>
      <c r="I1136" s="23">
        <f>IF(I1099=(pr_close+1),0,SUMIFS($D$1111:H$1111,$D$1099:H$1099,"&gt;"&amp;I1116))</f>
        <v/>
      </c>
      <c r="J1136" s="23">
        <f>IF(J1099=(pr_close+1),0,SUMIFS($D$1111:I$1111,$D$1099:I$1099,"&gt;"&amp;J1116))</f>
        <v/>
      </c>
      <c r="K1136" s="23">
        <f>IF(K1099=(pr_close+1),0,SUMIFS($D$1111:J$1111,$D$1099:J$1099,"&gt;"&amp;K1116))</f>
        <v/>
      </c>
      <c r="L1136" s="23">
        <f>IF(L1099=(pr_close+1),0,SUMIFS($D$1111:K$1111,$D$1099:K$1099,"&gt;"&amp;L1116))</f>
        <v/>
      </c>
      <c r="M1136" s="23">
        <f>IF(M1099=(pr_close+1),0,SUMIFS($D$1111:L$1111,$D$1099:L$1099,"&gt;"&amp;M1116))</f>
        <v/>
      </c>
      <c r="N1136" s="23">
        <f>IF(N1099=(pr_close+1),0,SUMIFS($D$1111:M$1111,$D$1099:M$1099,"&gt;"&amp;N1116))</f>
        <v/>
      </c>
    </row>
    <row r="1137">
      <c r="B1137" s="2" t="inlineStr">
        <is>
          <t>DSIC surcharge (capped)</t>
        </is>
      </c>
      <c r="C1137" s="5" t="inlineStr">
        <is>
          <t>$ million</t>
        </is>
      </c>
      <c r="E1137" s="23">
        <f>IF(AND(pr_dsic=1,E1099&gt;(pr_close+1)),MIN(pr_dsic_cap*E1134,E1136*((pr_eq*Inputs!$C$249+(1-pr_eq)*D1160)+(pr_eq*Inputs!$C$249*pr_tax/(1-pr_tax))+pr_dep)),0)</f>
        <v/>
      </c>
      <c r="F1137" s="23">
        <f>IF(AND(pr_dsic=1,F1099&gt;(pr_close+1)),MIN(pr_dsic_cap*F1134,F1136*((pr_eq*Inputs!$C$249+(1-pr_eq)*E1160)+(pr_eq*Inputs!$C$249*pr_tax/(1-pr_tax))+pr_dep)),0)</f>
        <v/>
      </c>
      <c r="G1137" s="23">
        <f>IF(AND(pr_dsic=1,G1099&gt;(pr_close+1)),MIN(pr_dsic_cap*G1134,G1136*((pr_eq*Inputs!$C$249+(1-pr_eq)*F1160)+(pr_eq*Inputs!$C$249*pr_tax/(1-pr_tax))+pr_dep)),0)</f>
        <v/>
      </c>
      <c r="H1137" s="23">
        <f>IF(AND(pr_dsic=1,H1099&gt;(pr_close+1)),MIN(pr_dsic_cap*H1134,H1136*((pr_eq*Inputs!$C$249+(1-pr_eq)*G1160)+(pr_eq*Inputs!$C$249*pr_tax/(1-pr_tax))+pr_dep)),0)</f>
        <v/>
      </c>
      <c r="I1137" s="23">
        <f>IF(AND(pr_dsic=1,I1099&gt;(pr_close+1)),MIN(pr_dsic_cap*I1134,I1136*((pr_eq*Inputs!$C$249+(1-pr_eq)*H1160)+(pr_eq*Inputs!$C$249*pr_tax/(1-pr_tax))+pr_dep)),0)</f>
        <v/>
      </c>
      <c r="J1137" s="23">
        <f>IF(AND(pr_dsic=1,J1099&gt;(pr_close+1)),MIN(pr_dsic_cap*J1134,J1136*((pr_eq*Inputs!$C$249+(1-pr_eq)*I1160)+(pr_eq*Inputs!$C$249*pr_tax/(1-pr_tax))+pr_dep)),0)</f>
        <v/>
      </c>
      <c r="K1137" s="23">
        <f>IF(AND(pr_dsic=1,K1099&gt;(pr_close+1)),MIN(pr_dsic_cap*K1134,K1136*((pr_eq*Inputs!$C$249+(1-pr_eq)*J1160)+(pr_eq*Inputs!$C$249*pr_tax/(1-pr_tax))+pr_dep)),0)</f>
        <v/>
      </c>
      <c r="L1137" s="23">
        <f>IF(AND(pr_dsic=1,L1099&gt;(pr_close+1)),MIN(pr_dsic_cap*L1134,L1136*((pr_eq*Inputs!$C$249+(1-pr_eq)*K1160)+(pr_eq*Inputs!$C$249*pr_tax/(1-pr_tax))+pr_dep)),0)</f>
        <v/>
      </c>
      <c r="M1137" s="23">
        <f>IF(AND(pr_dsic=1,M1099&gt;(pr_close+1)),MIN(pr_dsic_cap*M1134,M1136*((pr_eq*Inputs!$C$249+(1-pr_eq)*L1160)+(pr_eq*Inputs!$C$249*pr_tax/(1-pr_tax))+pr_dep)),0)</f>
        <v/>
      </c>
      <c r="N1137" s="23">
        <f>IF(AND(pr_dsic=1,N1099&gt;(pr_close+1)),MIN(pr_dsic_cap*N1134,N1136*((pr_eq*Inputs!$C$249+(1-pr_eq)*M1160)+(pr_eq*Inputs!$C$249*pr_tax/(1-pr_tax))+pr_dep)),0)</f>
        <v/>
      </c>
    </row>
    <row r="1138">
      <c r="B1138" s="3" t="inlineStr">
        <is>
          <t>Revenue</t>
        </is>
      </c>
      <c r="C1138" s="5" t="inlineStr">
        <is>
          <t>$ million</t>
        </is>
      </c>
      <c r="E1138" s="23">
        <f>E1134+E1135+E1137</f>
        <v/>
      </c>
      <c r="F1138" s="23">
        <f>F1134+F1135+F1137</f>
        <v/>
      </c>
      <c r="G1138" s="23">
        <f>G1134+G1135+G1137</f>
        <v/>
      </c>
      <c r="H1138" s="23">
        <f>H1134+H1135+H1137</f>
        <v/>
      </c>
      <c r="I1138" s="23">
        <f>I1134+I1135+I1137</f>
        <v/>
      </c>
      <c r="J1138" s="23">
        <f>J1134+J1135+J1137</f>
        <v/>
      </c>
      <c r="K1138" s="23">
        <f>K1134+K1135+K1137</f>
        <v/>
      </c>
      <c r="L1138" s="23">
        <f>L1134+L1135+L1137</f>
        <v/>
      </c>
      <c r="M1138" s="23">
        <f>M1134+M1135+M1137</f>
        <v/>
      </c>
      <c r="N1138" s="23">
        <f>N1134+N1135+N1137</f>
        <v/>
      </c>
    </row>
    <row r="1140">
      <c r="B1140" s="6" t="inlineStr">
        <is>
          <t>Costs and income ($ million)</t>
        </is>
      </c>
      <c r="C1140" s="7" t="n"/>
      <c r="D1140" s="7" t="n"/>
      <c r="E1140" s="7" t="n"/>
      <c r="F1140" s="7" t="n"/>
      <c r="G1140" s="7" t="n"/>
      <c r="H1140" s="7" t="n"/>
      <c r="I1140" s="7" t="n"/>
      <c r="J1140" s="7" t="n"/>
      <c r="K1140" s="7" t="n"/>
      <c r="L1140" s="7" t="n"/>
      <c r="M1140" s="7" t="n"/>
      <c r="N1140" s="7" t="n"/>
    </row>
    <row r="1141">
      <c r="B1141" s="2" t="inlineStr">
        <is>
          <t>Operation and maintenance (with PFAS and Fennick)</t>
        </is>
      </c>
      <c r="C1141" s="5" t="inlineStr">
        <is>
          <t>$ million</t>
        </is>
      </c>
      <c r="D1141" s="23">
        <f>pr_om_2028/((1+Inputs!$C$252)*(1+pr_growth))</f>
        <v/>
      </c>
      <c r="E1141" s="23">
        <f>pr_om_2028*((1+Inputs!$C$252)*(1+pr_growth))^E1100+IF(E1099&gt;=pr_pfas_om_y+pr_pfas_delay,Inputs!$C$253*(1+pr_pfas_om_esc)^(E1099-pr_pfas_om_y),0)+IF(AND(pr_fen_on=1,E1099&gt;pr_fen_year),pr_fen_om*(1+pr_fen_esc)^(E1099-pr_fen_year-1),0)</f>
        <v/>
      </c>
      <c r="F1141" s="23">
        <f>pr_om_2028*((1+Inputs!$C$252)*(1+pr_growth))^F1100+IF(F1099&gt;=pr_pfas_om_y+pr_pfas_delay,Inputs!$C$253*(1+pr_pfas_om_esc)^(F1099-pr_pfas_om_y),0)+IF(AND(pr_fen_on=1,F1099&gt;pr_fen_year),pr_fen_om*(1+pr_fen_esc)^(F1099-pr_fen_year-1),0)</f>
        <v/>
      </c>
      <c r="G1141" s="23">
        <f>pr_om_2028*((1+Inputs!$C$252)*(1+pr_growth))^G1100+IF(G1099&gt;=pr_pfas_om_y+pr_pfas_delay,Inputs!$C$253*(1+pr_pfas_om_esc)^(G1099-pr_pfas_om_y),0)+IF(AND(pr_fen_on=1,G1099&gt;pr_fen_year),pr_fen_om*(1+pr_fen_esc)^(G1099-pr_fen_year-1),0)</f>
        <v/>
      </c>
      <c r="H1141" s="23">
        <f>pr_om_2028*((1+Inputs!$C$252)*(1+pr_growth))^H1100+IF(H1099&gt;=pr_pfas_om_y+pr_pfas_delay,Inputs!$C$253*(1+pr_pfas_om_esc)^(H1099-pr_pfas_om_y),0)+IF(AND(pr_fen_on=1,H1099&gt;pr_fen_year),pr_fen_om*(1+pr_fen_esc)^(H1099-pr_fen_year-1),0)</f>
        <v/>
      </c>
      <c r="I1141" s="23">
        <f>pr_om_2028*((1+Inputs!$C$252)*(1+pr_growth))^I1100+IF(I1099&gt;=pr_pfas_om_y+pr_pfas_delay,Inputs!$C$253*(1+pr_pfas_om_esc)^(I1099-pr_pfas_om_y),0)+IF(AND(pr_fen_on=1,I1099&gt;pr_fen_year),pr_fen_om*(1+pr_fen_esc)^(I1099-pr_fen_year-1),0)</f>
        <v/>
      </c>
      <c r="J1141" s="23">
        <f>pr_om_2028*((1+Inputs!$C$252)*(1+pr_growth))^J1100+IF(J1099&gt;=pr_pfas_om_y+pr_pfas_delay,Inputs!$C$253*(1+pr_pfas_om_esc)^(J1099-pr_pfas_om_y),0)+IF(AND(pr_fen_on=1,J1099&gt;pr_fen_year),pr_fen_om*(1+pr_fen_esc)^(J1099-pr_fen_year-1),0)</f>
        <v/>
      </c>
      <c r="K1141" s="23">
        <f>pr_om_2028*((1+Inputs!$C$252)*(1+pr_growth))^K1100+IF(K1099&gt;=pr_pfas_om_y+pr_pfas_delay,Inputs!$C$253*(1+pr_pfas_om_esc)^(K1099-pr_pfas_om_y),0)+IF(AND(pr_fen_on=1,K1099&gt;pr_fen_year),pr_fen_om*(1+pr_fen_esc)^(K1099-pr_fen_year-1),0)</f>
        <v/>
      </c>
      <c r="L1141" s="23">
        <f>pr_om_2028*((1+Inputs!$C$252)*(1+pr_growth))^L1100+IF(L1099&gt;=pr_pfas_om_y+pr_pfas_delay,Inputs!$C$253*(1+pr_pfas_om_esc)^(L1099-pr_pfas_om_y),0)+IF(AND(pr_fen_on=1,L1099&gt;pr_fen_year),pr_fen_om*(1+pr_fen_esc)^(L1099-pr_fen_year-1),0)</f>
        <v/>
      </c>
      <c r="M1141" s="23">
        <f>pr_om_2028*((1+Inputs!$C$252)*(1+pr_growth))^M1100+IF(M1099&gt;=pr_pfas_om_y+pr_pfas_delay,Inputs!$C$253*(1+pr_pfas_om_esc)^(M1099-pr_pfas_om_y),0)+IF(AND(pr_fen_on=1,M1099&gt;pr_fen_year),pr_fen_om*(1+pr_fen_esc)^(M1099-pr_fen_year-1),0)</f>
        <v/>
      </c>
      <c r="N1141" s="23">
        <f>pr_om_2028*((1+Inputs!$C$252)*(1+pr_growth))^N1100+IF(N1099&gt;=pr_pfas_om_y+pr_pfas_delay,Inputs!$C$253*(1+pr_pfas_om_esc)^(N1099-pr_pfas_om_y),0)+IF(AND(pr_fen_on=1,N1099&gt;pr_fen_year),pr_fen_om*(1+pr_fen_esc)^(N1099-pr_fen_year-1),0)</f>
        <v/>
      </c>
    </row>
    <row r="1142">
      <c r="B1142" s="2" t="inlineStr">
        <is>
          <t>Customer-side lead cost expensed</t>
        </is>
      </c>
      <c r="C1142" s="5" t="inlineStr">
        <is>
          <t>$ million</t>
        </is>
      </c>
      <c r="E1142" s="23">
        <f>pr_lead_exp*E1108*pr_lead_cust</f>
        <v/>
      </c>
      <c r="F1142" s="23">
        <f>pr_lead_exp*F1108*pr_lead_cust</f>
        <v/>
      </c>
      <c r="G1142" s="23">
        <f>pr_lead_exp*G1108*pr_lead_cust</f>
        <v/>
      </c>
      <c r="H1142" s="23">
        <f>pr_lead_exp*H1108*pr_lead_cust</f>
        <v/>
      </c>
      <c r="I1142" s="23">
        <f>pr_lead_exp*I1108*pr_lead_cust</f>
        <v/>
      </c>
      <c r="J1142" s="23">
        <f>pr_lead_exp*J1108*pr_lead_cust</f>
        <v/>
      </c>
      <c r="K1142" s="23">
        <f>pr_lead_exp*K1108*pr_lead_cust</f>
        <v/>
      </c>
      <c r="L1142" s="23">
        <f>pr_lead_exp*L1108*pr_lead_cust</f>
        <v/>
      </c>
      <c r="M1142" s="23">
        <f>pr_lead_exp*M1108*pr_lead_cust</f>
        <v/>
      </c>
      <c r="N1142" s="23">
        <f>pr_lead_exp*N1108*pr_lead_cust</f>
        <v/>
      </c>
    </row>
    <row r="1143">
      <c r="B1143" s="2" t="inlineStr">
        <is>
          <t>Other taxes</t>
        </is>
      </c>
      <c r="C1143" s="5" t="inlineStr">
        <is>
          <t>$ million</t>
        </is>
      </c>
      <c r="E1143" s="23">
        <f>pr_ptax*E1152</f>
        <v/>
      </c>
      <c r="F1143" s="23">
        <f>pr_ptax*F1152</f>
        <v/>
      </c>
      <c r="G1143" s="23">
        <f>pr_ptax*G1152</f>
        <v/>
      </c>
      <c r="H1143" s="23">
        <f>pr_ptax*H1152</f>
        <v/>
      </c>
      <c r="I1143" s="23">
        <f>pr_ptax*I1152</f>
        <v/>
      </c>
      <c r="J1143" s="23">
        <f>pr_ptax*J1152</f>
        <v/>
      </c>
      <c r="K1143" s="23">
        <f>pr_ptax*K1152</f>
        <v/>
      </c>
      <c r="L1143" s="23">
        <f>pr_ptax*L1152</f>
        <v/>
      </c>
      <c r="M1143" s="23">
        <f>pr_ptax*M1152</f>
        <v/>
      </c>
      <c r="N1143" s="23">
        <f>pr_ptax*N1152</f>
        <v/>
      </c>
    </row>
    <row r="1144">
      <c r="B1144" s="2" t="inlineStr">
        <is>
          <t>EBITDA</t>
        </is>
      </c>
      <c r="C1144" s="5" t="inlineStr">
        <is>
          <t>$ million</t>
        </is>
      </c>
      <c r="E1144" s="23">
        <f>E1138-E1141-E1143-E1142</f>
        <v/>
      </c>
      <c r="F1144" s="23">
        <f>F1138-F1141-F1143-F1142</f>
        <v/>
      </c>
      <c r="G1144" s="23">
        <f>G1138-G1141-G1143-G1142</f>
        <v/>
      </c>
      <c r="H1144" s="23">
        <f>H1138-H1141-H1143-H1142</f>
        <v/>
      </c>
      <c r="I1144" s="23">
        <f>I1138-I1141-I1143-I1142</f>
        <v/>
      </c>
      <c r="J1144" s="23">
        <f>J1138-J1141-J1143-J1142</f>
        <v/>
      </c>
      <c r="K1144" s="23">
        <f>K1138-K1141-K1143-K1142</f>
        <v/>
      </c>
      <c r="L1144" s="23">
        <f>L1138-L1141-L1143-L1142</f>
        <v/>
      </c>
      <c r="M1144" s="23">
        <f>M1138-M1141-M1143-M1142</f>
        <v/>
      </c>
      <c r="N1144" s="23">
        <f>N1138-N1141-N1143-N1142</f>
        <v/>
      </c>
    </row>
    <row r="1145">
      <c r="B1145" s="2" t="inlineStr">
        <is>
          <t>Depreciation</t>
        </is>
      </c>
      <c r="C1145" s="5" t="inlineStr">
        <is>
          <t>$ million</t>
        </is>
      </c>
      <c r="E1145" s="23">
        <f>pr_dep*E1152</f>
        <v/>
      </c>
      <c r="F1145" s="23">
        <f>pr_dep*F1152</f>
        <v/>
      </c>
      <c r="G1145" s="23">
        <f>pr_dep*G1152</f>
        <v/>
      </c>
      <c r="H1145" s="23">
        <f>pr_dep*H1152</f>
        <v/>
      </c>
      <c r="I1145" s="23">
        <f>pr_dep*I1152</f>
        <v/>
      </c>
      <c r="J1145" s="23">
        <f>pr_dep*J1152</f>
        <v/>
      </c>
      <c r="K1145" s="23">
        <f>pr_dep*K1152</f>
        <v/>
      </c>
      <c r="L1145" s="23">
        <f>pr_dep*L1152</f>
        <v/>
      </c>
      <c r="M1145" s="23">
        <f>pr_dep*M1152</f>
        <v/>
      </c>
      <c r="N1145" s="23">
        <f>pr_dep*N1152</f>
        <v/>
      </c>
    </row>
    <row r="1146">
      <c r="B1146" s="2" t="inlineStr">
        <is>
          <t>Interest (average of opening and closing debt)</t>
        </is>
      </c>
      <c r="C1146" s="5" t="inlineStr">
        <is>
          <t>$ million</t>
        </is>
      </c>
      <c r="E1146" s="23">
        <f>0.5*(D1158*D1160+E1158*E1160)</f>
        <v/>
      </c>
      <c r="F1146" s="23">
        <f>0.5*(E1158*E1160+F1158*F1160)</f>
        <v/>
      </c>
      <c r="G1146" s="23">
        <f>0.5*(F1158*F1160+G1158*G1160)</f>
        <v/>
      </c>
      <c r="H1146" s="23">
        <f>0.5*(G1158*G1160+H1158*H1160)</f>
        <v/>
      </c>
      <c r="I1146" s="23">
        <f>0.5*(H1158*H1160+I1158*I1160)</f>
        <v/>
      </c>
      <c r="J1146" s="23">
        <f>0.5*(I1158*I1160+J1158*J1160)</f>
        <v/>
      </c>
      <c r="K1146" s="23">
        <f>0.5*(J1158*J1160+K1158*K1160)</f>
        <v/>
      </c>
      <c r="L1146" s="23">
        <f>0.5*(K1158*K1160+L1158*L1160)</f>
        <v/>
      </c>
      <c r="M1146" s="23">
        <f>0.5*(L1158*L1160+M1158*M1160)</f>
        <v/>
      </c>
      <c r="N1146" s="23">
        <f>0.5*(M1158*M1160+N1158*N1160)</f>
        <v/>
      </c>
    </row>
    <row r="1147">
      <c r="B1147" s="2" t="inlineStr">
        <is>
          <t>Income before tax</t>
        </is>
      </c>
      <c r="C1147" s="5" t="inlineStr">
        <is>
          <t>$ million</t>
        </is>
      </c>
      <c r="E1147" s="23">
        <f>E1144-E1145-E1146</f>
        <v/>
      </c>
      <c r="F1147" s="23">
        <f>F1144-F1145-F1146</f>
        <v/>
      </c>
      <c r="G1147" s="23">
        <f>G1144-G1145-G1146</f>
        <v/>
      </c>
      <c r="H1147" s="23">
        <f>H1144-H1145-H1146</f>
        <v/>
      </c>
      <c r="I1147" s="23">
        <f>I1144-I1145-I1146</f>
        <v/>
      </c>
      <c r="J1147" s="23">
        <f>J1144-J1145-J1146</f>
        <v/>
      </c>
      <c r="K1147" s="23">
        <f>K1144-K1145-K1146</f>
        <v/>
      </c>
      <c r="L1147" s="23">
        <f>L1144-L1145-L1146</f>
        <v/>
      </c>
      <c r="M1147" s="23">
        <f>M1144-M1145-M1146</f>
        <v/>
      </c>
      <c r="N1147" s="23">
        <f>N1144-N1145-N1146</f>
        <v/>
      </c>
    </row>
    <row r="1148">
      <c r="B1148" s="2" t="inlineStr">
        <is>
          <t>Income tax</t>
        </is>
      </c>
      <c r="C1148" s="5" t="inlineStr">
        <is>
          <t>$ million</t>
        </is>
      </c>
      <c r="E1148" s="23">
        <f>pr_tax*E1147</f>
        <v/>
      </c>
      <c r="F1148" s="23">
        <f>pr_tax*F1147</f>
        <v/>
      </c>
      <c r="G1148" s="23">
        <f>pr_tax*G1147</f>
        <v/>
      </c>
      <c r="H1148" s="23">
        <f>pr_tax*H1147</f>
        <v/>
      </c>
      <c r="I1148" s="23">
        <f>pr_tax*I1147</f>
        <v/>
      </c>
      <c r="J1148" s="23">
        <f>pr_tax*J1147</f>
        <v/>
      </c>
      <c r="K1148" s="23">
        <f>pr_tax*K1147</f>
        <v/>
      </c>
      <c r="L1148" s="23">
        <f>pr_tax*L1147</f>
        <v/>
      </c>
      <c r="M1148" s="23">
        <f>pr_tax*M1147</f>
        <v/>
      </c>
      <c r="N1148" s="23">
        <f>pr_tax*N1147</f>
        <v/>
      </c>
    </row>
    <row r="1149">
      <c r="B1149" s="3" t="inlineStr">
        <is>
          <t>Net income</t>
        </is>
      </c>
      <c r="C1149" s="5" t="inlineStr">
        <is>
          <t>$ million</t>
        </is>
      </c>
      <c r="E1149" s="23">
        <f>E1147-E1148</f>
        <v/>
      </c>
      <c r="F1149" s="23">
        <f>F1147-F1148</f>
        <v/>
      </c>
      <c r="G1149" s="23">
        <f>G1147-G1148</f>
        <v/>
      </c>
      <c r="H1149" s="23">
        <f>H1147-H1148</f>
        <v/>
      </c>
      <c r="I1149" s="23">
        <f>I1147-I1148</f>
        <v/>
      </c>
      <c r="J1149" s="23">
        <f>J1147-J1148</f>
        <v/>
      </c>
      <c r="K1149" s="23">
        <f>K1147-K1148</f>
        <v/>
      </c>
      <c r="L1149" s="23">
        <f>L1147-L1148</f>
        <v/>
      </c>
      <c r="M1149" s="23">
        <f>M1147-M1148</f>
        <v/>
      </c>
      <c r="N1149" s="23">
        <f>N1147-N1148</f>
        <v/>
      </c>
    </row>
    <row r="1151">
      <c r="B1151" s="6" t="inlineStr">
        <is>
          <t>Rate base and debt ($ million)</t>
        </is>
      </c>
      <c r="C1151" s="7" t="n"/>
      <c r="D1151" s="7" t="n"/>
      <c r="E1151" s="7" t="n"/>
      <c r="F1151" s="7" t="n"/>
      <c r="G1151" s="7" t="n"/>
      <c r="H1151" s="7" t="n"/>
      <c r="I1151" s="7" t="n"/>
      <c r="J1151" s="7" t="n"/>
      <c r="K1151" s="7" t="n"/>
      <c r="L1151" s="7" t="n"/>
      <c r="M1151" s="7" t="n"/>
      <c r="N1151" s="7" t="n"/>
    </row>
    <row r="1152">
      <c r="B1152" s="2" t="inlineStr">
        <is>
          <t>Opening rate base</t>
        </is>
      </c>
      <c r="C1152" s="5" t="inlineStr">
        <is>
          <t>$ million</t>
        </is>
      </c>
      <c r="E1152" s="23">
        <f>D1156</f>
        <v/>
      </c>
      <c r="F1152" s="23">
        <f>E1156</f>
        <v/>
      </c>
      <c r="G1152" s="23">
        <f>F1156</f>
        <v/>
      </c>
      <c r="H1152" s="23">
        <f>G1156</f>
        <v/>
      </c>
      <c r="I1152" s="23">
        <f>H1156</f>
        <v/>
      </c>
      <c r="J1152" s="23">
        <f>I1156</f>
        <v/>
      </c>
      <c r="K1152" s="23">
        <f>J1156</f>
        <v/>
      </c>
      <c r="L1152" s="23">
        <f>K1156</f>
        <v/>
      </c>
      <c r="M1152" s="23">
        <f>L1156</f>
        <v/>
      </c>
      <c r="N1152" s="23">
        <f>M1156</f>
        <v/>
      </c>
    </row>
    <row r="1153">
      <c r="B1153" s="2" t="inlineStr">
        <is>
          <t>Spending disallowed (never in rate base)</t>
        </is>
      </c>
      <c r="C1153" s="5" t="inlineStr">
        <is>
          <t>$ million</t>
        </is>
      </c>
      <c r="E1153" s="23">
        <f>pr_disallow*(E1107+E1108-E1142)</f>
        <v/>
      </c>
      <c r="F1153" s="23">
        <f>pr_disallow*(F1107+F1108-F1142)</f>
        <v/>
      </c>
      <c r="G1153" s="23">
        <f>pr_disallow*(G1107+G1108-G1142)</f>
        <v/>
      </c>
      <c r="H1153" s="23">
        <f>pr_disallow*(H1107+H1108-H1142)</f>
        <v/>
      </c>
      <c r="I1153" s="23">
        <f>pr_disallow*(I1107+I1108-I1142)</f>
        <v/>
      </c>
      <c r="J1153" s="23">
        <f>pr_disallow*(J1107+J1108-J1142)</f>
        <v/>
      </c>
      <c r="K1153" s="23">
        <f>pr_disallow*(K1107+K1108-K1142)</f>
        <v/>
      </c>
      <c r="L1153" s="23">
        <f>pr_disallow*(L1107+L1108-L1142)</f>
        <v/>
      </c>
      <c r="M1153" s="23">
        <f>pr_disallow*(M1107+M1108-M1142)</f>
        <v/>
      </c>
      <c r="N1153" s="23">
        <f>pr_disallow*(N1107+N1108-N1142)</f>
        <v/>
      </c>
    </row>
    <row r="1154">
      <c r="B1154" s="2" t="inlineStr">
        <is>
          <t>Acquisitions (Fennick at its price)</t>
        </is>
      </c>
      <c r="C1154" s="5" t="inlineStr">
        <is>
          <t>$ million</t>
        </is>
      </c>
      <c r="E1154" s="23">
        <f>IF(AND(pr_fen_on=1,E1099=pr_fen_year),pr_fen_price,0)</f>
        <v/>
      </c>
      <c r="F1154" s="23">
        <f>IF(AND(pr_fen_on=1,F1099=pr_fen_year),pr_fen_price,0)</f>
        <v/>
      </c>
      <c r="G1154" s="23">
        <f>IF(AND(pr_fen_on=1,G1099=pr_fen_year),pr_fen_price,0)</f>
        <v/>
      </c>
      <c r="H1154" s="23">
        <f>IF(AND(pr_fen_on=1,H1099=pr_fen_year),pr_fen_price,0)</f>
        <v/>
      </c>
      <c r="I1154" s="23">
        <f>IF(AND(pr_fen_on=1,I1099=pr_fen_year),pr_fen_price,0)</f>
        <v/>
      </c>
      <c r="J1154" s="23">
        <f>IF(AND(pr_fen_on=1,J1099=pr_fen_year),pr_fen_price,0)</f>
        <v/>
      </c>
      <c r="K1154" s="23">
        <f>IF(AND(pr_fen_on=1,K1099=pr_fen_year),pr_fen_price,0)</f>
        <v/>
      </c>
      <c r="L1154" s="23">
        <f>IF(AND(pr_fen_on=1,L1099=pr_fen_year),pr_fen_price,0)</f>
        <v/>
      </c>
      <c r="M1154" s="23">
        <f>IF(AND(pr_fen_on=1,M1099=pr_fen_year),pr_fen_price,0)</f>
        <v/>
      </c>
      <c r="N1154" s="23">
        <f>IF(AND(pr_fen_on=1,N1099=pr_fen_year),pr_fen_price,0)</f>
        <v/>
      </c>
    </row>
    <row r="1155">
      <c r="B1155" s="2" t="inlineStr">
        <is>
          <t>Settlement credited against rate base</t>
        </is>
      </c>
      <c r="C1155" s="5" t="inlineStr">
        <is>
          <t>$ million</t>
        </is>
      </c>
      <c r="E1155" s="23">
        <f>IF(E1099=pr_settle_y,pr_settle,0)</f>
        <v/>
      </c>
      <c r="F1155" s="23">
        <f>IF(F1099=pr_settle_y,pr_settle,0)</f>
        <v/>
      </c>
      <c r="G1155" s="23">
        <f>IF(G1099=pr_settle_y,pr_settle,0)</f>
        <v/>
      </c>
      <c r="H1155" s="23">
        <f>IF(H1099=pr_settle_y,pr_settle,0)</f>
        <v/>
      </c>
      <c r="I1155" s="23">
        <f>IF(I1099=pr_settle_y,pr_settle,0)</f>
        <v/>
      </c>
      <c r="J1155" s="23">
        <f>IF(J1099=pr_settle_y,pr_settle,0)</f>
        <v/>
      </c>
      <c r="K1155" s="23">
        <f>IF(K1099=pr_settle_y,pr_settle,0)</f>
        <v/>
      </c>
      <c r="L1155" s="23">
        <f>IF(L1099=pr_settle_y,pr_settle,0)</f>
        <v/>
      </c>
      <c r="M1155" s="23">
        <f>IF(M1099=pr_settle_y,pr_settle,0)</f>
        <v/>
      </c>
      <c r="N1155" s="23">
        <f>IF(N1099=pr_settle_y,pr_settle,0)</f>
        <v/>
      </c>
    </row>
    <row r="1156">
      <c r="B1156" s="3" t="inlineStr">
        <is>
          <t>Closing rate base</t>
        </is>
      </c>
      <c r="C1156" s="5" t="inlineStr">
        <is>
          <t>$ million</t>
        </is>
      </c>
      <c r="D1156" s="23">
        <f>pr_rb0</f>
        <v/>
      </c>
      <c r="E1156" s="23">
        <f>E1152+E1110-E1142-E1153+E1154-E1145-E1155</f>
        <v/>
      </c>
      <c r="F1156" s="23">
        <f>F1152+F1110-F1142-F1153+F1154-F1145-F1155</f>
        <v/>
      </c>
      <c r="G1156" s="23">
        <f>G1152+G1110-G1142-G1153+G1154-G1145-G1155</f>
        <v/>
      </c>
      <c r="H1156" s="23">
        <f>H1152+H1110-H1142-H1153+H1154-H1145-H1155</f>
        <v/>
      </c>
      <c r="I1156" s="23">
        <f>I1152+I1110-I1142-I1153+I1154-I1145-I1155</f>
        <v/>
      </c>
      <c r="J1156" s="23">
        <f>J1152+J1110-J1142-J1153+J1154-J1145-J1155</f>
        <v/>
      </c>
      <c r="K1156" s="23">
        <f>K1152+K1110-K1142-K1153+K1154-K1145-K1155</f>
        <v/>
      </c>
      <c r="L1156" s="23">
        <f>L1152+L1110-L1142-L1153+L1154-L1145-L1155</f>
        <v/>
      </c>
      <c r="M1156" s="23">
        <f>M1152+M1110-M1142-M1153+M1154-M1145-M1155</f>
        <v/>
      </c>
      <c r="N1156" s="23">
        <f>N1152+N1110-N1142-N1153+N1154-N1145-N1155</f>
        <v/>
      </c>
    </row>
    <row r="1157">
      <c r="B1157" s="2" t="inlineStr">
        <is>
          <t>Original bonds outstanding</t>
        </is>
      </c>
      <c r="C1157" s="5" t="inlineStr">
        <is>
          <t>$ million</t>
        </is>
      </c>
      <c r="D1157" s="23">
        <f>(1-pr_eq)*pr_rb0</f>
        <v/>
      </c>
      <c r="E1157" s="23">
        <f>MAX(0,D1157-pr_amort*(1-pr_eq)*pr_rb0)</f>
        <v/>
      </c>
      <c r="F1157" s="23">
        <f>MAX(0,E1157-pr_amort*(1-pr_eq)*pr_rb0)</f>
        <v/>
      </c>
      <c r="G1157" s="23">
        <f>MAX(0,F1157-pr_amort*(1-pr_eq)*pr_rb0)</f>
        <v/>
      </c>
      <c r="H1157" s="23">
        <f>MAX(0,G1157-pr_amort*(1-pr_eq)*pr_rb0)</f>
        <v/>
      </c>
      <c r="I1157" s="23">
        <f>MAX(0,H1157-pr_amort*(1-pr_eq)*pr_rb0)</f>
        <v/>
      </c>
      <c r="J1157" s="23">
        <f>MAX(0,I1157-pr_amort*(1-pr_eq)*pr_rb0)</f>
        <v/>
      </c>
      <c r="K1157" s="23">
        <f>MAX(0,J1157-pr_amort*(1-pr_eq)*pr_rb0)</f>
        <v/>
      </c>
      <c r="L1157" s="23">
        <f>MAX(0,K1157-pr_amort*(1-pr_eq)*pr_rb0)</f>
        <v/>
      </c>
      <c r="M1157" s="23">
        <f>MAX(0,L1157-pr_amort*(1-pr_eq)*pr_rb0)</f>
        <v/>
      </c>
      <c r="N1157" s="23">
        <f>MAX(0,M1157-pr_amort*(1-pr_eq)*pr_rb0)</f>
        <v/>
      </c>
    </row>
    <row r="1158">
      <c r="B1158" s="2" t="inlineStr">
        <is>
          <t>Operating company debt (debt share of rate base)</t>
        </is>
      </c>
      <c r="C1158" s="5" t="inlineStr">
        <is>
          <t>$ million</t>
        </is>
      </c>
      <c r="D1158" s="23">
        <f>(1-pr_eq)*D1156</f>
        <v/>
      </c>
      <c r="E1158" s="23">
        <f>(1-pr_eq)*E1156</f>
        <v/>
      </c>
      <c r="F1158" s="23">
        <f>(1-pr_eq)*F1156</f>
        <v/>
      </c>
      <c r="G1158" s="23">
        <f>(1-pr_eq)*G1156</f>
        <v/>
      </c>
      <c r="H1158" s="23">
        <f>(1-pr_eq)*H1156</f>
        <v/>
      </c>
      <c r="I1158" s="23">
        <f>(1-pr_eq)*I1156</f>
        <v/>
      </c>
      <c r="J1158" s="23">
        <f>(1-pr_eq)*J1156</f>
        <v/>
      </c>
      <c r="K1158" s="23">
        <f>(1-pr_eq)*K1156</f>
        <v/>
      </c>
      <c r="L1158" s="23">
        <f>(1-pr_eq)*L1156</f>
        <v/>
      </c>
      <c r="M1158" s="23">
        <f>(1-pr_eq)*M1156</f>
        <v/>
      </c>
      <c r="N1158" s="23">
        <f>(1-pr_eq)*N1156</f>
        <v/>
      </c>
    </row>
    <row r="1159">
      <c r="B1159" s="2" t="inlineStr">
        <is>
          <t>New bonds outstanding</t>
        </is>
      </c>
      <c r="C1159" s="5" t="inlineStr">
        <is>
          <t>$ million</t>
        </is>
      </c>
      <c r="D1159" s="23">
        <f>D1158-D1157</f>
        <v/>
      </c>
      <c r="E1159" s="23">
        <f>E1158-E1157</f>
        <v/>
      </c>
      <c r="F1159" s="23">
        <f>F1158-F1157</f>
        <v/>
      </c>
      <c r="G1159" s="23">
        <f>G1158-G1157</f>
        <v/>
      </c>
      <c r="H1159" s="23">
        <f>H1158-H1157</f>
        <v/>
      </c>
      <c r="I1159" s="23">
        <f>I1158-I1157</f>
        <v/>
      </c>
      <c r="J1159" s="23">
        <f>J1158-J1157</f>
        <v/>
      </c>
      <c r="K1159" s="23">
        <f>K1158-K1157</f>
        <v/>
      </c>
      <c r="L1159" s="23">
        <f>L1158-L1157</f>
        <v/>
      </c>
      <c r="M1159" s="23">
        <f>M1158-M1157</f>
        <v/>
      </c>
      <c r="N1159" s="23">
        <f>N1158-N1157</f>
        <v/>
      </c>
    </row>
    <row r="1160">
      <c r="B1160" s="2" t="inlineStr">
        <is>
          <t>Embedded cost of debt at year end</t>
        </is>
      </c>
      <c r="C1160" s="5" t="inlineStr">
        <is>
          <t>rate</t>
        </is>
      </c>
      <c r="D1160" s="27">
        <f>pr_kd_old</f>
        <v/>
      </c>
      <c r="E1160" s="27">
        <f>(E1157*pr_kd_old+E1159*pr_kd_new)/E1158</f>
        <v/>
      </c>
      <c r="F1160" s="27">
        <f>(F1157*pr_kd_old+F1159*pr_kd_new)/F1158</f>
        <v/>
      </c>
      <c r="G1160" s="27">
        <f>(G1157*pr_kd_old+G1159*pr_kd_new)/G1158</f>
        <v/>
      </c>
      <c r="H1160" s="27">
        <f>(H1157*pr_kd_old+H1159*pr_kd_new)/H1158</f>
        <v/>
      </c>
      <c r="I1160" s="27">
        <f>(I1157*pr_kd_old+I1159*pr_kd_new)/I1158</f>
        <v/>
      </c>
      <c r="J1160" s="27">
        <f>(J1157*pr_kd_old+J1159*pr_kd_new)/J1158</f>
        <v/>
      </c>
      <c r="K1160" s="27">
        <f>(K1157*pr_kd_old+K1159*pr_kd_new)/K1158</f>
        <v/>
      </c>
      <c r="L1160" s="27">
        <f>(L1157*pr_kd_old+L1159*pr_kd_new)/L1158</f>
        <v/>
      </c>
      <c r="M1160" s="27">
        <f>(M1157*pr_kd_old+M1159*pr_kd_new)/M1158</f>
        <v/>
      </c>
      <c r="N1160" s="27">
        <f>(N1157*pr_kd_old+N1159*pr_kd_new)/N1158</f>
        <v/>
      </c>
    </row>
    <row r="1162">
      <c r="B1162" s="6" t="inlineStr">
        <is>
          <t>Returns and cash ($ million)</t>
        </is>
      </c>
      <c r="C1162" s="7" t="n"/>
      <c r="D1162" s="7" t="n"/>
      <c r="E1162" s="7" t="n"/>
      <c r="F1162" s="7" t="n"/>
      <c r="G1162" s="7" t="n"/>
      <c r="H1162" s="7" t="n"/>
      <c r="I1162" s="7" t="n"/>
      <c r="J1162" s="7" t="n"/>
      <c r="K1162" s="7" t="n"/>
      <c r="L1162" s="7" t="n"/>
      <c r="M1162" s="7" t="n"/>
      <c r="N1162" s="7" t="n"/>
    </row>
    <row r="1163">
      <c r="B1163" s="2" t="inlineStr">
        <is>
          <t>Average equity share of rate base</t>
        </is>
      </c>
      <c r="C1163" s="5" t="inlineStr">
        <is>
          <t>$ million</t>
        </is>
      </c>
      <c r="E1163" s="23">
        <f>pr_eq*0.5*(E1152+E1156)</f>
        <v/>
      </c>
      <c r="F1163" s="23">
        <f>pr_eq*0.5*(F1152+F1156)</f>
        <v/>
      </c>
      <c r="G1163" s="23">
        <f>pr_eq*0.5*(G1152+G1156)</f>
        <v/>
      </c>
      <c r="H1163" s="23">
        <f>pr_eq*0.5*(H1152+H1156)</f>
        <v/>
      </c>
      <c r="I1163" s="23">
        <f>pr_eq*0.5*(I1152+I1156)</f>
        <v/>
      </c>
      <c r="J1163" s="23">
        <f>pr_eq*0.5*(J1152+J1156)</f>
        <v/>
      </c>
      <c r="K1163" s="23">
        <f>pr_eq*0.5*(K1152+K1156)</f>
        <v/>
      </c>
      <c r="L1163" s="23">
        <f>pr_eq*0.5*(L1152+L1156)</f>
        <v/>
      </c>
      <c r="M1163" s="23">
        <f>pr_eq*0.5*(M1152+M1156)</f>
        <v/>
      </c>
      <c r="N1163" s="23">
        <f>pr_eq*0.5*(N1152+N1156)</f>
        <v/>
      </c>
    </row>
    <row r="1164">
      <c r="B1164" s="2" t="inlineStr">
        <is>
          <t>Earned return on equity</t>
        </is>
      </c>
      <c r="C1164" s="5" t="inlineStr">
        <is>
          <t>rate</t>
        </is>
      </c>
      <c r="E1164" s="27">
        <f>E1149/E1163</f>
        <v/>
      </c>
      <c r="F1164" s="27">
        <f>F1149/F1163</f>
        <v/>
      </c>
      <c r="G1164" s="27">
        <f>G1149/G1163</f>
        <v/>
      </c>
      <c r="H1164" s="27">
        <f>H1149/H1163</f>
        <v/>
      </c>
      <c r="I1164" s="27">
        <f>I1149/I1163</f>
        <v/>
      </c>
      <c r="J1164" s="27">
        <f>J1149/J1163</f>
        <v/>
      </c>
      <c r="K1164" s="27">
        <f>K1149/K1163</f>
        <v/>
      </c>
      <c r="L1164" s="27">
        <f>L1149/L1163</f>
        <v/>
      </c>
      <c r="M1164" s="27">
        <f>M1149/M1163</f>
        <v/>
      </c>
      <c r="N1164" s="27">
        <f>N1149/N1163</f>
        <v/>
      </c>
    </row>
    <row r="1165">
      <c r="B1165" s="2" t="inlineStr">
        <is>
          <t>Authorized return on equity</t>
        </is>
      </c>
      <c r="C1165" s="5" t="inlineStr">
        <is>
          <t>rate</t>
        </is>
      </c>
      <c r="E1165" s="27">
        <f>Inputs!$C$249</f>
        <v/>
      </c>
      <c r="F1165" s="27">
        <f>Inputs!$C$249</f>
        <v/>
      </c>
      <c r="G1165" s="27">
        <f>Inputs!$C$249</f>
        <v/>
      </c>
      <c r="H1165" s="27">
        <f>Inputs!$C$249</f>
        <v/>
      </c>
      <c r="I1165" s="27">
        <f>Inputs!$C$249</f>
        <v/>
      </c>
      <c r="J1165" s="27">
        <f>Inputs!$C$249</f>
        <v/>
      </c>
      <c r="K1165" s="27">
        <f>Inputs!$C$249</f>
        <v/>
      </c>
      <c r="L1165" s="27">
        <f>Inputs!$C$249</f>
        <v/>
      </c>
      <c r="M1165" s="27">
        <f>Inputs!$C$249</f>
        <v/>
      </c>
      <c r="N1165" s="27">
        <f>Inputs!$C$249</f>
        <v/>
      </c>
    </row>
    <row r="1166">
      <c r="B1166" s="3" t="inlineStr">
        <is>
          <t>Cash to the shareholder (FCFE)</t>
        </is>
      </c>
      <c r="C1166" s="5" t="inlineStr">
        <is>
          <t>$ million</t>
        </is>
      </c>
      <c r="E1166" s="23">
        <f>E1149+E1145-E1110-E1154+E1155+E1158-D1158</f>
        <v/>
      </c>
      <c r="F1166" s="23">
        <f>F1149+F1145-F1110-F1154+F1155+F1158-E1158</f>
        <v/>
      </c>
      <c r="G1166" s="23">
        <f>G1149+G1145-G1110-G1154+G1155+G1158-F1158</f>
        <v/>
      </c>
      <c r="H1166" s="23">
        <f>H1149+H1145-H1110-H1154+H1155+H1158-G1158</f>
        <v/>
      </c>
      <c r="I1166" s="23">
        <f>I1149+I1145-I1110-I1154+I1155+I1158-H1158</f>
        <v/>
      </c>
      <c r="J1166" s="23">
        <f>J1149+J1145-J1110-J1154+J1155+J1158-I1158</f>
        <v/>
      </c>
      <c r="K1166" s="23">
        <f>K1149+K1145-K1110-K1154+K1155+K1158-J1158</f>
        <v/>
      </c>
      <c r="L1166" s="23">
        <f>L1149+L1145-L1110-L1154+L1155+L1158-K1158</f>
        <v/>
      </c>
      <c r="M1166" s="23">
        <f>M1149+M1145-M1110-M1154+M1155+M1158-L1158</f>
        <v/>
      </c>
      <c r="N1166" s="23">
        <f>N1149+N1145-N1110-N1154+N1155+N1158-M1158</f>
        <v/>
      </c>
    </row>
    <row r="1167">
      <c r="B1167" s="2" t="inlineStr">
        <is>
          <t>Funds from operations (net income + depreciation)</t>
        </is>
      </c>
      <c r="C1167" s="5" t="inlineStr">
        <is>
          <t>$ million</t>
        </is>
      </c>
      <c r="E1167" s="23">
        <f>E1149+E1145</f>
        <v/>
      </c>
      <c r="F1167" s="23">
        <f>F1149+F1145</f>
        <v/>
      </c>
      <c r="G1167" s="23">
        <f>G1149+G1145</f>
        <v/>
      </c>
      <c r="H1167" s="23">
        <f>H1149+H1145</f>
        <v/>
      </c>
      <c r="I1167" s="23">
        <f>I1149+I1145</f>
        <v/>
      </c>
      <c r="J1167" s="23">
        <f>J1149+J1145</f>
        <v/>
      </c>
      <c r="K1167" s="23">
        <f>K1149+K1145</f>
        <v/>
      </c>
      <c r="L1167" s="23">
        <f>L1149+L1145</f>
        <v/>
      </c>
      <c r="M1167" s="23">
        <f>M1149+M1145</f>
        <v/>
      </c>
      <c r="N1167" s="23">
        <f>N1149+N1145</f>
        <v/>
      </c>
    </row>
    <row r="1168">
      <c r="B1168" s="3" t="inlineStr">
        <is>
          <t>Brannock's net flows (exit at the exit multiple)</t>
        </is>
      </c>
      <c r="C1168" s="5" t="inlineStr">
        <is>
          <t>$ million</t>
        </is>
      </c>
      <c r="D1168" s="23">
        <f>-(pr_ev_mult*pr_rb0-(1-pr_eq)*pr_rb0+pr_costs-pr_holdco)</f>
        <v/>
      </c>
      <c r="E1168" s="23">
        <f>E1166-pr_holdco*pr_kd_holdco*(1-pr_tax)</f>
        <v/>
      </c>
      <c r="F1168" s="23">
        <f>F1166-pr_holdco*pr_kd_holdco*(1-pr_tax)</f>
        <v/>
      </c>
      <c r="G1168" s="23">
        <f>G1166-pr_holdco*pr_kd_holdco*(1-pr_tax)</f>
        <v/>
      </c>
      <c r="H1168" s="23">
        <f>H1166-pr_holdco*pr_kd_holdco*(1-pr_tax)</f>
        <v/>
      </c>
      <c r="I1168" s="23">
        <f>I1166-pr_holdco*pr_kd_holdco*(1-pr_tax)</f>
        <v/>
      </c>
      <c r="J1168" s="23">
        <f>J1166-pr_holdco*pr_kd_holdco*(1-pr_tax)</f>
        <v/>
      </c>
      <c r="K1168" s="23">
        <f>K1166-pr_holdco*pr_kd_holdco*(1-pr_tax)</f>
        <v/>
      </c>
      <c r="L1168" s="23">
        <f>L1166-pr_holdco*pr_kd_holdco*(1-pr_tax)</f>
        <v/>
      </c>
      <c r="M1168" s="23">
        <f>M1166-pr_holdco*pr_kd_holdco*(1-pr_tax)</f>
        <v/>
      </c>
      <c r="N1168" s="23">
        <f>N1166-pr_holdco*pr_kd_holdco*(1-pr_tax)+pr_exit_mult*N1156-N1158-pr_holdco</f>
        <v/>
      </c>
    </row>
    <row r="1169">
      <c r="B1169" s="2" t="inlineStr">
        <is>
          <t>Levered IRR</t>
        </is>
      </c>
      <c r="C1169" s="5" t="inlineStr">
        <is>
          <t>rate</t>
        </is>
      </c>
      <c r="D1169" s="27">
        <f>IRR($D$1168:N$1168,0.08)</f>
        <v/>
      </c>
    </row>
    <row r="1170">
      <c r="B1170" s="2" t="inlineStr">
        <is>
          <t>Average earned return on equity 2028 to 2037</t>
        </is>
      </c>
      <c r="C1170" s="5" t="inlineStr">
        <is>
          <t>rate</t>
        </is>
      </c>
      <c r="D1170" s="27">
        <f>AVERAGE($E$1164:N$1164)</f>
        <v/>
      </c>
    </row>
    <row r="1171">
      <c r="B1171" s="2" t="inlineStr">
        <is>
          <t>Price at the target return (enterprise value)</t>
        </is>
      </c>
      <c r="C1171" s="5" t="inlineStr">
        <is>
          <t>$ million</t>
        </is>
      </c>
      <c r="D1171" s="23">
        <f>NPV(pr_target,$E$1168:N$1168)+(1-pr_eq)*pr_rb0-pr_costs+pr_holdco</f>
        <v/>
      </c>
    </row>
    <row r="1172">
      <c r="B1172" s="2" t="inlineStr">
        <is>
          <t>Exit equity</t>
        </is>
      </c>
      <c r="C1172" s="5" t="inlineStr">
        <is>
          <t>$ million</t>
        </is>
      </c>
      <c r="D1172" s="23">
        <f>pr_exit_mult*N1156-N1158-pr_holdco</f>
        <v/>
      </c>
    </row>
    <row r="1173">
      <c r="B1173" s="2" t="inlineStr">
        <is>
          <t>Rate base at exit</t>
        </is>
      </c>
      <c r="C1173" s="5" t="inlineStr">
        <is>
          <t>$ million</t>
        </is>
      </c>
      <c r="D1173" s="23">
        <f>N1156</f>
        <v/>
      </c>
    </row>
    <row r="1176">
      <c r="B1176" s="6" t="inlineStr">
        <is>
          <t>B3: Bridge step 3: rate cases every two years (Pell River, after tax)</t>
        </is>
      </c>
      <c r="C1176" s="7" t="n"/>
      <c r="D1176" s="7" t="n"/>
      <c r="E1176" s="7" t="n"/>
      <c r="F1176" s="7" t="n"/>
      <c r="G1176" s="7" t="n"/>
      <c r="H1176" s="7" t="n"/>
      <c r="I1176" s="7" t="n"/>
      <c r="J1176" s="7" t="n"/>
      <c r="K1176" s="7" t="n"/>
      <c r="L1176" s="7" t="n"/>
      <c r="M1176" s="7" t="n"/>
      <c r="N1176" s="7" t="n"/>
    </row>
    <row r="1177">
      <c r="B1177" s="2" t="inlineStr">
        <is>
          <t>Year (31 December)</t>
        </is>
      </c>
      <c r="D1177" s="26">
        <f>pr_close</f>
        <v/>
      </c>
      <c r="E1177" s="26">
        <f>D1177+1</f>
        <v/>
      </c>
      <c r="F1177" s="26">
        <f>E1177+1</f>
        <v/>
      </c>
      <c r="G1177" s="26">
        <f>F1177+1</f>
        <v/>
      </c>
      <c r="H1177" s="26">
        <f>G1177+1</f>
        <v/>
      </c>
      <c r="I1177" s="26">
        <f>H1177+1</f>
        <v/>
      </c>
      <c r="J1177" s="26">
        <f>I1177+1</f>
        <v/>
      </c>
      <c r="K1177" s="26">
        <f>J1177+1</f>
        <v/>
      </c>
      <c r="L1177" s="26">
        <f>K1177+1</f>
        <v/>
      </c>
      <c r="M1177" s="26">
        <f>L1177+1</f>
        <v/>
      </c>
      <c r="N1177" s="26">
        <f>M1177+1</f>
        <v/>
      </c>
    </row>
    <row r="1178">
      <c r="B1178" s="2" t="inlineStr">
        <is>
          <t>Years after the first year of the hold (2028 = 0)</t>
        </is>
      </c>
      <c r="D1178" s="26">
        <f>D1177-(pr_close+1)</f>
        <v/>
      </c>
      <c r="E1178" s="26">
        <f>E1177-(pr_close+1)</f>
        <v/>
      </c>
      <c r="F1178" s="26">
        <f>F1177-(pr_close+1)</f>
        <v/>
      </c>
      <c r="G1178" s="26">
        <f>G1177-(pr_close+1)</f>
        <v/>
      </c>
      <c r="H1178" s="26">
        <f>H1177-(pr_close+1)</f>
        <v/>
      </c>
      <c r="I1178" s="26">
        <f>I1177-(pr_close+1)</f>
        <v/>
      </c>
      <c r="J1178" s="26">
        <f>J1177-(pr_close+1)</f>
        <v/>
      </c>
      <c r="K1178" s="26">
        <f>K1177-(pr_close+1)</f>
        <v/>
      </c>
      <c r="L1178" s="26">
        <f>L1177-(pr_close+1)</f>
        <v/>
      </c>
      <c r="M1178" s="26">
        <f>M1177-(pr_close+1)</f>
        <v/>
      </c>
      <c r="N1178" s="26">
        <f>N1177-(pr_close+1)</f>
        <v/>
      </c>
    </row>
    <row r="1179">
      <c r="B1179" s="2" t="inlineStr">
        <is>
          <t>Connections (water and wastewater), year end</t>
        </is>
      </c>
      <c r="C1179" s="5" t="inlineStr">
        <is>
          <t>number</t>
        </is>
      </c>
      <c r="D1179" s="19">
        <f>pr_water_conn+pr_ww_conn</f>
        <v/>
      </c>
      <c r="E1179" s="19">
        <f>D1179*(1+pr_growth)+IF(AND(pr_fen_on=1,E1177=pr_fen_year+1),pr_fen_conn,0)</f>
        <v/>
      </c>
      <c r="F1179" s="19">
        <f>E1179*(1+pr_growth)+IF(AND(pr_fen_on=1,F1177=pr_fen_year+1),pr_fen_conn,0)</f>
        <v/>
      </c>
      <c r="G1179" s="19">
        <f>F1179*(1+pr_growth)+IF(AND(pr_fen_on=1,G1177=pr_fen_year+1),pr_fen_conn,0)</f>
        <v/>
      </c>
      <c r="H1179" s="19">
        <f>G1179*(1+pr_growth)+IF(AND(pr_fen_on=1,H1177=pr_fen_year+1),pr_fen_conn,0)</f>
        <v/>
      </c>
      <c r="I1179" s="19">
        <f>H1179*(1+pr_growth)+IF(AND(pr_fen_on=1,I1177=pr_fen_year+1),pr_fen_conn,0)</f>
        <v/>
      </c>
      <c r="J1179" s="19">
        <f>I1179*(1+pr_growth)+IF(AND(pr_fen_on=1,J1177=pr_fen_year+1),pr_fen_conn,0)</f>
        <v/>
      </c>
      <c r="K1179" s="19">
        <f>J1179*(1+pr_growth)+IF(AND(pr_fen_on=1,K1177=pr_fen_year+1),pr_fen_conn,0)</f>
        <v/>
      </c>
      <c r="L1179" s="19">
        <f>K1179*(1+pr_growth)+IF(AND(pr_fen_on=1,L1177=pr_fen_year+1),pr_fen_conn,0)</f>
        <v/>
      </c>
      <c r="M1179" s="19">
        <f>L1179*(1+pr_growth)+IF(AND(pr_fen_on=1,M1177=pr_fen_year+1),pr_fen_conn,0)</f>
        <v/>
      </c>
      <c r="N1179" s="19">
        <f>M1179*(1+pr_growth)+IF(AND(pr_fen_on=1,N1177=pr_fen_year+1),pr_fen_conn,0)</f>
        <v/>
      </c>
    </row>
    <row r="1181">
      <c r="B1181" s="6" t="inlineStr">
        <is>
          <t>Capital spending ($ million)</t>
        </is>
      </c>
      <c r="C1181" s="7" t="n"/>
      <c r="D1181" s="7" t="n"/>
      <c r="E1181" s="7" t="n"/>
      <c r="F1181" s="7" t="n"/>
      <c r="G1181" s="7" t="n"/>
      <c r="H1181" s="7" t="n"/>
      <c r="I1181" s="7" t="n"/>
      <c r="J1181" s="7" t="n"/>
      <c r="K1181" s="7" t="n"/>
      <c r="L1181" s="7" t="n"/>
      <c r="M1181" s="7" t="n"/>
      <c r="N1181" s="7" t="n"/>
    </row>
    <row r="1182">
      <c r="B1182" s="2" t="inlineStr">
        <is>
          <t>Cost escalation index (2028 = 1)</t>
        </is>
      </c>
      <c r="E1182" s="28">
        <f>(1+pr_capex_esc)^(E1177-(pr_close+1))</f>
        <v/>
      </c>
      <c r="F1182" s="28">
        <f>(1+pr_capex_esc)^(F1177-(pr_close+1))</f>
        <v/>
      </c>
      <c r="G1182" s="28">
        <f>(1+pr_capex_esc)^(G1177-(pr_close+1))</f>
        <v/>
      </c>
      <c r="H1182" s="28">
        <f>(1+pr_capex_esc)^(H1177-(pr_close+1))</f>
        <v/>
      </c>
      <c r="I1182" s="28">
        <f>(1+pr_capex_esc)^(I1177-(pr_close+1))</f>
        <v/>
      </c>
      <c r="J1182" s="28">
        <f>(1+pr_capex_esc)^(J1177-(pr_close+1))</f>
        <v/>
      </c>
      <c r="K1182" s="28">
        <f>(1+pr_capex_esc)^(K1177-(pr_close+1))</f>
        <v/>
      </c>
      <c r="L1182" s="28">
        <f>(1+pr_capex_esc)^(L1177-(pr_close+1))</f>
        <v/>
      </c>
      <c r="M1182" s="28">
        <f>(1+pr_capex_esc)^(M1177-(pr_close+1))</f>
        <v/>
      </c>
      <c r="N1182" s="28">
        <f>(1+pr_capex_esc)^(N1177-(pr_close+1))</f>
        <v/>
      </c>
    </row>
    <row r="1183">
      <c r="B1183" s="2" t="inlineStr">
        <is>
          <t>Main renewal</t>
        </is>
      </c>
      <c r="C1183" s="5" t="inlineStr">
        <is>
          <t>$ million</t>
        </is>
      </c>
      <c r="E1183" s="23">
        <f>pr_renewal*pr_mains_miles*pr_cost_mile*E1182*(1+pr_capex_shift)</f>
        <v/>
      </c>
      <c r="F1183" s="23">
        <f>pr_renewal*pr_mains_miles*pr_cost_mile*F1182*(1+pr_capex_shift)</f>
        <v/>
      </c>
      <c r="G1183" s="23">
        <f>pr_renewal*pr_mains_miles*pr_cost_mile*G1182*(1+pr_capex_shift)</f>
        <v/>
      </c>
      <c r="H1183" s="23">
        <f>pr_renewal*pr_mains_miles*pr_cost_mile*H1182*(1+pr_capex_shift)</f>
        <v/>
      </c>
      <c r="I1183" s="23">
        <f>pr_renewal*pr_mains_miles*pr_cost_mile*I1182*(1+pr_capex_shift)</f>
        <v/>
      </c>
      <c r="J1183" s="23">
        <f>pr_renewal*pr_mains_miles*pr_cost_mile*J1182*(1+pr_capex_shift)</f>
        <v/>
      </c>
      <c r="K1183" s="23">
        <f>pr_renewal*pr_mains_miles*pr_cost_mile*K1182*(1+pr_capex_shift)</f>
        <v/>
      </c>
      <c r="L1183" s="23">
        <f>pr_renewal*pr_mains_miles*pr_cost_mile*L1182*(1+pr_capex_shift)</f>
        <v/>
      </c>
      <c r="M1183" s="23">
        <f>pr_renewal*pr_mains_miles*pr_cost_mile*M1182*(1+pr_capex_shift)</f>
        <v/>
      </c>
      <c r="N1183" s="23">
        <f>pr_renewal*pr_mains_miles*pr_cost_mile*N1182*(1+pr_capex_shift)</f>
        <v/>
      </c>
    </row>
    <row r="1184">
      <c r="B1184" s="2" t="inlineStr">
        <is>
          <t>Treatment, storage, meters, IT and growth</t>
        </is>
      </c>
      <c r="C1184" s="5" t="inlineStr">
        <is>
          <t>$ million</t>
        </is>
      </c>
      <c r="E1184" s="23">
        <f>pr_other_capex*E1182*(1+pr_capex_shift)</f>
        <v/>
      </c>
      <c r="F1184" s="23">
        <f>pr_other_capex*F1182*(1+pr_capex_shift)</f>
        <v/>
      </c>
      <c r="G1184" s="23">
        <f>pr_other_capex*G1182*(1+pr_capex_shift)</f>
        <v/>
      </c>
      <c r="H1184" s="23">
        <f>pr_other_capex*H1182*(1+pr_capex_shift)</f>
        <v/>
      </c>
      <c r="I1184" s="23">
        <f>pr_other_capex*I1182*(1+pr_capex_shift)</f>
        <v/>
      </c>
      <c r="J1184" s="23">
        <f>pr_other_capex*J1182*(1+pr_capex_shift)</f>
        <v/>
      </c>
      <c r="K1184" s="23">
        <f>pr_other_capex*K1182*(1+pr_capex_shift)</f>
        <v/>
      </c>
      <c r="L1184" s="23">
        <f>pr_other_capex*L1182*(1+pr_capex_shift)</f>
        <v/>
      </c>
      <c r="M1184" s="23">
        <f>pr_other_capex*M1182*(1+pr_capex_shift)</f>
        <v/>
      </c>
      <c r="N1184" s="23">
        <f>pr_other_capex*N1182*(1+pr_capex_shift)</f>
        <v/>
      </c>
    </row>
    <row r="1185">
      <c r="B1185" s="2" t="inlineStr">
        <is>
          <t>PFAS treatment</t>
        </is>
      </c>
      <c r="C1185" s="5" t="inlineStr">
        <is>
          <t>$ million</t>
        </is>
      </c>
      <c r="E1185" s="23">
        <f>(IF(E1177-pr_pfas_delay=pr_pfas_y1,pr_pfas_1,0)+IF(E1177-pr_pfas_delay=pr_pfas_y1+1,pr_pfas_2,0)+IF(E1177-pr_pfas_delay=pr_pfas_y1+2,pr_pfas_3,0))*(1+pr_capex_esc)^pr_pfas_delay*(1+pr_capex_shift)</f>
        <v/>
      </c>
      <c r="F1185" s="23">
        <f>(IF(F1177-pr_pfas_delay=pr_pfas_y1,pr_pfas_1,0)+IF(F1177-pr_pfas_delay=pr_pfas_y1+1,pr_pfas_2,0)+IF(F1177-pr_pfas_delay=pr_pfas_y1+2,pr_pfas_3,0))*(1+pr_capex_esc)^pr_pfas_delay*(1+pr_capex_shift)</f>
        <v/>
      </c>
      <c r="G1185" s="23">
        <f>(IF(G1177-pr_pfas_delay=pr_pfas_y1,pr_pfas_1,0)+IF(G1177-pr_pfas_delay=pr_pfas_y1+1,pr_pfas_2,0)+IF(G1177-pr_pfas_delay=pr_pfas_y1+2,pr_pfas_3,0))*(1+pr_capex_esc)^pr_pfas_delay*(1+pr_capex_shift)</f>
        <v/>
      </c>
      <c r="H1185" s="23">
        <f>(IF(H1177-pr_pfas_delay=pr_pfas_y1,pr_pfas_1,0)+IF(H1177-pr_pfas_delay=pr_pfas_y1+1,pr_pfas_2,0)+IF(H1177-pr_pfas_delay=pr_pfas_y1+2,pr_pfas_3,0))*(1+pr_capex_esc)^pr_pfas_delay*(1+pr_capex_shift)</f>
        <v/>
      </c>
      <c r="I1185" s="23">
        <f>(IF(I1177-pr_pfas_delay=pr_pfas_y1,pr_pfas_1,0)+IF(I1177-pr_pfas_delay=pr_pfas_y1+1,pr_pfas_2,0)+IF(I1177-pr_pfas_delay=pr_pfas_y1+2,pr_pfas_3,0))*(1+pr_capex_esc)^pr_pfas_delay*(1+pr_capex_shift)</f>
        <v/>
      </c>
      <c r="J1185" s="23">
        <f>(IF(J1177-pr_pfas_delay=pr_pfas_y1,pr_pfas_1,0)+IF(J1177-pr_pfas_delay=pr_pfas_y1+1,pr_pfas_2,0)+IF(J1177-pr_pfas_delay=pr_pfas_y1+2,pr_pfas_3,0))*(1+pr_capex_esc)^pr_pfas_delay*(1+pr_capex_shift)</f>
        <v/>
      </c>
      <c r="K1185" s="23">
        <f>(IF(K1177-pr_pfas_delay=pr_pfas_y1,pr_pfas_1,0)+IF(K1177-pr_pfas_delay=pr_pfas_y1+1,pr_pfas_2,0)+IF(K1177-pr_pfas_delay=pr_pfas_y1+2,pr_pfas_3,0))*(1+pr_capex_esc)^pr_pfas_delay*(1+pr_capex_shift)</f>
        <v/>
      </c>
      <c r="L1185" s="23">
        <f>(IF(L1177-pr_pfas_delay=pr_pfas_y1,pr_pfas_1,0)+IF(L1177-pr_pfas_delay=pr_pfas_y1+1,pr_pfas_2,0)+IF(L1177-pr_pfas_delay=pr_pfas_y1+2,pr_pfas_3,0))*(1+pr_capex_esc)^pr_pfas_delay*(1+pr_capex_shift)</f>
        <v/>
      </c>
      <c r="M1185" s="23">
        <f>(IF(M1177-pr_pfas_delay=pr_pfas_y1,pr_pfas_1,0)+IF(M1177-pr_pfas_delay=pr_pfas_y1+1,pr_pfas_2,0)+IF(M1177-pr_pfas_delay=pr_pfas_y1+2,pr_pfas_3,0))*(1+pr_capex_esc)^pr_pfas_delay*(1+pr_capex_shift)</f>
        <v/>
      </c>
      <c r="N1185" s="23">
        <f>(IF(N1177-pr_pfas_delay=pr_pfas_y1,pr_pfas_1,0)+IF(N1177-pr_pfas_delay=pr_pfas_y1+1,pr_pfas_2,0)+IF(N1177-pr_pfas_delay=pr_pfas_y1+2,pr_pfas_3,0))*(1+pr_capex_esc)^pr_pfas_delay*(1+pr_capex_shift)</f>
        <v/>
      </c>
    </row>
    <row r="1186">
      <c r="B1186" s="2" t="inlineStr">
        <is>
          <t>Lead service lines</t>
        </is>
      </c>
      <c r="C1186" s="5" t="inlineStr">
        <is>
          <t>$ million</t>
        </is>
      </c>
      <c r="E1186" s="23">
        <f>IF(AND(E1177&gt;=(pr_close+1),E1177&lt;(pr_close+1)+pr_lead_years),pr_lead_lines/pr_lead_years*pr_lead_cost/1000000*E1182,0)*(1+pr_capex_shift)</f>
        <v/>
      </c>
      <c r="F1186" s="23">
        <f>IF(AND(F1177&gt;=(pr_close+1),F1177&lt;(pr_close+1)+pr_lead_years),pr_lead_lines/pr_lead_years*pr_lead_cost/1000000*F1182,0)*(1+pr_capex_shift)</f>
        <v/>
      </c>
      <c r="G1186" s="23">
        <f>IF(AND(G1177&gt;=(pr_close+1),G1177&lt;(pr_close+1)+pr_lead_years),pr_lead_lines/pr_lead_years*pr_lead_cost/1000000*G1182,0)*(1+pr_capex_shift)</f>
        <v/>
      </c>
      <c r="H1186" s="23">
        <f>IF(AND(H1177&gt;=(pr_close+1),H1177&lt;(pr_close+1)+pr_lead_years),pr_lead_lines/pr_lead_years*pr_lead_cost/1000000*H1182,0)*(1+pr_capex_shift)</f>
        <v/>
      </c>
      <c r="I1186" s="23">
        <f>IF(AND(I1177&gt;=(pr_close+1),I1177&lt;(pr_close+1)+pr_lead_years),pr_lead_lines/pr_lead_years*pr_lead_cost/1000000*I1182,0)*(1+pr_capex_shift)</f>
        <v/>
      </c>
      <c r="J1186" s="23">
        <f>IF(AND(J1177&gt;=(pr_close+1),J1177&lt;(pr_close+1)+pr_lead_years),pr_lead_lines/pr_lead_years*pr_lead_cost/1000000*J1182,0)*(1+pr_capex_shift)</f>
        <v/>
      </c>
      <c r="K1186" s="23">
        <f>IF(AND(K1177&gt;=(pr_close+1),K1177&lt;(pr_close+1)+pr_lead_years),pr_lead_lines/pr_lead_years*pr_lead_cost/1000000*K1182,0)*(1+pr_capex_shift)</f>
        <v/>
      </c>
      <c r="L1186" s="23">
        <f>IF(AND(L1177&gt;=(pr_close+1),L1177&lt;(pr_close+1)+pr_lead_years),pr_lead_lines/pr_lead_years*pr_lead_cost/1000000*L1182,0)*(1+pr_capex_shift)</f>
        <v/>
      </c>
      <c r="M1186" s="23">
        <f>IF(AND(M1177&gt;=(pr_close+1),M1177&lt;(pr_close+1)+pr_lead_years),pr_lead_lines/pr_lead_years*pr_lead_cost/1000000*M1182,0)*(1+pr_capex_shift)</f>
        <v/>
      </c>
      <c r="N1186" s="23">
        <f>IF(AND(N1177&gt;=(pr_close+1),N1177&lt;(pr_close+1)+pr_lead_years),pr_lead_lines/pr_lead_years*pr_lead_cost/1000000*N1182,0)*(1+pr_capex_shift)</f>
        <v/>
      </c>
    </row>
    <row r="1187">
      <c r="B1187" s="2" t="inlineStr">
        <is>
          <t>Fennick system</t>
        </is>
      </c>
      <c r="C1187" s="5" t="inlineStr">
        <is>
          <t>$ million</t>
        </is>
      </c>
      <c r="E1187" s="23">
        <f>IF(AND(pr_fen_on=1,E1177&gt;pr_fen_year),pr_fen_capex*(1+pr_capex_esc)^(E1177-pr_fen_year-1),0)*(1+pr_capex_shift)</f>
        <v/>
      </c>
      <c r="F1187" s="23">
        <f>IF(AND(pr_fen_on=1,F1177&gt;pr_fen_year),pr_fen_capex*(1+pr_capex_esc)^(F1177-pr_fen_year-1),0)*(1+pr_capex_shift)</f>
        <v/>
      </c>
      <c r="G1187" s="23">
        <f>IF(AND(pr_fen_on=1,G1177&gt;pr_fen_year),pr_fen_capex*(1+pr_capex_esc)^(G1177-pr_fen_year-1),0)*(1+pr_capex_shift)</f>
        <v/>
      </c>
      <c r="H1187" s="23">
        <f>IF(AND(pr_fen_on=1,H1177&gt;pr_fen_year),pr_fen_capex*(1+pr_capex_esc)^(H1177-pr_fen_year-1),0)*(1+pr_capex_shift)</f>
        <v/>
      </c>
      <c r="I1187" s="23">
        <f>IF(AND(pr_fen_on=1,I1177&gt;pr_fen_year),pr_fen_capex*(1+pr_capex_esc)^(I1177-pr_fen_year-1),0)*(1+pr_capex_shift)</f>
        <v/>
      </c>
      <c r="J1187" s="23">
        <f>IF(AND(pr_fen_on=1,J1177&gt;pr_fen_year),pr_fen_capex*(1+pr_capex_esc)^(J1177-pr_fen_year-1),0)*(1+pr_capex_shift)</f>
        <v/>
      </c>
      <c r="K1187" s="23">
        <f>IF(AND(pr_fen_on=1,K1177&gt;pr_fen_year),pr_fen_capex*(1+pr_capex_esc)^(K1177-pr_fen_year-1),0)*(1+pr_capex_shift)</f>
        <v/>
      </c>
      <c r="L1187" s="23">
        <f>IF(AND(pr_fen_on=1,L1177&gt;pr_fen_year),pr_fen_capex*(1+pr_capex_esc)^(L1177-pr_fen_year-1),0)*(1+pr_capex_shift)</f>
        <v/>
      </c>
      <c r="M1187" s="23">
        <f>IF(AND(pr_fen_on=1,M1177&gt;pr_fen_year),pr_fen_capex*(1+pr_capex_esc)^(M1177-pr_fen_year-1),0)*(1+pr_capex_shift)</f>
        <v/>
      </c>
      <c r="N1187" s="23">
        <f>IF(AND(pr_fen_on=1,N1177&gt;pr_fen_year),pr_fen_capex*(1+pr_capex_esc)^(N1177-pr_fen_year-1),0)*(1+pr_capex_shift)</f>
        <v/>
      </c>
    </row>
    <row r="1188">
      <c r="B1188" s="2" t="inlineStr">
        <is>
          <t>Total capital spending</t>
        </is>
      </c>
      <c r="C1188" s="5" t="inlineStr">
        <is>
          <t>$ million</t>
        </is>
      </c>
      <c r="E1188" s="23">
        <f>SUM(E1183:E1187)</f>
        <v/>
      </c>
      <c r="F1188" s="23">
        <f>SUM(F1183:F1187)</f>
        <v/>
      </c>
      <c r="G1188" s="23">
        <f>SUM(G1183:G1187)</f>
        <v/>
      </c>
      <c r="H1188" s="23">
        <f>SUM(H1183:H1187)</f>
        <v/>
      </c>
      <c r="I1188" s="23">
        <f>SUM(I1183:I1187)</f>
        <v/>
      </c>
      <c r="J1188" s="23">
        <f>SUM(J1183:J1187)</f>
        <v/>
      </c>
      <c r="K1188" s="23">
        <f>SUM(K1183:K1187)</f>
        <v/>
      </c>
      <c r="L1188" s="23">
        <f>SUM(L1183:L1187)</f>
        <v/>
      </c>
      <c r="M1188" s="23">
        <f>SUM(M1183:M1187)</f>
        <v/>
      </c>
      <c r="N1188" s="23">
        <f>SUM(N1183:N1187)</f>
        <v/>
      </c>
    </row>
    <row r="1189">
      <c r="B1189" s="2" t="inlineStr">
        <is>
          <t>DSIC-eligible (mains and lead lines)</t>
        </is>
      </c>
      <c r="C1189" s="5" t="inlineStr">
        <is>
          <t>$ million</t>
        </is>
      </c>
      <c r="E1189" s="23">
        <f>E1183+E1186</f>
        <v/>
      </c>
      <c r="F1189" s="23">
        <f>F1183+F1186</f>
        <v/>
      </c>
      <c r="G1189" s="23">
        <f>G1183+G1186</f>
        <v/>
      </c>
      <c r="H1189" s="23">
        <f>H1183+H1186</f>
        <v/>
      </c>
      <c r="I1189" s="23">
        <f>I1183+I1186</f>
        <v/>
      </c>
      <c r="J1189" s="23">
        <f>J1183+J1186</f>
        <v/>
      </c>
      <c r="K1189" s="23">
        <f>K1183+K1186</f>
        <v/>
      </c>
      <c r="L1189" s="23">
        <f>L1183+L1186</f>
        <v/>
      </c>
      <c r="M1189" s="23">
        <f>M1183+M1186</f>
        <v/>
      </c>
      <c r="N1189" s="23">
        <f>N1183+N1186</f>
        <v/>
      </c>
    </row>
    <row r="1191">
      <c r="B1191" s="6" t="inlineStr">
        <is>
          <t>Rate case (rates effective 1 January of the year; test-year values looked up to the left)</t>
        </is>
      </c>
      <c r="C1191" s="7" t="n"/>
      <c r="D1191" s="7" t="n"/>
      <c r="E1191" s="7" t="n"/>
      <c r="F1191" s="7" t="n"/>
      <c r="G1191" s="7" t="n"/>
      <c r="H1191" s="7" t="n"/>
      <c r="I1191" s="7" t="n"/>
      <c r="J1191" s="7" t="n"/>
      <c r="K1191" s="7" t="n"/>
      <c r="L1191" s="7" t="n"/>
      <c r="M1191" s="7" t="n"/>
      <c r="N1191" s="7" t="n"/>
    </row>
    <row r="1192">
      <c r="B1192" s="2" t="inlineStr">
        <is>
          <t>Rate case this year (1 = yes)</t>
        </is>
      </c>
      <c r="E1192" s="26">
        <f>IF(AND(E1177&gt;=pr_rc_first,MOD(E1177-pr_rc_first,Inputs!$C$255)=0),1,0)</f>
        <v/>
      </c>
      <c r="F1192" s="26">
        <f>IF(AND(F1177&gt;=pr_rc_first,MOD(F1177-pr_rc_first,Inputs!$C$255)=0),1,0)</f>
        <v/>
      </c>
      <c r="G1192" s="26">
        <f>IF(AND(G1177&gt;=pr_rc_first,MOD(G1177-pr_rc_first,Inputs!$C$255)=0),1,0)</f>
        <v/>
      </c>
      <c r="H1192" s="26">
        <f>IF(AND(H1177&gt;=pr_rc_first,MOD(H1177-pr_rc_first,Inputs!$C$255)=0),1,0)</f>
        <v/>
      </c>
      <c r="I1192" s="26">
        <f>IF(AND(I1177&gt;=pr_rc_first,MOD(I1177-pr_rc_first,Inputs!$C$255)=0),1,0)</f>
        <v/>
      </c>
      <c r="J1192" s="26">
        <f>IF(AND(J1177&gt;=pr_rc_first,MOD(J1177-pr_rc_first,Inputs!$C$255)=0),1,0)</f>
        <v/>
      </c>
      <c r="K1192" s="26">
        <f>IF(AND(K1177&gt;=pr_rc_first,MOD(K1177-pr_rc_first,Inputs!$C$255)=0),1,0)</f>
        <v/>
      </c>
      <c r="L1192" s="26">
        <f>IF(AND(L1177&gt;=pr_rc_first,MOD(L1177-pr_rc_first,Inputs!$C$255)=0),1,0)</f>
        <v/>
      </c>
      <c r="M1192" s="26">
        <f>IF(AND(M1177&gt;=pr_rc_first,MOD(M1177-pr_rc_first,Inputs!$C$255)=0),1,0)</f>
        <v/>
      </c>
      <c r="N1192" s="26">
        <f>IF(AND(N1177&gt;=pr_rc_first,MOD(N1177-pr_rc_first,Inputs!$C$255)=0),1,0)</f>
        <v/>
      </c>
    </row>
    <row r="1193">
      <c r="B1193" s="2" t="inlineStr">
        <is>
          <t>Test year</t>
        </is>
      </c>
      <c r="E1193" s="26">
        <f>E1177-Inputs!$C$256</f>
        <v/>
      </c>
      <c r="F1193" s="26">
        <f>F1177-Inputs!$C$256</f>
        <v/>
      </c>
      <c r="G1193" s="26">
        <f>G1177-Inputs!$C$256</f>
        <v/>
      </c>
      <c r="H1193" s="26">
        <f>H1177-Inputs!$C$256</f>
        <v/>
      </c>
      <c r="I1193" s="26">
        <f>I1177-Inputs!$C$256</f>
        <v/>
      </c>
      <c r="J1193" s="26">
        <f>J1177-Inputs!$C$256</f>
        <v/>
      </c>
      <c r="K1193" s="26">
        <f>K1177-Inputs!$C$256</f>
        <v/>
      </c>
      <c r="L1193" s="26">
        <f>L1177-Inputs!$C$256</f>
        <v/>
      </c>
      <c r="M1193" s="26">
        <f>M1177-Inputs!$C$256</f>
        <v/>
      </c>
      <c r="N1193" s="26">
        <f>N1177-Inputs!$C$256</f>
        <v/>
      </c>
    </row>
    <row r="1194">
      <c r="B1194" s="2" t="inlineStr">
        <is>
          <t>Test year of the latest rate case</t>
        </is>
      </c>
      <c r="D1194" s="26">
        <f>pr_close</f>
        <v/>
      </c>
      <c r="E1194" s="26">
        <f>IF(E1192=1,E1193,D1194)</f>
        <v/>
      </c>
      <c r="F1194" s="26">
        <f>IF(F1192=1,F1193,E1194)</f>
        <v/>
      </c>
      <c r="G1194" s="26">
        <f>IF(G1192=1,G1193,F1194)</f>
        <v/>
      </c>
      <c r="H1194" s="26">
        <f>IF(H1192=1,H1193,G1194)</f>
        <v/>
      </c>
      <c r="I1194" s="26">
        <f>IF(I1192=1,I1193,H1194)</f>
        <v/>
      </c>
      <c r="J1194" s="26">
        <f>IF(J1192=1,J1193,I1194)</f>
        <v/>
      </c>
      <c r="K1194" s="26">
        <f>IF(K1192=1,K1193,J1194)</f>
        <v/>
      </c>
      <c r="L1194" s="26">
        <f>IF(L1192=1,L1193,K1194)</f>
        <v/>
      </c>
      <c r="M1194" s="26">
        <f>IF(M1192=1,M1193,L1194)</f>
        <v/>
      </c>
      <c r="N1194" s="26">
        <f>IF(N1192=1,N1193,M1194)</f>
        <v/>
      </c>
    </row>
    <row r="1195">
      <c r="B1195" s="2" t="inlineStr">
        <is>
          <t>Rate base at the end of the test year</t>
        </is>
      </c>
      <c r="C1195" s="5" t="inlineStr">
        <is>
          <t>$ million</t>
        </is>
      </c>
      <c r="E1195" s="23">
        <f>INDEX($D$1234:D$1234,MATCH(MAX(E1193,pr_close),$D$1177:D$1177,0))</f>
        <v/>
      </c>
      <c r="F1195" s="23">
        <f>INDEX($D$1234:E$1234,MATCH(MAX(F1193,pr_close),$D$1177:E$1177,0))</f>
        <v/>
      </c>
      <c r="G1195" s="23">
        <f>INDEX($D$1234:F$1234,MATCH(MAX(G1193,pr_close),$D$1177:F$1177,0))</f>
        <v/>
      </c>
      <c r="H1195" s="23">
        <f>INDEX($D$1234:G$1234,MATCH(MAX(H1193,pr_close),$D$1177:G$1177,0))</f>
        <v/>
      </c>
      <c r="I1195" s="23">
        <f>INDEX($D$1234:H$1234,MATCH(MAX(I1193,pr_close),$D$1177:H$1177,0))</f>
        <v/>
      </c>
      <c r="J1195" s="23">
        <f>INDEX($D$1234:I$1234,MATCH(MAX(J1193,pr_close),$D$1177:I$1177,0))</f>
        <v/>
      </c>
      <c r="K1195" s="23">
        <f>INDEX($D$1234:J$1234,MATCH(MAX(K1193,pr_close),$D$1177:J$1177,0))</f>
        <v/>
      </c>
      <c r="L1195" s="23">
        <f>INDEX($D$1234:K$1234,MATCH(MAX(L1193,pr_close),$D$1177:K$1177,0))</f>
        <v/>
      </c>
      <c r="M1195" s="23">
        <f>INDEX($D$1234:L$1234,MATCH(MAX(M1193,pr_close),$D$1177:L$1177,0))</f>
        <v/>
      </c>
      <c r="N1195" s="23">
        <f>INDEX($D$1234:M$1234,MATCH(MAX(N1193,pr_close),$D$1177:M$1177,0))</f>
        <v/>
      </c>
    </row>
    <row r="1196">
      <c r="B1196" s="2" t="inlineStr">
        <is>
          <t>Embedded cost of debt in the test year</t>
        </is>
      </c>
      <c r="C1196" s="5" t="inlineStr">
        <is>
          <t>rate</t>
        </is>
      </c>
      <c r="E1196" s="27">
        <f>INDEX($D$1238:D$1238,MATCH(MAX(E1193,pr_close),$D$1177:D$1177,0))</f>
        <v/>
      </c>
      <c r="F1196" s="27">
        <f>INDEX($D$1238:E$1238,MATCH(MAX(F1193,pr_close),$D$1177:E$1177,0))</f>
        <v/>
      </c>
      <c r="G1196" s="27">
        <f>INDEX($D$1238:F$1238,MATCH(MAX(G1193,pr_close),$D$1177:F$1177,0))</f>
        <v/>
      </c>
      <c r="H1196" s="27">
        <f>INDEX($D$1238:G$1238,MATCH(MAX(H1193,pr_close),$D$1177:G$1177,0))</f>
        <v/>
      </c>
      <c r="I1196" s="27">
        <f>INDEX($D$1238:H$1238,MATCH(MAX(I1193,pr_close),$D$1177:H$1177,0))</f>
        <v/>
      </c>
      <c r="J1196" s="27">
        <f>INDEX($D$1238:I$1238,MATCH(MAX(J1193,pr_close),$D$1177:I$1177,0))</f>
        <v/>
      </c>
      <c r="K1196" s="27">
        <f>INDEX($D$1238:J$1238,MATCH(MAX(K1193,pr_close),$D$1177:J$1177,0))</f>
        <v/>
      </c>
      <c r="L1196" s="27">
        <f>INDEX($D$1238:K$1238,MATCH(MAX(L1193,pr_close),$D$1177:K$1177,0))</f>
        <v/>
      </c>
      <c r="M1196" s="27">
        <f>INDEX($D$1238:L$1238,MATCH(MAX(M1193,pr_close),$D$1177:L$1177,0))</f>
        <v/>
      </c>
      <c r="N1196" s="27">
        <f>INDEX($D$1238:M$1238,MATCH(MAX(N1193,pr_close),$D$1177:M$1177,0))</f>
        <v/>
      </c>
    </row>
    <row r="1197">
      <c r="B1197" s="2" t="inlineStr">
        <is>
          <t>O&amp;M in the test year</t>
        </is>
      </c>
      <c r="C1197" s="5" t="inlineStr">
        <is>
          <t>$ million</t>
        </is>
      </c>
      <c r="E1197" s="23">
        <f>INDEX($D$1219:D$1219,MATCH(MAX(E1193,pr_close),$D$1177:D$1177,0))</f>
        <v/>
      </c>
      <c r="F1197" s="23">
        <f>INDEX($D$1219:E$1219,MATCH(MAX(F1193,pr_close),$D$1177:E$1177,0))</f>
        <v/>
      </c>
      <c r="G1197" s="23">
        <f>INDEX($D$1219:F$1219,MATCH(MAX(G1193,pr_close),$D$1177:F$1177,0))</f>
        <v/>
      </c>
      <c r="H1197" s="23">
        <f>INDEX($D$1219:G$1219,MATCH(MAX(H1193,pr_close),$D$1177:G$1177,0))</f>
        <v/>
      </c>
      <c r="I1197" s="23">
        <f>INDEX($D$1219:H$1219,MATCH(MAX(I1193,pr_close),$D$1177:H$1177,0))</f>
        <v/>
      </c>
      <c r="J1197" s="23">
        <f>INDEX($D$1219:I$1219,MATCH(MAX(J1193,pr_close),$D$1177:I$1177,0))</f>
        <v/>
      </c>
      <c r="K1197" s="23">
        <f>INDEX($D$1219:J$1219,MATCH(MAX(K1193,pr_close),$D$1177:J$1177,0))</f>
        <v/>
      </c>
      <c r="L1197" s="23">
        <f>INDEX($D$1219:K$1219,MATCH(MAX(L1193,pr_close),$D$1177:K$1177,0))</f>
        <v/>
      </c>
      <c r="M1197" s="23">
        <f>INDEX($D$1219:L$1219,MATCH(MAX(M1193,pr_close),$D$1177:L$1177,0))</f>
        <v/>
      </c>
      <c r="N1197" s="23">
        <f>INDEX($D$1219:M$1219,MATCH(MAX(N1193,pr_close),$D$1177:M$1177,0))</f>
        <v/>
      </c>
    </row>
    <row r="1198">
      <c r="B1198" s="2" t="inlineStr">
        <is>
          <t>Authorized return on rate base</t>
        </is>
      </c>
      <c r="C1198" s="5" t="inlineStr">
        <is>
          <t>rate</t>
        </is>
      </c>
      <c r="E1198" s="27">
        <f>(pr_eq*Inputs!$C$254+(1-pr_eq)*E1196)</f>
        <v/>
      </c>
      <c r="F1198" s="27">
        <f>(pr_eq*Inputs!$C$254+(1-pr_eq)*F1196)</f>
        <v/>
      </c>
      <c r="G1198" s="27">
        <f>(pr_eq*Inputs!$C$254+(1-pr_eq)*G1196)</f>
        <v/>
      </c>
      <c r="H1198" s="27">
        <f>(pr_eq*Inputs!$C$254+(1-pr_eq)*H1196)</f>
        <v/>
      </c>
      <c r="I1198" s="27">
        <f>(pr_eq*Inputs!$C$254+(1-pr_eq)*I1196)</f>
        <v/>
      </c>
      <c r="J1198" s="27">
        <f>(pr_eq*Inputs!$C$254+(1-pr_eq)*J1196)</f>
        <v/>
      </c>
      <c r="K1198" s="27">
        <f>(pr_eq*Inputs!$C$254+(1-pr_eq)*K1196)</f>
        <v/>
      </c>
      <c r="L1198" s="27">
        <f>(pr_eq*Inputs!$C$254+(1-pr_eq)*L1196)</f>
        <v/>
      </c>
      <c r="M1198" s="27">
        <f>(pr_eq*Inputs!$C$254+(1-pr_eq)*M1196)</f>
        <v/>
      </c>
      <c r="N1198" s="27">
        <f>(pr_eq*Inputs!$C$254+(1-pr_eq)*N1196)</f>
        <v/>
      </c>
    </row>
    <row r="1199">
      <c r="B1199" s="2" t="inlineStr">
        <is>
          <t>Return</t>
        </is>
      </c>
      <c r="C1199" s="5" t="inlineStr">
        <is>
          <t>$ million</t>
        </is>
      </c>
      <c r="E1199" s="23">
        <f>E1198*E1195</f>
        <v/>
      </c>
      <c r="F1199" s="23">
        <f>F1198*F1195</f>
        <v/>
      </c>
      <c r="G1199" s="23">
        <f>G1198*G1195</f>
        <v/>
      </c>
      <c r="H1199" s="23">
        <f>H1198*H1195</f>
        <v/>
      </c>
      <c r="I1199" s="23">
        <f>I1198*I1195</f>
        <v/>
      </c>
      <c r="J1199" s="23">
        <f>J1198*J1195</f>
        <v/>
      </c>
      <c r="K1199" s="23">
        <f>K1198*K1195</f>
        <v/>
      </c>
      <c r="L1199" s="23">
        <f>L1198*L1195</f>
        <v/>
      </c>
      <c r="M1199" s="23">
        <f>M1198*M1195</f>
        <v/>
      </c>
      <c r="N1199" s="23">
        <f>N1198*N1195</f>
        <v/>
      </c>
    </row>
    <row r="1200">
      <c r="B1200" s="2" t="inlineStr">
        <is>
          <t>Income tax gross-up</t>
        </is>
      </c>
      <c r="C1200" s="5" t="inlineStr">
        <is>
          <t>$ million</t>
        </is>
      </c>
      <c r="E1200" s="23">
        <f>(pr_eq*Inputs!$C$254*pr_tax/(1-pr_tax))*E1195</f>
        <v/>
      </c>
      <c r="F1200" s="23">
        <f>(pr_eq*Inputs!$C$254*pr_tax/(1-pr_tax))*F1195</f>
        <v/>
      </c>
      <c r="G1200" s="23">
        <f>(pr_eq*Inputs!$C$254*pr_tax/(1-pr_tax))*G1195</f>
        <v/>
      </c>
      <c r="H1200" s="23">
        <f>(pr_eq*Inputs!$C$254*pr_tax/(1-pr_tax))*H1195</f>
        <v/>
      </c>
      <c r="I1200" s="23">
        <f>(pr_eq*Inputs!$C$254*pr_tax/(1-pr_tax))*I1195</f>
        <v/>
      </c>
      <c r="J1200" s="23">
        <f>(pr_eq*Inputs!$C$254*pr_tax/(1-pr_tax))*J1195</f>
        <v/>
      </c>
      <c r="K1200" s="23">
        <f>(pr_eq*Inputs!$C$254*pr_tax/(1-pr_tax))*K1195</f>
        <v/>
      </c>
      <c r="L1200" s="23">
        <f>(pr_eq*Inputs!$C$254*pr_tax/(1-pr_tax))*L1195</f>
        <v/>
      </c>
      <c r="M1200" s="23">
        <f>(pr_eq*Inputs!$C$254*pr_tax/(1-pr_tax))*M1195</f>
        <v/>
      </c>
      <c r="N1200" s="23">
        <f>(pr_eq*Inputs!$C$254*pr_tax/(1-pr_tax))*N1195</f>
        <v/>
      </c>
    </row>
    <row r="1201">
      <c r="B1201" s="2" t="inlineStr">
        <is>
          <t>Depreciation</t>
        </is>
      </c>
      <c r="C1201" s="5" t="inlineStr">
        <is>
          <t>$ million</t>
        </is>
      </c>
      <c r="E1201" s="23">
        <f>pr_dep*E1195</f>
        <v/>
      </c>
      <c r="F1201" s="23">
        <f>pr_dep*F1195</f>
        <v/>
      </c>
      <c r="G1201" s="23">
        <f>pr_dep*G1195</f>
        <v/>
      </c>
      <c r="H1201" s="23">
        <f>pr_dep*H1195</f>
        <v/>
      </c>
      <c r="I1201" s="23">
        <f>pr_dep*I1195</f>
        <v/>
      </c>
      <c r="J1201" s="23">
        <f>pr_dep*J1195</f>
        <v/>
      </c>
      <c r="K1201" s="23">
        <f>pr_dep*K1195</f>
        <v/>
      </c>
      <c r="L1201" s="23">
        <f>pr_dep*L1195</f>
        <v/>
      </c>
      <c r="M1201" s="23">
        <f>pr_dep*M1195</f>
        <v/>
      </c>
      <c r="N1201" s="23">
        <f>pr_dep*N1195</f>
        <v/>
      </c>
    </row>
    <row r="1202">
      <c r="B1202" s="2" t="inlineStr">
        <is>
          <t>Other taxes</t>
        </is>
      </c>
      <c r="C1202" s="5" t="inlineStr">
        <is>
          <t>$ million</t>
        </is>
      </c>
      <c r="E1202" s="23">
        <f>pr_ptax*E1195</f>
        <v/>
      </c>
      <c r="F1202" s="23">
        <f>pr_ptax*F1195</f>
        <v/>
      </c>
      <c r="G1202" s="23">
        <f>pr_ptax*G1195</f>
        <v/>
      </c>
      <c r="H1202" s="23">
        <f>pr_ptax*H1195</f>
        <v/>
      </c>
      <c r="I1202" s="23">
        <f>pr_ptax*I1195</f>
        <v/>
      </c>
      <c r="J1202" s="23">
        <f>pr_ptax*J1195</f>
        <v/>
      </c>
      <c r="K1202" s="23">
        <f>pr_ptax*K1195</f>
        <v/>
      </c>
      <c r="L1202" s="23">
        <f>pr_ptax*L1195</f>
        <v/>
      </c>
      <c r="M1202" s="23">
        <f>pr_ptax*M1195</f>
        <v/>
      </c>
      <c r="N1202" s="23">
        <f>pr_ptax*N1195</f>
        <v/>
      </c>
    </row>
    <row r="1203">
      <c r="B1203" s="2" t="inlineStr">
        <is>
          <t>O&amp;M (test year, known and measurable)</t>
        </is>
      </c>
      <c r="C1203" s="5" t="inlineStr">
        <is>
          <t>$ million</t>
        </is>
      </c>
      <c r="E1203" s="23">
        <f>E1197*(1+Inputs!$C$257)*(1+pr_growth)</f>
        <v/>
      </c>
      <c r="F1203" s="23">
        <f>F1197*(1+Inputs!$C$257)*(1+pr_growth)</f>
        <v/>
      </c>
      <c r="G1203" s="23">
        <f>G1197*(1+Inputs!$C$257)*(1+pr_growth)</f>
        <v/>
      </c>
      <c r="H1203" s="23">
        <f>H1197*(1+Inputs!$C$257)*(1+pr_growth)</f>
        <v/>
      </c>
      <c r="I1203" s="23">
        <f>I1197*(1+Inputs!$C$257)*(1+pr_growth)</f>
        <v/>
      </c>
      <c r="J1203" s="23">
        <f>J1197*(1+Inputs!$C$257)*(1+pr_growth)</f>
        <v/>
      </c>
      <c r="K1203" s="23">
        <f>K1197*(1+Inputs!$C$257)*(1+pr_growth)</f>
        <v/>
      </c>
      <c r="L1203" s="23">
        <f>L1197*(1+Inputs!$C$257)*(1+pr_growth)</f>
        <v/>
      </c>
      <c r="M1203" s="23">
        <f>M1197*(1+Inputs!$C$257)*(1+pr_growth)</f>
        <v/>
      </c>
      <c r="N1203" s="23">
        <f>N1197*(1+Inputs!$C$257)*(1+pr_growth)</f>
        <v/>
      </c>
    </row>
    <row r="1204">
      <c r="B1204" s="2" t="inlineStr">
        <is>
          <t>Revenue requirement (test-year connections)</t>
        </is>
      </c>
      <c r="C1204" s="5" t="inlineStr">
        <is>
          <t>$ million</t>
        </is>
      </c>
      <c r="E1204" s="23">
        <f>SUM(E1199:E1203)</f>
        <v/>
      </c>
      <c r="F1204" s="23">
        <f>SUM(F1199:F1203)</f>
        <v/>
      </c>
      <c r="G1204" s="23">
        <f>SUM(G1199:G1203)</f>
        <v/>
      </c>
      <c r="H1204" s="23">
        <f>SUM(H1199:H1203)</f>
        <v/>
      </c>
      <c r="I1204" s="23">
        <f>SUM(I1199:I1203)</f>
        <v/>
      </c>
      <c r="J1204" s="23">
        <f>SUM(J1199:J1203)</f>
        <v/>
      </c>
      <c r="K1204" s="23">
        <f>SUM(K1199:K1203)</f>
        <v/>
      </c>
      <c r="L1204" s="23">
        <f>SUM(L1199:L1203)</f>
        <v/>
      </c>
      <c r="M1204" s="23">
        <f>SUM(M1199:M1203)</f>
        <v/>
      </c>
      <c r="N1204" s="23">
        <f>SUM(N1199:N1203)</f>
        <v/>
      </c>
    </row>
    <row r="1205">
      <c r="B1205" s="2" t="inlineStr">
        <is>
          <t>Revenue requirement on effective-year connections</t>
        </is>
      </c>
      <c r="C1205" s="5" t="inlineStr">
        <is>
          <t>$ million</t>
        </is>
      </c>
      <c r="E1205" s="23">
        <f>E1204*(1+pr_growth)</f>
        <v/>
      </c>
      <c r="F1205" s="23">
        <f>F1204*(1+pr_growth)</f>
        <v/>
      </c>
      <c r="G1205" s="23">
        <f>G1204*(1+pr_growth)</f>
        <v/>
      </c>
      <c r="H1205" s="23">
        <f>H1204*(1+pr_growth)</f>
        <v/>
      </c>
      <c r="I1205" s="23">
        <f>I1204*(1+pr_growth)</f>
        <v/>
      </c>
      <c r="J1205" s="23">
        <f>J1204*(1+pr_growth)</f>
        <v/>
      </c>
      <c r="K1205" s="23">
        <f>K1204*(1+pr_growth)</f>
        <v/>
      </c>
      <c r="L1205" s="23">
        <f>L1204*(1+pr_growth)</f>
        <v/>
      </c>
      <c r="M1205" s="23">
        <f>M1204*(1+pr_growth)</f>
        <v/>
      </c>
      <c r="N1205" s="23">
        <f>N1204*(1+pr_growth)</f>
        <v/>
      </c>
    </row>
    <row r="1206">
      <c r="B1206" s="2" t="inlineStr">
        <is>
          <t>Revenue at existing rates</t>
        </is>
      </c>
      <c r="C1206" s="5" t="inlineStr">
        <is>
          <t>$ million</t>
        </is>
      </c>
      <c r="E1206" s="23">
        <f>IF(E1177=(pr_close+1),D1212,D1212*(1+pr_growth)*(1-pr_vol_share*IF(pr_decoupling=1,0,pr_usage))+D1213+D1215)</f>
        <v/>
      </c>
      <c r="F1206" s="23">
        <f>IF(F1177=(pr_close+1),E1212,E1212*(1+pr_growth)*(1-pr_vol_share*IF(pr_decoupling=1,0,pr_usage))+E1213+E1215)</f>
        <v/>
      </c>
      <c r="G1206" s="23">
        <f>IF(G1177=(pr_close+1),F1212,F1212*(1+pr_growth)*(1-pr_vol_share*IF(pr_decoupling=1,0,pr_usage))+F1213+F1215)</f>
        <v/>
      </c>
      <c r="H1206" s="23">
        <f>IF(H1177=(pr_close+1),G1212,G1212*(1+pr_growth)*(1-pr_vol_share*IF(pr_decoupling=1,0,pr_usage))+G1213+G1215)</f>
        <v/>
      </c>
      <c r="I1206" s="23">
        <f>IF(I1177=(pr_close+1),H1212,H1212*(1+pr_growth)*(1-pr_vol_share*IF(pr_decoupling=1,0,pr_usage))+H1213+H1215)</f>
        <v/>
      </c>
      <c r="J1206" s="23">
        <f>IF(J1177=(pr_close+1),I1212,I1212*(1+pr_growth)*(1-pr_vol_share*IF(pr_decoupling=1,0,pr_usage))+I1213+I1215)</f>
        <v/>
      </c>
      <c r="K1206" s="23">
        <f>IF(K1177=(pr_close+1),J1212,J1212*(1+pr_growth)*(1-pr_vol_share*IF(pr_decoupling=1,0,pr_usage))+J1213+J1215)</f>
        <v/>
      </c>
      <c r="L1206" s="23">
        <f>IF(L1177=(pr_close+1),K1212,K1212*(1+pr_growth)*(1-pr_vol_share*IF(pr_decoupling=1,0,pr_usage))+K1213+K1215)</f>
        <v/>
      </c>
      <c r="M1206" s="23">
        <f>IF(M1177=(pr_close+1),L1212,L1212*(1+pr_growth)*(1-pr_vol_share*IF(pr_decoupling=1,0,pr_usage))+L1213+L1215)</f>
        <v/>
      </c>
      <c r="N1206" s="23">
        <f>IF(N1177=(pr_close+1),M1212,M1212*(1+pr_growth)*(1-pr_vol_share*IF(pr_decoupling=1,0,pr_usage))+M1213+M1215)</f>
        <v/>
      </c>
    </row>
    <row r="1207">
      <c r="B1207" s="2" t="inlineStr">
        <is>
          <t>Increase granted</t>
        </is>
      </c>
      <c r="C1207" s="5" t="inlineStr">
        <is>
          <t>share</t>
        </is>
      </c>
      <c r="E1207" s="20">
        <f>E1205/E1206-1</f>
        <v/>
      </c>
      <c r="F1207" s="20">
        <f>F1205/F1206-1</f>
        <v/>
      </c>
      <c r="G1207" s="20">
        <f>G1205/G1206-1</f>
        <v/>
      </c>
      <c r="H1207" s="20">
        <f>H1205/H1206-1</f>
        <v/>
      </c>
      <c r="I1207" s="20">
        <f>I1205/I1206-1</f>
        <v/>
      </c>
      <c r="J1207" s="20">
        <f>J1205/J1206-1</f>
        <v/>
      </c>
      <c r="K1207" s="20">
        <f>K1205/K1206-1</f>
        <v/>
      </c>
      <c r="L1207" s="20">
        <f>L1205/L1206-1</f>
        <v/>
      </c>
      <c r="M1207" s="20">
        <f>M1205/M1206-1</f>
        <v/>
      </c>
      <c r="N1207" s="20">
        <f>N1205/N1206-1</f>
        <v/>
      </c>
    </row>
    <row r="1208">
      <c r="B1208" s="2" t="inlineStr">
        <is>
          <t>Revenue requirement requested (at the requested ROE)</t>
        </is>
      </c>
      <c r="C1208" s="5" t="inlineStr">
        <is>
          <t>$ million</t>
        </is>
      </c>
      <c r="E1208" s="23">
        <f>(pr_eq*pr_roe_ask+(1-pr_eq)*E1196)*E1195+pr_eq*pr_roe_ask*E1195*pr_tax/(1-pr_tax)+E1201+E1202+E1203</f>
        <v/>
      </c>
      <c r="F1208" s="23">
        <f>(pr_eq*pr_roe_ask+(1-pr_eq)*F1196)*F1195+pr_eq*pr_roe_ask*F1195*pr_tax/(1-pr_tax)+F1201+F1202+F1203</f>
        <v/>
      </c>
      <c r="G1208" s="23">
        <f>(pr_eq*pr_roe_ask+(1-pr_eq)*G1196)*G1195+pr_eq*pr_roe_ask*G1195*pr_tax/(1-pr_tax)+G1201+G1202+G1203</f>
        <v/>
      </c>
      <c r="H1208" s="23">
        <f>(pr_eq*pr_roe_ask+(1-pr_eq)*H1196)*H1195+pr_eq*pr_roe_ask*H1195*pr_tax/(1-pr_tax)+H1201+H1202+H1203</f>
        <v/>
      </c>
      <c r="I1208" s="23">
        <f>(pr_eq*pr_roe_ask+(1-pr_eq)*I1196)*I1195+pr_eq*pr_roe_ask*I1195*pr_tax/(1-pr_tax)+I1201+I1202+I1203</f>
        <v/>
      </c>
      <c r="J1208" s="23">
        <f>(pr_eq*pr_roe_ask+(1-pr_eq)*J1196)*J1195+pr_eq*pr_roe_ask*J1195*pr_tax/(1-pr_tax)+J1201+J1202+J1203</f>
        <v/>
      </c>
      <c r="K1208" s="23">
        <f>(pr_eq*pr_roe_ask+(1-pr_eq)*K1196)*K1195+pr_eq*pr_roe_ask*K1195*pr_tax/(1-pr_tax)+K1201+K1202+K1203</f>
        <v/>
      </c>
      <c r="L1208" s="23">
        <f>(pr_eq*pr_roe_ask+(1-pr_eq)*L1196)*L1195+pr_eq*pr_roe_ask*L1195*pr_tax/(1-pr_tax)+L1201+L1202+L1203</f>
        <v/>
      </c>
      <c r="M1208" s="23">
        <f>(pr_eq*pr_roe_ask+(1-pr_eq)*M1196)*M1195+pr_eq*pr_roe_ask*M1195*pr_tax/(1-pr_tax)+M1201+M1202+M1203</f>
        <v/>
      </c>
      <c r="N1208" s="23">
        <f>(pr_eq*pr_roe_ask+(1-pr_eq)*N1196)*N1195+pr_eq*pr_roe_ask*N1195*pr_tax/(1-pr_tax)+N1201+N1202+N1203</f>
        <v/>
      </c>
    </row>
    <row r="1209">
      <c r="B1209" s="2" t="inlineStr">
        <is>
          <t>Increase requested</t>
        </is>
      </c>
      <c r="C1209" s="5" t="inlineStr">
        <is>
          <t>share</t>
        </is>
      </c>
      <c r="E1209" s="20">
        <f>E1208*(1+pr_growth)/E1206-1</f>
        <v/>
      </c>
      <c r="F1209" s="20">
        <f>F1208*(1+pr_growth)/F1206-1</f>
        <v/>
      </c>
      <c r="G1209" s="20">
        <f>G1208*(1+pr_growth)/G1206-1</f>
        <v/>
      </c>
      <c r="H1209" s="20">
        <f>H1208*(1+pr_growth)/H1206-1</f>
        <v/>
      </c>
      <c r="I1209" s="20">
        <f>I1208*(1+pr_growth)/I1206-1</f>
        <v/>
      </c>
      <c r="J1209" s="20">
        <f>J1208*(1+pr_growth)/J1206-1</f>
        <v/>
      </c>
      <c r="K1209" s="20">
        <f>K1208*(1+pr_growth)/K1206-1</f>
        <v/>
      </c>
      <c r="L1209" s="20">
        <f>L1208*(1+pr_growth)/L1206-1</f>
        <v/>
      </c>
      <c r="M1209" s="20">
        <f>M1208*(1+pr_growth)/M1206-1</f>
        <v/>
      </c>
      <c r="N1209" s="20">
        <f>N1208*(1+pr_growth)/N1206-1</f>
        <v/>
      </c>
    </row>
    <row r="1211">
      <c r="B1211" s="6" t="inlineStr">
        <is>
          <t>Revenue ($ million)</t>
        </is>
      </c>
      <c r="C1211" s="7" t="n"/>
      <c r="D1211" s="7" t="n"/>
      <c r="E1211" s="7" t="n"/>
      <c r="F1211" s="7" t="n"/>
      <c r="G1211" s="7" t="n"/>
      <c r="H1211" s="7" t="n"/>
      <c r="I1211" s="7" t="n"/>
      <c r="J1211" s="7" t="n"/>
      <c r="K1211" s="7" t="n"/>
      <c r="L1211" s="7" t="n"/>
      <c r="M1211" s="7" t="n"/>
      <c r="N1211" s="7" t="n"/>
    </row>
    <row r="1212">
      <c r="B1212" s="2" t="inlineStr">
        <is>
          <t>Base revenue (rate case, or prior year x growth x volume erosion)</t>
        </is>
      </c>
      <c r="C1212" s="5" t="inlineStr">
        <is>
          <t>$ million</t>
        </is>
      </c>
      <c r="D1212" s="23">
        <f>pr_rev_2028/((1+pr_growth)*(1-pr_vol_share*IF(pr_decoupling=1,0,pr_usage)))</f>
        <v/>
      </c>
      <c r="E1212" s="23">
        <f>IF(E1192=1,E1205,D1212*(1+pr_growth)*(1-pr_vol_share*IF(pr_decoupling=1,0,pr_usage)))</f>
        <v/>
      </c>
      <c r="F1212" s="23">
        <f>IF(F1192=1,F1205,E1212*(1+pr_growth)*(1-pr_vol_share*IF(pr_decoupling=1,0,pr_usage)))</f>
        <v/>
      </c>
      <c r="G1212" s="23">
        <f>IF(G1192=1,G1205,F1212*(1+pr_growth)*(1-pr_vol_share*IF(pr_decoupling=1,0,pr_usage)))</f>
        <v/>
      </c>
      <c r="H1212" s="23">
        <f>IF(H1192=1,H1205,G1212*(1+pr_growth)*(1-pr_vol_share*IF(pr_decoupling=1,0,pr_usage)))</f>
        <v/>
      </c>
      <c r="I1212" s="23">
        <f>IF(I1192=1,I1205,H1212*(1+pr_growth)*(1-pr_vol_share*IF(pr_decoupling=1,0,pr_usage)))</f>
        <v/>
      </c>
      <c r="J1212" s="23">
        <f>IF(J1192=1,J1205,I1212*(1+pr_growth)*(1-pr_vol_share*IF(pr_decoupling=1,0,pr_usage)))</f>
        <v/>
      </c>
      <c r="K1212" s="23">
        <f>IF(K1192=1,K1205,J1212*(1+pr_growth)*(1-pr_vol_share*IF(pr_decoupling=1,0,pr_usage)))</f>
        <v/>
      </c>
      <c r="L1212" s="23">
        <f>IF(L1192=1,L1205,K1212*(1+pr_growth)*(1-pr_vol_share*IF(pr_decoupling=1,0,pr_usage)))</f>
        <v/>
      </c>
      <c r="M1212" s="23">
        <f>IF(M1192=1,M1205,L1212*(1+pr_growth)*(1-pr_vol_share*IF(pr_decoupling=1,0,pr_usage)))</f>
        <v/>
      </c>
      <c r="N1212" s="23">
        <f>IF(N1192=1,N1205,M1212*(1+pr_growth)*(1-pr_vol_share*IF(pr_decoupling=1,0,pr_usage)))</f>
        <v/>
      </c>
    </row>
    <row r="1213">
      <c r="B1213" s="2" t="inlineStr">
        <is>
          <t>Fennick revenue at its old rates (until the next rate case)</t>
        </is>
      </c>
      <c r="C1213" s="5" t="inlineStr">
        <is>
          <t>$ million</t>
        </is>
      </c>
      <c r="E1213" s="23">
        <f>IF(AND(pr_fen_on=1,E1177&gt;pr_fen_year,SUMIFS($D$1192:E$1192,$D$1177:E$1177,"&gt;"&amp;pr_fen_year)=0),pr_fen_rev,0)</f>
        <v/>
      </c>
      <c r="F1213" s="23">
        <f>IF(AND(pr_fen_on=1,F1177&gt;pr_fen_year,SUMIFS($D$1192:F$1192,$D$1177:F$1177,"&gt;"&amp;pr_fen_year)=0),pr_fen_rev,0)</f>
        <v/>
      </c>
      <c r="G1213" s="23">
        <f>IF(AND(pr_fen_on=1,G1177&gt;pr_fen_year,SUMIFS($D$1192:G$1192,$D$1177:G$1177,"&gt;"&amp;pr_fen_year)=0),pr_fen_rev,0)</f>
        <v/>
      </c>
      <c r="H1213" s="23">
        <f>IF(AND(pr_fen_on=1,H1177&gt;pr_fen_year,SUMIFS($D$1192:H$1192,$D$1177:H$1177,"&gt;"&amp;pr_fen_year)=0),pr_fen_rev,0)</f>
        <v/>
      </c>
      <c r="I1213" s="23">
        <f>IF(AND(pr_fen_on=1,I1177&gt;pr_fen_year,SUMIFS($D$1192:I$1192,$D$1177:I$1177,"&gt;"&amp;pr_fen_year)=0),pr_fen_rev,0)</f>
        <v/>
      </c>
      <c r="J1213" s="23">
        <f>IF(AND(pr_fen_on=1,J1177&gt;pr_fen_year,SUMIFS($D$1192:J$1192,$D$1177:J$1177,"&gt;"&amp;pr_fen_year)=0),pr_fen_rev,0)</f>
        <v/>
      </c>
      <c r="K1213" s="23">
        <f>IF(AND(pr_fen_on=1,K1177&gt;pr_fen_year,SUMIFS($D$1192:K$1192,$D$1177:K$1177,"&gt;"&amp;pr_fen_year)=0),pr_fen_rev,0)</f>
        <v/>
      </c>
      <c r="L1213" s="23">
        <f>IF(AND(pr_fen_on=1,L1177&gt;pr_fen_year,SUMIFS($D$1192:L$1192,$D$1177:L$1177,"&gt;"&amp;pr_fen_year)=0),pr_fen_rev,0)</f>
        <v/>
      </c>
      <c r="M1213" s="23">
        <f>IF(AND(pr_fen_on=1,M1177&gt;pr_fen_year,SUMIFS($D$1192:M$1192,$D$1177:M$1177,"&gt;"&amp;pr_fen_year)=0),pr_fen_rev,0)</f>
        <v/>
      </c>
      <c r="N1213" s="23">
        <f>IF(AND(pr_fen_on=1,N1177&gt;pr_fen_year,SUMIFS($D$1192:N$1192,$D$1177:N$1177,"&gt;"&amp;pr_fen_year)=0),pr_fen_rev,0)</f>
        <v/>
      </c>
    </row>
    <row r="1214">
      <c r="B1214" s="2" t="inlineStr">
        <is>
          <t>DSIC pool: eligible plant since the latest test year</t>
        </is>
      </c>
      <c r="C1214" s="5" t="inlineStr">
        <is>
          <t>$ million</t>
        </is>
      </c>
      <c r="E1214" s="23">
        <f>IF(E1177=(pr_close+1),0,SUMIFS($D$1189:D$1189,$D$1177:D$1177,"&gt;"&amp;E1194))</f>
        <v/>
      </c>
      <c r="F1214" s="23">
        <f>IF(F1177=(pr_close+1),0,SUMIFS($D$1189:E$1189,$D$1177:E$1177,"&gt;"&amp;F1194))</f>
        <v/>
      </c>
      <c r="G1214" s="23">
        <f>IF(G1177=(pr_close+1),0,SUMIFS($D$1189:F$1189,$D$1177:F$1177,"&gt;"&amp;G1194))</f>
        <v/>
      </c>
      <c r="H1214" s="23">
        <f>IF(H1177=(pr_close+1),0,SUMIFS($D$1189:G$1189,$D$1177:G$1177,"&gt;"&amp;H1194))</f>
        <v/>
      </c>
      <c r="I1214" s="23">
        <f>IF(I1177=(pr_close+1),0,SUMIFS($D$1189:H$1189,$D$1177:H$1177,"&gt;"&amp;I1194))</f>
        <v/>
      </c>
      <c r="J1214" s="23">
        <f>IF(J1177=(pr_close+1),0,SUMIFS($D$1189:I$1189,$D$1177:I$1177,"&gt;"&amp;J1194))</f>
        <v/>
      </c>
      <c r="K1214" s="23">
        <f>IF(K1177=(pr_close+1),0,SUMIFS($D$1189:J$1189,$D$1177:J$1177,"&gt;"&amp;K1194))</f>
        <v/>
      </c>
      <c r="L1214" s="23">
        <f>IF(L1177=(pr_close+1),0,SUMIFS($D$1189:K$1189,$D$1177:K$1177,"&gt;"&amp;L1194))</f>
        <v/>
      </c>
      <c r="M1214" s="23">
        <f>IF(M1177=(pr_close+1),0,SUMIFS($D$1189:L$1189,$D$1177:L$1177,"&gt;"&amp;M1194))</f>
        <v/>
      </c>
      <c r="N1214" s="23">
        <f>IF(N1177=(pr_close+1),0,SUMIFS($D$1189:M$1189,$D$1177:M$1177,"&gt;"&amp;N1194))</f>
        <v/>
      </c>
    </row>
    <row r="1215">
      <c r="B1215" s="2" t="inlineStr">
        <is>
          <t>DSIC surcharge (capped)</t>
        </is>
      </c>
      <c r="C1215" s="5" t="inlineStr">
        <is>
          <t>$ million</t>
        </is>
      </c>
      <c r="E1215" s="23">
        <f>IF(AND(pr_dsic=1,E1177&gt;(pr_close+1)),MIN(pr_dsic_cap*E1212,E1214*((pr_eq*Inputs!$C$254+(1-pr_eq)*D1238)+(pr_eq*Inputs!$C$254*pr_tax/(1-pr_tax))+pr_dep)),0)</f>
        <v/>
      </c>
      <c r="F1215" s="23">
        <f>IF(AND(pr_dsic=1,F1177&gt;(pr_close+1)),MIN(pr_dsic_cap*F1212,F1214*((pr_eq*Inputs!$C$254+(1-pr_eq)*E1238)+(pr_eq*Inputs!$C$254*pr_tax/(1-pr_tax))+pr_dep)),0)</f>
        <v/>
      </c>
      <c r="G1215" s="23">
        <f>IF(AND(pr_dsic=1,G1177&gt;(pr_close+1)),MIN(pr_dsic_cap*G1212,G1214*((pr_eq*Inputs!$C$254+(1-pr_eq)*F1238)+(pr_eq*Inputs!$C$254*pr_tax/(1-pr_tax))+pr_dep)),0)</f>
        <v/>
      </c>
      <c r="H1215" s="23">
        <f>IF(AND(pr_dsic=1,H1177&gt;(pr_close+1)),MIN(pr_dsic_cap*H1212,H1214*((pr_eq*Inputs!$C$254+(1-pr_eq)*G1238)+(pr_eq*Inputs!$C$254*pr_tax/(1-pr_tax))+pr_dep)),0)</f>
        <v/>
      </c>
      <c r="I1215" s="23">
        <f>IF(AND(pr_dsic=1,I1177&gt;(pr_close+1)),MIN(pr_dsic_cap*I1212,I1214*((pr_eq*Inputs!$C$254+(1-pr_eq)*H1238)+(pr_eq*Inputs!$C$254*pr_tax/(1-pr_tax))+pr_dep)),0)</f>
        <v/>
      </c>
      <c r="J1215" s="23">
        <f>IF(AND(pr_dsic=1,J1177&gt;(pr_close+1)),MIN(pr_dsic_cap*J1212,J1214*((pr_eq*Inputs!$C$254+(1-pr_eq)*I1238)+(pr_eq*Inputs!$C$254*pr_tax/(1-pr_tax))+pr_dep)),0)</f>
        <v/>
      </c>
      <c r="K1215" s="23">
        <f>IF(AND(pr_dsic=1,K1177&gt;(pr_close+1)),MIN(pr_dsic_cap*K1212,K1214*((pr_eq*Inputs!$C$254+(1-pr_eq)*J1238)+(pr_eq*Inputs!$C$254*pr_tax/(1-pr_tax))+pr_dep)),0)</f>
        <v/>
      </c>
      <c r="L1215" s="23">
        <f>IF(AND(pr_dsic=1,L1177&gt;(pr_close+1)),MIN(pr_dsic_cap*L1212,L1214*((pr_eq*Inputs!$C$254+(1-pr_eq)*K1238)+(pr_eq*Inputs!$C$254*pr_tax/(1-pr_tax))+pr_dep)),0)</f>
        <v/>
      </c>
      <c r="M1215" s="23">
        <f>IF(AND(pr_dsic=1,M1177&gt;(pr_close+1)),MIN(pr_dsic_cap*M1212,M1214*((pr_eq*Inputs!$C$254+(1-pr_eq)*L1238)+(pr_eq*Inputs!$C$254*pr_tax/(1-pr_tax))+pr_dep)),0)</f>
        <v/>
      </c>
      <c r="N1215" s="23">
        <f>IF(AND(pr_dsic=1,N1177&gt;(pr_close+1)),MIN(pr_dsic_cap*N1212,N1214*((pr_eq*Inputs!$C$254+(1-pr_eq)*M1238)+(pr_eq*Inputs!$C$254*pr_tax/(1-pr_tax))+pr_dep)),0)</f>
        <v/>
      </c>
    </row>
    <row r="1216">
      <c r="B1216" s="3" t="inlineStr">
        <is>
          <t>Revenue</t>
        </is>
      </c>
      <c r="C1216" s="5" t="inlineStr">
        <is>
          <t>$ million</t>
        </is>
      </c>
      <c r="E1216" s="23">
        <f>E1212+E1213+E1215</f>
        <v/>
      </c>
      <c r="F1216" s="23">
        <f>F1212+F1213+F1215</f>
        <v/>
      </c>
      <c r="G1216" s="23">
        <f>G1212+G1213+G1215</f>
        <v/>
      </c>
      <c r="H1216" s="23">
        <f>H1212+H1213+H1215</f>
        <v/>
      </c>
      <c r="I1216" s="23">
        <f>I1212+I1213+I1215</f>
        <v/>
      </c>
      <c r="J1216" s="23">
        <f>J1212+J1213+J1215</f>
        <v/>
      </c>
      <c r="K1216" s="23">
        <f>K1212+K1213+K1215</f>
        <v/>
      </c>
      <c r="L1216" s="23">
        <f>L1212+L1213+L1215</f>
        <v/>
      </c>
      <c r="M1216" s="23">
        <f>M1212+M1213+M1215</f>
        <v/>
      </c>
      <c r="N1216" s="23">
        <f>N1212+N1213+N1215</f>
        <v/>
      </c>
    </row>
    <row r="1218">
      <c r="B1218" s="6" t="inlineStr">
        <is>
          <t>Costs and income ($ million)</t>
        </is>
      </c>
      <c r="C1218" s="7" t="n"/>
      <c r="D1218" s="7" t="n"/>
      <c r="E1218" s="7" t="n"/>
      <c r="F1218" s="7" t="n"/>
      <c r="G1218" s="7" t="n"/>
      <c r="H1218" s="7" t="n"/>
      <c r="I1218" s="7" t="n"/>
      <c r="J1218" s="7" t="n"/>
      <c r="K1218" s="7" t="n"/>
      <c r="L1218" s="7" t="n"/>
      <c r="M1218" s="7" t="n"/>
      <c r="N1218" s="7" t="n"/>
    </row>
    <row r="1219">
      <c r="B1219" s="2" t="inlineStr">
        <is>
          <t>Operation and maintenance (with PFAS and Fennick)</t>
        </is>
      </c>
      <c r="C1219" s="5" t="inlineStr">
        <is>
          <t>$ million</t>
        </is>
      </c>
      <c r="D1219" s="23">
        <f>pr_om_2028/((1+Inputs!$C$257)*(1+pr_growth))</f>
        <v/>
      </c>
      <c r="E1219" s="23">
        <f>pr_om_2028*((1+Inputs!$C$257)*(1+pr_growth))^E1178+IF(E1177&gt;=pr_pfas_om_y+pr_pfas_delay,Inputs!$C$258*(1+pr_pfas_om_esc)^(E1177-pr_pfas_om_y),0)+IF(AND(pr_fen_on=1,E1177&gt;pr_fen_year),pr_fen_om*(1+pr_fen_esc)^(E1177-pr_fen_year-1),0)</f>
        <v/>
      </c>
      <c r="F1219" s="23">
        <f>pr_om_2028*((1+Inputs!$C$257)*(1+pr_growth))^F1178+IF(F1177&gt;=pr_pfas_om_y+pr_pfas_delay,Inputs!$C$258*(1+pr_pfas_om_esc)^(F1177-pr_pfas_om_y),0)+IF(AND(pr_fen_on=1,F1177&gt;pr_fen_year),pr_fen_om*(1+pr_fen_esc)^(F1177-pr_fen_year-1),0)</f>
        <v/>
      </c>
      <c r="G1219" s="23">
        <f>pr_om_2028*((1+Inputs!$C$257)*(1+pr_growth))^G1178+IF(G1177&gt;=pr_pfas_om_y+pr_pfas_delay,Inputs!$C$258*(1+pr_pfas_om_esc)^(G1177-pr_pfas_om_y),0)+IF(AND(pr_fen_on=1,G1177&gt;pr_fen_year),pr_fen_om*(1+pr_fen_esc)^(G1177-pr_fen_year-1),0)</f>
        <v/>
      </c>
      <c r="H1219" s="23">
        <f>pr_om_2028*((1+Inputs!$C$257)*(1+pr_growth))^H1178+IF(H1177&gt;=pr_pfas_om_y+pr_pfas_delay,Inputs!$C$258*(1+pr_pfas_om_esc)^(H1177-pr_pfas_om_y),0)+IF(AND(pr_fen_on=1,H1177&gt;pr_fen_year),pr_fen_om*(1+pr_fen_esc)^(H1177-pr_fen_year-1),0)</f>
        <v/>
      </c>
      <c r="I1219" s="23">
        <f>pr_om_2028*((1+Inputs!$C$257)*(1+pr_growth))^I1178+IF(I1177&gt;=pr_pfas_om_y+pr_pfas_delay,Inputs!$C$258*(1+pr_pfas_om_esc)^(I1177-pr_pfas_om_y),0)+IF(AND(pr_fen_on=1,I1177&gt;pr_fen_year),pr_fen_om*(1+pr_fen_esc)^(I1177-pr_fen_year-1),0)</f>
        <v/>
      </c>
      <c r="J1219" s="23">
        <f>pr_om_2028*((1+Inputs!$C$257)*(1+pr_growth))^J1178+IF(J1177&gt;=pr_pfas_om_y+pr_pfas_delay,Inputs!$C$258*(1+pr_pfas_om_esc)^(J1177-pr_pfas_om_y),0)+IF(AND(pr_fen_on=1,J1177&gt;pr_fen_year),pr_fen_om*(1+pr_fen_esc)^(J1177-pr_fen_year-1),0)</f>
        <v/>
      </c>
      <c r="K1219" s="23">
        <f>pr_om_2028*((1+Inputs!$C$257)*(1+pr_growth))^K1178+IF(K1177&gt;=pr_pfas_om_y+pr_pfas_delay,Inputs!$C$258*(1+pr_pfas_om_esc)^(K1177-pr_pfas_om_y),0)+IF(AND(pr_fen_on=1,K1177&gt;pr_fen_year),pr_fen_om*(1+pr_fen_esc)^(K1177-pr_fen_year-1),0)</f>
        <v/>
      </c>
      <c r="L1219" s="23">
        <f>pr_om_2028*((1+Inputs!$C$257)*(1+pr_growth))^L1178+IF(L1177&gt;=pr_pfas_om_y+pr_pfas_delay,Inputs!$C$258*(1+pr_pfas_om_esc)^(L1177-pr_pfas_om_y),0)+IF(AND(pr_fen_on=1,L1177&gt;pr_fen_year),pr_fen_om*(1+pr_fen_esc)^(L1177-pr_fen_year-1),0)</f>
        <v/>
      </c>
      <c r="M1219" s="23">
        <f>pr_om_2028*((1+Inputs!$C$257)*(1+pr_growth))^M1178+IF(M1177&gt;=pr_pfas_om_y+pr_pfas_delay,Inputs!$C$258*(1+pr_pfas_om_esc)^(M1177-pr_pfas_om_y),0)+IF(AND(pr_fen_on=1,M1177&gt;pr_fen_year),pr_fen_om*(1+pr_fen_esc)^(M1177-pr_fen_year-1),0)</f>
        <v/>
      </c>
      <c r="N1219" s="23">
        <f>pr_om_2028*((1+Inputs!$C$257)*(1+pr_growth))^N1178+IF(N1177&gt;=pr_pfas_om_y+pr_pfas_delay,Inputs!$C$258*(1+pr_pfas_om_esc)^(N1177-pr_pfas_om_y),0)+IF(AND(pr_fen_on=1,N1177&gt;pr_fen_year),pr_fen_om*(1+pr_fen_esc)^(N1177-pr_fen_year-1),0)</f>
        <v/>
      </c>
    </row>
    <row r="1220">
      <c r="B1220" s="2" t="inlineStr">
        <is>
          <t>Customer-side lead cost expensed</t>
        </is>
      </c>
      <c r="C1220" s="5" t="inlineStr">
        <is>
          <t>$ million</t>
        </is>
      </c>
      <c r="E1220" s="23">
        <f>pr_lead_exp*E1186*pr_lead_cust</f>
        <v/>
      </c>
      <c r="F1220" s="23">
        <f>pr_lead_exp*F1186*pr_lead_cust</f>
        <v/>
      </c>
      <c r="G1220" s="23">
        <f>pr_lead_exp*G1186*pr_lead_cust</f>
        <v/>
      </c>
      <c r="H1220" s="23">
        <f>pr_lead_exp*H1186*pr_lead_cust</f>
        <v/>
      </c>
      <c r="I1220" s="23">
        <f>pr_lead_exp*I1186*pr_lead_cust</f>
        <v/>
      </c>
      <c r="J1220" s="23">
        <f>pr_lead_exp*J1186*pr_lead_cust</f>
        <v/>
      </c>
      <c r="K1220" s="23">
        <f>pr_lead_exp*K1186*pr_lead_cust</f>
        <v/>
      </c>
      <c r="L1220" s="23">
        <f>pr_lead_exp*L1186*pr_lead_cust</f>
        <v/>
      </c>
      <c r="M1220" s="23">
        <f>pr_lead_exp*M1186*pr_lead_cust</f>
        <v/>
      </c>
      <c r="N1220" s="23">
        <f>pr_lead_exp*N1186*pr_lead_cust</f>
        <v/>
      </c>
    </row>
    <row r="1221">
      <c r="B1221" s="2" t="inlineStr">
        <is>
          <t>Other taxes</t>
        </is>
      </c>
      <c r="C1221" s="5" t="inlineStr">
        <is>
          <t>$ million</t>
        </is>
      </c>
      <c r="E1221" s="23">
        <f>pr_ptax*E1230</f>
        <v/>
      </c>
      <c r="F1221" s="23">
        <f>pr_ptax*F1230</f>
        <v/>
      </c>
      <c r="G1221" s="23">
        <f>pr_ptax*G1230</f>
        <v/>
      </c>
      <c r="H1221" s="23">
        <f>pr_ptax*H1230</f>
        <v/>
      </c>
      <c r="I1221" s="23">
        <f>pr_ptax*I1230</f>
        <v/>
      </c>
      <c r="J1221" s="23">
        <f>pr_ptax*J1230</f>
        <v/>
      </c>
      <c r="K1221" s="23">
        <f>pr_ptax*K1230</f>
        <v/>
      </c>
      <c r="L1221" s="23">
        <f>pr_ptax*L1230</f>
        <v/>
      </c>
      <c r="M1221" s="23">
        <f>pr_ptax*M1230</f>
        <v/>
      </c>
      <c r="N1221" s="23">
        <f>pr_ptax*N1230</f>
        <v/>
      </c>
    </row>
    <row r="1222">
      <c r="B1222" s="2" t="inlineStr">
        <is>
          <t>EBITDA</t>
        </is>
      </c>
      <c r="C1222" s="5" t="inlineStr">
        <is>
          <t>$ million</t>
        </is>
      </c>
      <c r="E1222" s="23">
        <f>E1216-E1219-E1221-E1220</f>
        <v/>
      </c>
      <c r="F1222" s="23">
        <f>F1216-F1219-F1221-F1220</f>
        <v/>
      </c>
      <c r="G1222" s="23">
        <f>G1216-G1219-G1221-G1220</f>
        <v/>
      </c>
      <c r="H1222" s="23">
        <f>H1216-H1219-H1221-H1220</f>
        <v/>
      </c>
      <c r="I1222" s="23">
        <f>I1216-I1219-I1221-I1220</f>
        <v/>
      </c>
      <c r="J1222" s="23">
        <f>J1216-J1219-J1221-J1220</f>
        <v/>
      </c>
      <c r="K1222" s="23">
        <f>K1216-K1219-K1221-K1220</f>
        <v/>
      </c>
      <c r="L1222" s="23">
        <f>L1216-L1219-L1221-L1220</f>
        <v/>
      </c>
      <c r="M1222" s="23">
        <f>M1216-M1219-M1221-M1220</f>
        <v/>
      </c>
      <c r="N1222" s="23">
        <f>N1216-N1219-N1221-N1220</f>
        <v/>
      </c>
    </row>
    <row r="1223">
      <c r="B1223" s="2" t="inlineStr">
        <is>
          <t>Depreciation</t>
        </is>
      </c>
      <c r="C1223" s="5" t="inlineStr">
        <is>
          <t>$ million</t>
        </is>
      </c>
      <c r="E1223" s="23">
        <f>pr_dep*E1230</f>
        <v/>
      </c>
      <c r="F1223" s="23">
        <f>pr_dep*F1230</f>
        <v/>
      </c>
      <c r="G1223" s="23">
        <f>pr_dep*G1230</f>
        <v/>
      </c>
      <c r="H1223" s="23">
        <f>pr_dep*H1230</f>
        <v/>
      </c>
      <c r="I1223" s="23">
        <f>pr_dep*I1230</f>
        <v/>
      </c>
      <c r="J1223" s="23">
        <f>pr_dep*J1230</f>
        <v/>
      </c>
      <c r="K1223" s="23">
        <f>pr_dep*K1230</f>
        <v/>
      </c>
      <c r="L1223" s="23">
        <f>pr_dep*L1230</f>
        <v/>
      </c>
      <c r="M1223" s="23">
        <f>pr_dep*M1230</f>
        <v/>
      </c>
      <c r="N1223" s="23">
        <f>pr_dep*N1230</f>
        <v/>
      </c>
    </row>
    <row r="1224">
      <c r="B1224" s="2" t="inlineStr">
        <is>
          <t>Interest (average of opening and closing debt)</t>
        </is>
      </c>
      <c r="C1224" s="5" t="inlineStr">
        <is>
          <t>$ million</t>
        </is>
      </c>
      <c r="E1224" s="23">
        <f>0.5*(D1236*D1238+E1236*E1238)</f>
        <v/>
      </c>
      <c r="F1224" s="23">
        <f>0.5*(E1236*E1238+F1236*F1238)</f>
        <v/>
      </c>
      <c r="G1224" s="23">
        <f>0.5*(F1236*F1238+G1236*G1238)</f>
        <v/>
      </c>
      <c r="H1224" s="23">
        <f>0.5*(G1236*G1238+H1236*H1238)</f>
        <v/>
      </c>
      <c r="I1224" s="23">
        <f>0.5*(H1236*H1238+I1236*I1238)</f>
        <v/>
      </c>
      <c r="J1224" s="23">
        <f>0.5*(I1236*I1238+J1236*J1238)</f>
        <v/>
      </c>
      <c r="K1224" s="23">
        <f>0.5*(J1236*J1238+K1236*K1238)</f>
        <v/>
      </c>
      <c r="L1224" s="23">
        <f>0.5*(K1236*K1238+L1236*L1238)</f>
        <v/>
      </c>
      <c r="M1224" s="23">
        <f>0.5*(L1236*L1238+M1236*M1238)</f>
        <v/>
      </c>
      <c r="N1224" s="23">
        <f>0.5*(M1236*M1238+N1236*N1238)</f>
        <v/>
      </c>
    </row>
    <row r="1225">
      <c r="B1225" s="2" t="inlineStr">
        <is>
          <t>Income before tax</t>
        </is>
      </c>
      <c r="C1225" s="5" t="inlineStr">
        <is>
          <t>$ million</t>
        </is>
      </c>
      <c r="E1225" s="23">
        <f>E1222-E1223-E1224</f>
        <v/>
      </c>
      <c r="F1225" s="23">
        <f>F1222-F1223-F1224</f>
        <v/>
      </c>
      <c r="G1225" s="23">
        <f>G1222-G1223-G1224</f>
        <v/>
      </c>
      <c r="H1225" s="23">
        <f>H1222-H1223-H1224</f>
        <v/>
      </c>
      <c r="I1225" s="23">
        <f>I1222-I1223-I1224</f>
        <v/>
      </c>
      <c r="J1225" s="23">
        <f>J1222-J1223-J1224</f>
        <v/>
      </c>
      <c r="K1225" s="23">
        <f>K1222-K1223-K1224</f>
        <v/>
      </c>
      <c r="L1225" s="23">
        <f>L1222-L1223-L1224</f>
        <v/>
      </c>
      <c r="M1225" s="23">
        <f>M1222-M1223-M1224</f>
        <v/>
      </c>
      <c r="N1225" s="23">
        <f>N1222-N1223-N1224</f>
        <v/>
      </c>
    </row>
    <row r="1226">
      <c r="B1226" s="2" t="inlineStr">
        <is>
          <t>Income tax</t>
        </is>
      </c>
      <c r="C1226" s="5" t="inlineStr">
        <is>
          <t>$ million</t>
        </is>
      </c>
      <c r="E1226" s="23">
        <f>pr_tax*E1225</f>
        <v/>
      </c>
      <c r="F1226" s="23">
        <f>pr_tax*F1225</f>
        <v/>
      </c>
      <c r="G1226" s="23">
        <f>pr_tax*G1225</f>
        <v/>
      </c>
      <c r="H1226" s="23">
        <f>pr_tax*H1225</f>
        <v/>
      </c>
      <c r="I1226" s="23">
        <f>pr_tax*I1225</f>
        <v/>
      </c>
      <c r="J1226" s="23">
        <f>pr_tax*J1225</f>
        <v/>
      </c>
      <c r="K1226" s="23">
        <f>pr_tax*K1225</f>
        <v/>
      </c>
      <c r="L1226" s="23">
        <f>pr_tax*L1225</f>
        <v/>
      </c>
      <c r="M1226" s="23">
        <f>pr_tax*M1225</f>
        <v/>
      </c>
      <c r="N1226" s="23">
        <f>pr_tax*N1225</f>
        <v/>
      </c>
    </row>
    <row r="1227">
      <c r="B1227" s="3" t="inlineStr">
        <is>
          <t>Net income</t>
        </is>
      </c>
      <c r="C1227" s="5" t="inlineStr">
        <is>
          <t>$ million</t>
        </is>
      </c>
      <c r="E1227" s="23">
        <f>E1225-E1226</f>
        <v/>
      </c>
      <c r="F1227" s="23">
        <f>F1225-F1226</f>
        <v/>
      </c>
      <c r="G1227" s="23">
        <f>G1225-G1226</f>
        <v/>
      </c>
      <c r="H1227" s="23">
        <f>H1225-H1226</f>
        <v/>
      </c>
      <c r="I1227" s="23">
        <f>I1225-I1226</f>
        <v/>
      </c>
      <c r="J1227" s="23">
        <f>J1225-J1226</f>
        <v/>
      </c>
      <c r="K1227" s="23">
        <f>K1225-K1226</f>
        <v/>
      </c>
      <c r="L1227" s="23">
        <f>L1225-L1226</f>
        <v/>
      </c>
      <c r="M1227" s="23">
        <f>M1225-M1226</f>
        <v/>
      </c>
      <c r="N1227" s="23">
        <f>N1225-N1226</f>
        <v/>
      </c>
    </row>
    <row r="1229">
      <c r="B1229" s="6" t="inlineStr">
        <is>
          <t>Rate base and debt ($ million)</t>
        </is>
      </c>
      <c r="C1229" s="7" t="n"/>
      <c r="D1229" s="7" t="n"/>
      <c r="E1229" s="7" t="n"/>
      <c r="F1229" s="7" t="n"/>
      <c r="G1229" s="7" t="n"/>
      <c r="H1229" s="7" t="n"/>
      <c r="I1229" s="7" t="n"/>
      <c r="J1229" s="7" t="n"/>
      <c r="K1229" s="7" t="n"/>
      <c r="L1229" s="7" t="n"/>
      <c r="M1229" s="7" t="n"/>
      <c r="N1229" s="7" t="n"/>
    </row>
    <row r="1230">
      <c r="B1230" s="2" t="inlineStr">
        <is>
          <t>Opening rate base</t>
        </is>
      </c>
      <c r="C1230" s="5" t="inlineStr">
        <is>
          <t>$ million</t>
        </is>
      </c>
      <c r="E1230" s="23">
        <f>D1234</f>
        <v/>
      </c>
      <c r="F1230" s="23">
        <f>E1234</f>
        <v/>
      </c>
      <c r="G1230" s="23">
        <f>F1234</f>
        <v/>
      </c>
      <c r="H1230" s="23">
        <f>G1234</f>
        <v/>
      </c>
      <c r="I1230" s="23">
        <f>H1234</f>
        <v/>
      </c>
      <c r="J1230" s="23">
        <f>I1234</f>
        <v/>
      </c>
      <c r="K1230" s="23">
        <f>J1234</f>
        <v/>
      </c>
      <c r="L1230" s="23">
        <f>K1234</f>
        <v/>
      </c>
      <c r="M1230" s="23">
        <f>L1234</f>
        <v/>
      </c>
      <c r="N1230" s="23">
        <f>M1234</f>
        <v/>
      </c>
    </row>
    <row r="1231">
      <c r="B1231" s="2" t="inlineStr">
        <is>
          <t>Spending disallowed (never in rate base)</t>
        </is>
      </c>
      <c r="C1231" s="5" t="inlineStr">
        <is>
          <t>$ million</t>
        </is>
      </c>
      <c r="E1231" s="23">
        <f>pr_disallow*(E1185+E1186-E1220)</f>
        <v/>
      </c>
      <c r="F1231" s="23">
        <f>pr_disallow*(F1185+F1186-F1220)</f>
        <v/>
      </c>
      <c r="G1231" s="23">
        <f>pr_disallow*(G1185+G1186-G1220)</f>
        <v/>
      </c>
      <c r="H1231" s="23">
        <f>pr_disallow*(H1185+H1186-H1220)</f>
        <v/>
      </c>
      <c r="I1231" s="23">
        <f>pr_disallow*(I1185+I1186-I1220)</f>
        <v/>
      </c>
      <c r="J1231" s="23">
        <f>pr_disallow*(J1185+J1186-J1220)</f>
        <v/>
      </c>
      <c r="K1231" s="23">
        <f>pr_disallow*(K1185+K1186-K1220)</f>
        <v/>
      </c>
      <c r="L1231" s="23">
        <f>pr_disallow*(L1185+L1186-L1220)</f>
        <v/>
      </c>
      <c r="M1231" s="23">
        <f>pr_disallow*(M1185+M1186-M1220)</f>
        <v/>
      </c>
      <c r="N1231" s="23">
        <f>pr_disallow*(N1185+N1186-N1220)</f>
        <v/>
      </c>
    </row>
    <row r="1232">
      <c r="B1232" s="2" t="inlineStr">
        <is>
          <t>Acquisitions (Fennick at its price)</t>
        </is>
      </c>
      <c r="C1232" s="5" t="inlineStr">
        <is>
          <t>$ million</t>
        </is>
      </c>
      <c r="E1232" s="23">
        <f>IF(AND(pr_fen_on=1,E1177=pr_fen_year),pr_fen_price,0)</f>
        <v/>
      </c>
      <c r="F1232" s="23">
        <f>IF(AND(pr_fen_on=1,F1177=pr_fen_year),pr_fen_price,0)</f>
        <v/>
      </c>
      <c r="G1232" s="23">
        <f>IF(AND(pr_fen_on=1,G1177=pr_fen_year),pr_fen_price,0)</f>
        <v/>
      </c>
      <c r="H1232" s="23">
        <f>IF(AND(pr_fen_on=1,H1177=pr_fen_year),pr_fen_price,0)</f>
        <v/>
      </c>
      <c r="I1232" s="23">
        <f>IF(AND(pr_fen_on=1,I1177=pr_fen_year),pr_fen_price,0)</f>
        <v/>
      </c>
      <c r="J1232" s="23">
        <f>IF(AND(pr_fen_on=1,J1177=pr_fen_year),pr_fen_price,0)</f>
        <v/>
      </c>
      <c r="K1232" s="23">
        <f>IF(AND(pr_fen_on=1,K1177=pr_fen_year),pr_fen_price,0)</f>
        <v/>
      </c>
      <c r="L1232" s="23">
        <f>IF(AND(pr_fen_on=1,L1177=pr_fen_year),pr_fen_price,0)</f>
        <v/>
      </c>
      <c r="M1232" s="23">
        <f>IF(AND(pr_fen_on=1,M1177=pr_fen_year),pr_fen_price,0)</f>
        <v/>
      </c>
      <c r="N1232" s="23">
        <f>IF(AND(pr_fen_on=1,N1177=pr_fen_year),pr_fen_price,0)</f>
        <v/>
      </c>
    </row>
    <row r="1233">
      <c r="B1233" s="2" t="inlineStr">
        <is>
          <t>Settlement credited against rate base</t>
        </is>
      </c>
      <c r="C1233" s="5" t="inlineStr">
        <is>
          <t>$ million</t>
        </is>
      </c>
      <c r="E1233" s="23">
        <f>IF(E1177=pr_settle_y,pr_settle,0)</f>
        <v/>
      </c>
      <c r="F1233" s="23">
        <f>IF(F1177=pr_settle_y,pr_settle,0)</f>
        <v/>
      </c>
      <c r="G1233" s="23">
        <f>IF(G1177=pr_settle_y,pr_settle,0)</f>
        <v/>
      </c>
      <c r="H1233" s="23">
        <f>IF(H1177=pr_settle_y,pr_settle,0)</f>
        <v/>
      </c>
      <c r="I1233" s="23">
        <f>IF(I1177=pr_settle_y,pr_settle,0)</f>
        <v/>
      </c>
      <c r="J1233" s="23">
        <f>IF(J1177=pr_settle_y,pr_settle,0)</f>
        <v/>
      </c>
      <c r="K1233" s="23">
        <f>IF(K1177=pr_settle_y,pr_settle,0)</f>
        <v/>
      </c>
      <c r="L1233" s="23">
        <f>IF(L1177=pr_settle_y,pr_settle,0)</f>
        <v/>
      </c>
      <c r="M1233" s="23">
        <f>IF(M1177=pr_settle_y,pr_settle,0)</f>
        <v/>
      </c>
      <c r="N1233" s="23">
        <f>IF(N1177=pr_settle_y,pr_settle,0)</f>
        <v/>
      </c>
    </row>
    <row r="1234">
      <c r="B1234" s="3" t="inlineStr">
        <is>
          <t>Closing rate base</t>
        </is>
      </c>
      <c r="C1234" s="5" t="inlineStr">
        <is>
          <t>$ million</t>
        </is>
      </c>
      <c r="D1234" s="23">
        <f>pr_rb0</f>
        <v/>
      </c>
      <c r="E1234" s="23">
        <f>E1230+E1188-E1220-E1231+E1232-E1223-E1233</f>
        <v/>
      </c>
      <c r="F1234" s="23">
        <f>F1230+F1188-F1220-F1231+F1232-F1223-F1233</f>
        <v/>
      </c>
      <c r="G1234" s="23">
        <f>G1230+G1188-G1220-G1231+G1232-G1223-G1233</f>
        <v/>
      </c>
      <c r="H1234" s="23">
        <f>H1230+H1188-H1220-H1231+H1232-H1223-H1233</f>
        <v/>
      </c>
      <c r="I1234" s="23">
        <f>I1230+I1188-I1220-I1231+I1232-I1223-I1233</f>
        <v/>
      </c>
      <c r="J1234" s="23">
        <f>J1230+J1188-J1220-J1231+J1232-J1223-J1233</f>
        <v/>
      </c>
      <c r="K1234" s="23">
        <f>K1230+K1188-K1220-K1231+K1232-K1223-K1233</f>
        <v/>
      </c>
      <c r="L1234" s="23">
        <f>L1230+L1188-L1220-L1231+L1232-L1223-L1233</f>
        <v/>
      </c>
      <c r="M1234" s="23">
        <f>M1230+M1188-M1220-M1231+M1232-M1223-M1233</f>
        <v/>
      </c>
      <c r="N1234" s="23">
        <f>N1230+N1188-N1220-N1231+N1232-N1223-N1233</f>
        <v/>
      </c>
    </row>
    <row r="1235">
      <c r="B1235" s="2" t="inlineStr">
        <is>
          <t>Original bonds outstanding</t>
        </is>
      </c>
      <c r="C1235" s="5" t="inlineStr">
        <is>
          <t>$ million</t>
        </is>
      </c>
      <c r="D1235" s="23">
        <f>(1-pr_eq)*pr_rb0</f>
        <v/>
      </c>
      <c r="E1235" s="23">
        <f>MAX(0,D1235-pr_amort*(1-pr_eq)*pr_rb0)</f>
        <v/>
      </c>
      <c r="F1235" s="23">
        <f>MAX(0,E1235-pr_amort*(1-pr_eq)*pr_rb0)</f>
        <v/>
      </c>
      <c r="G1235" s="23">
        <f>MAX(0,F1235-pr_amort*(1-pr_eq)*pr_rb0)</f>
        <v/>
      </c>
      <c r="H1235" s="23">
        <f>MAX(0,G1235-pr_amort*(1-pr_eq)*pr_rb0)</f>
        <v/>
      </c>
      <c r="I1235" s="23">
        <f>MAX(0,H1235-pr_amort*(1-pr_eq)*pr_rb0)</f>
        <v/>
      </c>
      <c r="J1235" s="23">
        <f>MAX(0,I1235-pr_amort*(1-pr_eq)*pr_rb0)</f>
        <v/>
      </c>
      <c r="K1235" s="23">
        <f>MAX(0,J1235-pr_amort*(1-pr_eq)*pr_rb0)</f>
        <v/>
      </c>
      <c r="L1235" s="23">
        <f>MAX(0,K1235-pr_amort*(1-pr_eq)*pr_rb0)</f>
        <v/>
      </c>
      <c r="M1235" s="23">
        <f>MAX(0,L1235-pr_amort*(1-pr_eq)*pr_rb0)</f>
        <v/>
      </c>
      <c r="N1235" s="23">
        <f>MAX(0,M1235-pr_amort*(1-pr_eq)*pr_rb0)</f>
        <v/>
      </c>
    </row>
    <row r="1236">
      <c r="B1236" s="2" t="inlineStr">
        <is>
          <t>Operating company debt (debt share of rate base)</t>
        </is>
      </c>
      <c r="C1236" s="5" t="inlineStr">
        <is>
          <t>$ million</t>
        </is>
      </c>
      <c r="D1236" s="23">
        <f>(1-pr_eq)*D1234</f>
        <v/>
      </c>
      <c r="E1236" s="23">
        <f>(1-pr_eq)*E1234</f>
        <v/>
      </c>
      <c r="F1236" s="23">
        <f>(1-pr_eq)*F1234</f>
        <v/>
      </c>
      <c r="G1236" s="23">
        <f>(1-pr_eq)*G1234</f>
        <v/>
      </c>
      <c r="H1236" s="23">
        <f>(1-pr_eq)*H1234</f>
        <v/>
      </c>
      <c r="I1236" s="23">
        <f>(1-pr_eq)*I1234</f>
        <v/>
      </c>
      <c r="J1236" s="23">
        <f>(1-pr_eq)*J1234</f>
        <v/>
      </c>
      <c r="K1236" s="23">
        <f>(1-pr_eq)*K1234</f>
        <v/>
      </c>
      <c r="L1236" s="23">
        <f>(1-pr_eq)*L1234</f>
        <v/>
      </c>
      <c r="M1236" s="23">
        <f>(1-pr_eq)*M1234</f>
        <v/>
      </c>
      <c r="N1236" s="23">
        <f>(1-pr_eq)*N1234</f>
        <v/>
      </c>
    </row>
    <row r="1237">
      <c r="B1237" s="2" t="inlineStr">
        <is>
          <t>New bonds outstanding</t>
        </is>
      </c>
      <c r="C1237" s="5" t="inlineStr">
        <is>
          <t>$ million</t>
        </is>
      </c>
      <c r="D1237" s="23">
        <f>D1236-D1235</f>
        <v/>
      </c>
      <c r="E1237" s="23">
        <f>E1236-E1235</f>
        <v/>
      </c>
      <c r="F1237" s="23">
        <f>F1236-F1235</f>
        <v/>
      </c>
      <c r="G1237" s="23">
        <f>G1236-G1235</f>
        <v/>
      </c>
      <c r="H1237" s="23">
        <f>H1236-H1235</f>
        <v/>
      </c>
      <c r="I1237" s="23">
        <f>I1236-I1235</f>
        <v/>
      </c>
      <c r="J1237" s="23">
        <f>J1236-J1235</f>
        <v/>
      </c>
      <c r="K1237" s="23">
        <f>K1236-K1235</f>
        <v/>
      </c>
      <c r="L1237" s="23">
        <f>L1236-L1235</f>
        <v/>
      </c>
      <c r="M1237" s="23">
        <f>M1236-M1235</f>
        <v/>
      </c>
      <c r="N1237" s="23">
        <f>N1236-N1235</f>
        <v/>
      </c>
    </row>
    <row r="1238">
      <c r="B1238" s="2" t="inlineStr">
        <is>
          <t>Embedded cost of debt at year end</t>
        </is>
      </c>
      <c r="C1238" s="5" t="inlineStr">
        <is>
          <t>rate</t>
        </is>
      </c>
      <c r="D1238" s="27">
        <f>pr_kd_old</f>
        <v/>
      </c>
      <c r="E1238" s="27">
        <f>(E1235*pr_kd_old+E1237*pr_kd_new)/E1236</f>
        <v/>
      </c>
      <c r="F1238" s="27">
        <f>(F1235*pr_kd_old+F1237*pr_kd_new)/F1236</f>
        <v/>
      </c>
      <c r="G1238" s="27">
        <f>(G1235*pr_kd_old+G1237*pr_kd_new)/G1236</f>
        <v/>
      </c>
      <c r="H1238" s="27">
        <f>(H1235*pr_kd_old+H1237*pr_kd_new)/H1236</f>
        <v/>
      </c>
      <c r="I1238" s="27">
        <f>(I1235*pr_kd_old+I1237*pr_kd_new)/I1236</f>
        <v/>
      </c>
      <c r="J1238" s="27">
        <f>(J1235*pr_kd_old+J1237*pr_kd_new)/J1236</f>
        <v/>
      </c>
      <c r="K1238" s="27">
        <f>(K1235*pr_kd_old+K1237*pr_kd_new)/K1236</f>
        <v/>
      </c>
      <c r="L1238" s="27">
        <f>(L1235*pr_kd_old+L1237*pr_kd_new)/L1236</f>
        <v/>
      </c>
      <c r="M1238" s="27">
        <f>(M1235*pr_kd_old+M1237*pr_kd_new)/M1236</f>
        <v/>
      </c>
      <c r="N1238" s="27">
        <f>(N1235*pr_kd_old+N1237*pr_kd_new)/N1236</f>
        <v/>
      </c>
    </row>
    <row r="1240">
      <c r="B1240" s="6" t="inlineStr">
        <is>
          <t>Returns and cash ($ million)</t>
        </is>
      </c>
      <c r="C1240" s="7" t="n"/>
      <c r="D1240" s="7" t="n"/>
      <c r="E1240" s="7" t="n"/>
      <c r="F1240" s="7" t="n"/>
      <c r="G1240" s="7" t="n"/>
      <c r="H1240" s="7" t="n"/>
      <c r="I1240" s="7" t="n"/>
      <c r="J1240" s="7" t="n"/>
      <c r="K1240" s="7" t="n"/>
      <c r="L1240" s="7" t="n"/>
      <c r="M1240" s="7" t="n"/>
      <c r="N1240" s="7" t="n"/>
    </row>
    <row r="1241">
      <c r="B1241" s="2" t="inlineStr">
        <is>
          <t>Average equity share of rate base</t>
        </is>
      </c>
      <c r="C1241" s="5" t="inlineStr">
        <is>
          <t>$ million</t>
        </is>
      </c>
      <c r="E1241" s="23">
        <f>pr_eq*0.5*(E1230+E1234)</f>
        <v/>
      </c>
      <c r="F1241" s="23">
        <f>pr_eq*0.5*(F1230+F1234)</f>
        <v/>
      </c>
      <c r="G1241" s="23">
        <f>pr_eq*0.5*(G1230+G1234)</f>
        <v/>
      </c>
      <c r="H1241" s="23">
        <f>pr_eq*0.5*(H1230+H1234)</f>
        <v/>
      </c>
      <c r="I1241" s="23">
        <f>pr_eq*0.5*(I1230+I1234)</f>
        <v/>
      </c>
      <c r="J1241" s="23">
        <f>pr_eq*0.5*(J1230+J1234)</f>
        <v/>
      </c>
      <c r="K1241" s="23">
        <f>pr_eq*0.5*(K1230+K1234)</f>
        <v/>
      </c>
      <c r="L1241" s="23">
        <f>pr_eq*0.5*(L1230+L1234)</f>
        <v/>
      </c>
      <c r="M1241" s="23">
        <f>pr_eq*0.5*(M1230+M1234)</f>
        <v/>
      </c>
      <c r="N1241" s="23">
        <f>pr_eq*0.5*(N1230+N1234)</f>
        <v/>
      </c>
    </row>
    <row r="1242">
      <c r="B1242" s="2" t="inlineStr">
        <is>
          <t>Earned return on equity</t>
        </is>
      </c>
      <c r="C1242" s="5" t="inlineStr">
        <is>
          <t>rate</t>
        </is>
      </c>
      <c r="E1242" s="27">
        <f>E1227/E1241</f>
        <v/>
      </c>
      <c r="F1242" s="27">
        <f>F1227/F1241</f>
        <v/>
      </c>
      <c r="G1242" s="27">
        <f>G1227/G1241</f>
        <v/>
      </c>
      <c r="H1242" s="27">
        <f>H1227/H1241</f>
        <v/>
      </c>
      <c r="I1242" s="27">
        <f>I1227/I1241</f>
        <v/>
      </c>
      <c r="J1242" s="27">
        <f>J1227/J1241</f>
        <v/>
      </c>
      <c r="K1242" s="27">
        <f>K1227/K1241</f>
        <v/>
      </c>
      <c r="L1242" s="27">
        <f>L1227/L1241</f>
        <v/>
      </c>
      <c r="M1242" s="27">
        <f>M1227/M1241</f>
        <v/>
      </c>
      <c r="N1242" s="27">
        <f>N1227/N1241</f>
        <v/>
      </c>
    </row>
    <row r="1243">
      <c r="B1243" s="2" t="inlineStr">
        <is>
          <t>Authorized return on equity</t>
        </is>
      </c>
      <c r="C1243" s="5" t="inlineStr">
        <is>
          <t>rate</t>
        </is>
      </c>
      <c r="E1243" s="27">
        <f>Inputs!$C$254</f>
        <v/>
      </c>
      <c r="F1243" s="27">
        <f>Inputs!$C$254</f>
        <v/>
      </c>
      <c r="G1243" s="27">
        <f>Inputs!$C$254</f>
        <v/>
      </c>
      <c r="H1243" s="27">
        <f>Inputs!$C$254</f>
        <v/>
      </c>
      <c r="I1243" s="27">
        <f>Inputs!$C$254</f>
        <v/>
      </c>
      <c r="J1243" s="27">
        <f>Inputs!$C$254</f>
        <v/>
      </c>
      <c r="K1243" s="27">
        <f>Inputs!$C$254</f>
        <v/>
      </c>
      <c r="L1243" s="27">
        <f>Inputs!$C$254</f>
        <v/>
      </c>
      <c r="M1243" s="27">
        <f>Inputs!$C$254</f>
        <v/>
      </c>
      <c r="N1243" s="27">
        <f>Inputs!$C$254</f>
        <v/>
      </c>
    </row>
    <row r="1244">
      <c r="B1244" s="3" t="inlineStr">
        <is>
          <t>Cash to the shareholder (FCFE)</t>
        </is>
      </c>
      <c r="C1244" s="5" t="inlineStr">
        <is>
          <t>$ million</t>
        </is>
      </c>
      <c r="E1244" s="23">
        <f>E1227+E1223-E1188-E1232+E1233+E1236-D1236</f>
        <v/>
      </c>
      <c r="F1244" s="23">
        <f>F1227+F1223-F1188-F1232+F1233+F1236-E1236</f>
        <v/>
      </c>
      <c r="G1244" s="23">
        <f>G1227+G1223-G1188-G1232+G1233+G1236-F1236</f>
        <v/>
      </c>
      <c r="H1244" s="23">
        <f>H1227+H1223-H1188-H1232+H1233+H1236-G1236</f>
        <v/>
      </c>
      <c r="I1244" s="23">
        <f>I1227+I1223-I1188-I1232+I1233+I1236-H1236</f>
        <v/>
      </c>
      <c r="J1244" s="23">
        <f>J1227+J1223-J1188-J1232+J1233+J1236-I1236</f>
        <v/>
      </c>
      <c r="K1244" s="23">
        <f>K1227+K1223-K1188-K1232+K1233+K1236-J1236</f>
        <v/>
      </c>
      <c r="L1244" s="23">
        <f>L1227+L1223-L1188-L1232+L1233+L1236-K1236</f>
        <v/>
      </c>
      <c r="M1244" s="23">
        <f>M1227+M1223-M1188-M1232+M1233+M1236-L1236</f>
        <v/>
      </c>
      <c r="N1244" s="23">
        <f>N1227+N1223-N1188-N1232+N1233+N1236-M1236</f>
        <v/>
      </c>
    </row>
    <row r="1245">
      <c r="B1245" s="2" t="inlineStr">
        <is>
          <t>Funds from operations (net income + depreciation)</t>
        </is>
      </c>
      <c r="C1245" s="5" t="inlineStr">
        <is>
          <t>$ million</t>
        </is>
      </c>
      <c r="E1245" s="23">
        <f>E1227+E1223</f>
        <v/>
      </c>
      <c r="F1245" s="23">
        <f>F1227+F1223</f>
        <v/>
      </c>
      <c r="G1245" s="23">
        <f>G1227+G1223</f>
        <v/>
      </c>
      <c r="H1245" s="23">
        <f>H1227+H1223</f>
        <v/>
      </c>
      <c r="I1245" s="23">
        <f>I1227+I1223</f>
        <v/>
      </c>
      <c r="J1245" s="23">
        <f>J1227+J1223</f>
        <v/>
      </c>
      <c r="K1245" s="23">
        <f>K1227+K1223</f>
        <v/>
      </c>
      <c r="L1245" s="23">
        <f>L1227+L1223</f>
        <v/>
      </c>
      <c r="M1245" s="23">
        <f>M1227+M1223</f>
        <v/>
      </c>
      <c r="N1245" s="23">
        <f>N1227+N1223</f>
        <v/>
      </c>
    </row>
    <row r="1246">
      <c r="B1246" s="3" t="inlineStr">
        <is>
          <t>Brannock's net flows (exit at the exit multiple)</t>
        </is>
      </c>
      <c r="C1246" s="5" t="inlineStr">
        <is>
          <t>$ million</t>
        </is>
      </c>
      <c r="D1246" s="23">
        <f>-(pr_ev_mult*pr_rb0-(1-pr_eq)*pr_rb0+pr_costs-pr_holdco)</f>
        <v/>
      </c>
      <c r="E1246" s="23">
        <f>E1244-pr_holdco*pr_kd_holdco*(1-pr_tax)</f>
        <v/>
      </c>
      <c r="F1246" s="23">
        <f>F1244-pr_holdco*pr_kd_holdco*(1-pr_tax)</f>
        <v/>
      </c>
      <c r="G1246" s="23">
        <f>G1244-pr_holdco*pr_kd_holdco*(1-pr_tax)</f>
        <v/>
      </c>
      <c r="H1246" s="23">
        <f>H1244-pr_holdco*pr_kd_holdco*(1-pr_tax)</f>
        <v/>
      </c>
      <c r="I1246" s="23">
        <f>I1244-pr_holdco*pr_kd_holdco*(1-pr_tax)</f>
        <v/>
      </c>
      <c r="J1246" s="23">
        <f>J1244-pr_holdco*pr_kd_holdco*(1-pr_tax)</f>
        <v/>
      </c>
      <c r="K1246" s="23">
        <f>K1244-pr_holdco*pr_kd_holdco*(1-pr_tax)</f>
        <v/>
      </c>
      <c r="L1246" s="23">
        <f>L1244-pr_holdco*pr_kd_holdco*(1-pr_tax)</f>
        <v/>
      </c>
      <c r="M1246" s="23">
        <f>M1244-pr_holdco*pr_kd_holdco*(1-pr_tax)</f>
        <v/>
      </c>
      <c r="N1246" s="23">
        <f>N1244-pr_holdco*pr_kd_holdco*(1-pr_tax)+pr_exit_mult*N1234-N1236-pr_holdco</f>
        <v/>
      </c>
    </row>
    <row r="1247">
      <c r="B1247" s="2" t="inlineStr">
        <is>
          <t>Levered IRR</t>
        </is>
      </c>
      <c r="C1247" s="5" t="inlineStr">
        <is>
          <t>rate</t>
        </is>
      </c>
      <c r="D1247" s="27">
        <f>IRR($D$1246:N$1246,0.08)</f>
        <v/>
      </c>
    </row>
    <row r="1248">
      <c r="B1248" s="2" t="inlineStr">
        <is>
          <t>Average earned return on equity 2028 to 2037</t>
        </is>
      </c>
      <c r="C1248" s="5" t="inlineStr">
        <is>
          <t>rate</t>
        </is>
      </c>
      <c r="D1248" s="27">
        <f>AVERAGE($E$1242:N$1242)</f>
        <v/>
      </c>
    </row>
    <row r="1249">
      <c r="B1249" s="2" t="inlineStr">
        <is>
          <t>Price at the target return (enterprise value)</t>
        </is>
      </c>
      <c r="C1249" s="5" t="inlineStr">
        <is>
          <t>$ million</t>
        </is>
      </c>
      <c r="D1249" s="23">
        <f>NPV(pr_target,$E$1246:N$1246)+(1-pr_eq)*pr_rb0-pr_costs+pr_holdco</f>
        <v/>
      </c>
    </row>
    <row r="1250">
      <c r="B1250" s="2" t="inlineStr">
        <is>
          <t>Exit equity</t>
        </is>
      </c>
      <c r="C1250" s="5" t="inlineStr">
        <is>
          <t>$ million</t>
        </is>
      </c>
      <c r="D1250" s="23">
        <f>pr_exit_mult*N1234-N1236-pr_holdco</f>
        <v/>
      </c>
    </row>
    <row r="1251">
      <c r="B1251" s="2" t="inlineStr">
        <is>
          <t>Rate base at exit</t>
        </is>
      </c>
      <c r="C1251" s="5" t="inlineStr">
        <is>
          <t>$ million</t>
        </is>
      </c>
      <c r="D1251" s="23">
        <f>N1234</f>
        <v/>
      </c>
    </row>
    <row r="1254">
      <c r="B1254" s="6" t="inlineStr">
        <is>
          <t>B4: Bridge step 4: O&amp;M inflation 3.0 percent (Pell River, after tax)</t>
        </is>
      </c>
      <c r="C1254" s="7" t="n"/>
      <c r="D1254" s="7" t="n"/>
      <c r="E1254" s="7" t="n"/>
      <c r="F1254" s="7" t="n"/>
      <c r="G1254" s="7" t="n"/>
      <c r="H1254" s="7" t="n"/>
      <c r="I1254" s="7" t="n"/>
      <c r="J1254" s="7" t="n"/>
      <c r="K1254" s="7" t="n"/>
      <c r="L1254" s="7" t="n"/>
      <c r="M1254" s="7" t="n"/>
      <c r="N1254" s="7" t="n"/>
    </row>
    <row r="1255">
      <c r="B1255" s="2" t="inlineStr">
        <is>
          <t>Year (31 December)</t>
        </is>
      </c>
      <c r="D1255" s="26">
        <f>pr_close</f>
        <v/>
      </c>
      <c r="E1255" s="26">
        <f>D1255+1</f>
        <v/>
      </c>
      <c r="F1255" s="26">
        <f>E1255+1</f>
        <v/>
      </c>
      <c r="G1255" s="26">
        <f>F1255+1</f>
        <v/>
      </c>
      <c r="H1255" s="26">
        <f>G1255+1</f>
        <v/>
      </c>
      <c r="I1255" s="26">
        <f>H1255+1</f>
        <v/>
      </c>
      <c r="J1255" s="26">
        <f>I1255+1</f>
        <v/>
      </c>
      <c r="K1255" s="26">
        <f>J1255+1</f>
        <v/>
      </c>
      <c r="L1255" s="26">
        <f>K1255+1</f>
        <v/>
      </c>
      <c r="M1255" s="26">
        <f>L1255+1</f>
        <v/>
      </c>
      <c r="N1255" s="26">
        <f>M1255+1</f>
        <v/>
      </c>
    </row>
    <row r="1256">
      <c r="B1256" s="2" t="inlineStr">
        <is>
          <t>Years after the first year of the hold (2028 = 0)</t>
        </is>
      </c>
      <c r="D1256" s="26">
        <f>D1255-(pr_close+1)</f>
        <v/>
      </c>
      <c r="E1256" s="26">
        <f>E1255-(pr_close+1)</f>
        <v/>
      </c>
      <c r="F1256" s="26">
        <f>F1255-(pr_close+1)</f>
        <v/>
      </c>
      <c r="G1256" s="26">
        <f>G1255-(pr_close+1)</f>
        <v/>
      </c>
      <c r="H1256" s="26">
        <f>H1255-(pr_close+1)</f>
        <v/>
      </c>
      <c r="I1256" s="26">
        <f>I1255-(pr_close+1)</f>
        <v/>
      </c>
      <c r="J1256" s="26">
        <f>J1255-(pr_close+1)</f>
        <v/>
      </c>
      <c r="K1256" s="26">
        <f>K1255-(pr_close+1)</f>
        <v/>
      </c>
      <c r="L1256" s="26">
        <f>L1255-(pr_close+1)</f>
        <v/>
      </c>
      <c r="M1256" s="26">
        <f>M1255-(pr_close+1)</f>
        <v/>
      </c>
      <c r="N1256" s="26">
        <f>N1255-(pr_close+1)</f>
        <v/>
      </c>
    </row>
    <row r="1257">
      <c r="B1257" s="2" t="inlineStr">
        <is>
          <t>Connections (water and wastewater), year end</t>
        </is>
      </c>
      <c r="C1257" s="5" t="inlineStr">
        <is>
          <t>number</t>
        </is>
      </c>
      <c r="D1257" s="19">
        <f>pr_water_conn+pr_ww_conn</f>
        <v/>
      </c>
      <c r="E1257" s="19">
        <f>D1257*(1+pr_growth)+IF(AND(pr_fen_on=1,E1255=pr_fen_year+1),pr_fen_conn,0)</f>
        <v/>
      </c>
      <c r="F1257" s="19">
        <f>E1257*(1+pr_growth)+IF(AND(pr_fen_on=1,F1255=pr_fen_year+1),pr_fen_conn,0)</f>
        <v/>
      </c>
      <c r="G1257" s="19">
        <f>F1257*(1+pr_growth)+IF(AND(pr_fen_on=1,G1255=pr_fen_year+1),pr_fen_conn,0)</f>
        <v/>
      </c>
      <c r="H1257" s="19">
        <f>G1257*(1+pr_growth)+IF(AND(pr_fen_on=1,H1255=pr_fen_year+1),pr_fen_conn,0)</f>
        <v/>
      </c>
      <c r="I1257" s="19">
        <f>H1257*(1+pr_growth)+IF(AND(pr_fen_on=1,I1255=pr_fen_year+1),pr_fen_conn,0)</f>
        <v/>
      </c>
      <c r="J1257" s="19">
        <f>I1257*(1+pr_growth)+IF(AND(pr_fen_on=1,J1255=pr_fen_year+1),pr_fen_conn,0)</f>
        <v/>
      </c>
      <c r="K1257" s="19">
        <f>J1257*(1+pr_growth)+IF(AND(pr_fen_on=1,K1255=pr_fen_year+1),pr_fen_conn,0)</f>
        <v/>
      </c>
      <c r="L1257" s="19">
        <f>K1257*(1+pr_growth)+IF(AND(pr_fen_on=1,L1255=pr_fen_year+1),pr_fen_conn,0)</f>
        <v/>
      </c>
      <c r="M1257" s="19">
        <f>L1257*(1+pr_growth)+IF(AND(pr_fen_on=1,M1255=pr_fen_year+1),pr_fen_conn,0)</f>
        <v/>
      </c>
      <c r="N1257" s="19">
        <f>M1257*(1+pr_growth)+IF(AND(pr_fen_on=1,N1255=pr_fen_year+1),pr_fen_conn,0)</f>
        <v/>
      </c>
    </row>
    <row r="1259">
      <c r="B1259" s="6" t="inlineStr">
        <is>
          <t>Capital spending ($ million)</t>
        </is>
      </c>
      <c r="C1259" s="7" t="n"/>
      <c r="D1259" s="7" t="n"/>
      <c r="E1259" s="7" t="n"/>
      <c r="F1259" s="7" t="n"/>
      <c r="G1259" s="7" t="n"/>
      <c r="H1259" s="7" t="n"/>
      <c r="I1259" s="7" t="n"/>
      <c r="J1259" s="7" t="n"/>
      <c r="K1259" s="7" t="n"/>
      <c r="L1259" s="7" t="n"/>
      <c r="M1259" s="7" t="n"/>
      <c r="N1259" s="7" t="n"/>
    </row>
    <row r="1260">
      <c r="B1260" s="2" t="inlineStr">
        <is>
          <t>Cost escalation index (2028 = 1)</t>
        </is>
      </c>
      <c r="E1260" s="28">
        <f>(1+pr_capex_esc)^(E1255-(pr_close+1))</f>
        <v/>
      </c>
      <c r="F1260" s="28">
        <f>(1+pr_capex_esc)^(F1255-(pr_close+1))</f>
        <v/>
      </c>
      <c r="G1260" s="28">
        <f>(1+pr_capex_esc)^(G1255-(pr_close+1))</f>
        <v/>
      </c>
      <c r="H1260" s="28">
        <f>(1+pr_capex_esc)^(H1255-(pr_close+1))</f>
        <v/>
      </c>
      <c r="I1260" s="28">
        <f>(1+pr_capex_esc)^(I1255-(pr_close+1))</f>
        <v/>
      </c>
      <c r="J1260" s="28">
        <f>(1+pr_capex_esc)^(J1255-(pr_close+1))</f>
        <v/>
      </c>
      <c r="K1260" s="28">
        <f>(1+pr_capex_esc)^(K1255-(pr_close+1))</f>
        <v/>
      </c>
      <c r="L1260" s="28">
        <f>(1+pr_capex_esc)^(L1255-(pr_close+1))</f>
        <v/>
      </c>
      <c r="M1260" s="28">
        <f>(1+pr_capex_esc)^(M1255-(pr_close+1))</f>
        <v/>
      </c>
      <c r="N1260" s="28">
        <f>(1+pr_capex_esc)^(N1255-(pr_close+1))</f>
        <v/>
      </c>
    </row>
    <row r="1261">
      <c r="B1261" s="2" t="inlineStr">
        <is>
          <t>Main renewal</t>
        </is>
      </c>
      <c r="C1261" s="5" t="inlineStr">
        <is>
          <t>$ million</t>
        </is>
      </c>
      <c r="E1261" s="23">
        <f>pr_renewal*pr_mains_miles*pr_cost_mile*E1260*(1+pr_capex_shift)</f>
        <v/>
      </c>
      <c r="F1261" s="23">
        <f>pr_renewal*pr_mains_miles*pr_cost_mile*F1260*(1+pr_capex_shift)</f>
        <v/>
      </c>
      <c r="G1261" s="23">
        <f>pr_renewal*pr_mains_miles*pr_cost_mile*G1260*(1+pr_capex_shift)</f>
        <v/>
      </c>
      <c r="H1261" s="23">
        <f>pr_renewal*pr_mains_miles*pr_cost_mile*H1260*(1+pr_capex_shift)</f>
        <v/>
      </c>
      <c r="I1261" s="23">
        <f>pr_renewal*pr_mains_miles*pr_cost_mile*I1260*(1+pr_capex_shift)</f>
        <v/>
      </c>
      <c r="J1261" s="23">
        <f>pr_renewal*pr_mains_miles*pr_cost_mile*J1260*(1+pr_capex_shift)</f>
        <v/>
      </c>
      <c r="K1261" s="23">
        <f>pr_renewal*pr_mains_miles*pr_cost_mile*K1260*(1+pr_capex_shift)</f>
        <v/>
      </c>
      <c r="L1261" s="23">
        <f>pr_renewal*pr_mains_miles*pr_cost_mile*L1260*(1+pr_capex_shift)</f>
        <v/>
      </c>
      <c r="M1261" s="23">
        <f>pr_renewal*pr_mains_miles*pr_cost_mile*M1260*(1+pr_capex_shift)</f>
        <v/>
      </c>
      <c r="N1261" s="23">
        <f>pr_renewal*pr_mains_miles*pr_cost_mile*N1260*(1+pr_capex_shift)</f>
        <v/>
      </c>
    </row>
    <row r="1262">
      <c r="B1262" s="2" t="inlineStr">
        <is>
          <t>Treatment, storage, meters, IT and growth</t>
        </is>
      </c>
      <c r="C1262" s="5" t="inlineStr">
        <is>
          <t>$ million</t>
        </is>
      </c>
      <c r="E1262" s="23">
        <f>pr_other_capex*E1260*(1+pr_capex_shift)</f>
        <v/>
      </c>
      <c r="F1262" s="23">
        <f>pr_other_capex*F1260*(1+pr_capex_shift)</f>
        <v/>
      </c>
      <c r="G1262" s="23">
        <f>pr_other_capex*G1260*(1+pr_capex_shift)</f>
        <v/>
      </c>
      <c r="H1262" s="23">
        <f>pr_other_capex*H1260*(1+pr_capex_shift)</f>
        <v/>
      </c>
      <c r="I1262" s="23">
        <f>pr_other_capex*I1260*(1+pr_capex_shift)</f>
        <v/>
      </c>
      <c r="J1262" s="23">
        <f>pr_other_capex*J1260*(1+pr_capex_shift)</f>
        <v/>
      </c>
      <c r="K1262" s="23">
        <f>pr_other_capex*K1260*(1+pr_capex_shift)</f>
        <v/>
      </c>
      <c r="L1262" s="23">
        <f>pr_other_capex*L1260*(1+pr_capex_shift)</f>
        <v/>
      </c>
      <c r="M1262" s="23">
        <f>pr_other_capex*M1260*(1+pr_capex_shift)</f>
        <v/>
      </c>
      <c r="N1262" s="23">
        <f>pr_other_capex*N1260*(1+pr_capex_shift)</f>
        <v/>
      </c>
    </row>
    <row r="1263">
      <c r="B1263" s="2" t="inlineStr">
        <is>
          <t>PFAS treatment</t>
        </is>
      </c>
      <c r="C1263" s="5" t="inlineStr">
        <is>
          <t>$ million</t>
        </is>
      </c>
      <c r="E1263" s="23">
        <f>(IF(E1255-pr_pfas_delay=pr_pfas_y1,pr_pfas_1,0)+IF(E1255-pr_pfas_delay=pr_pfas_y1+1,pr_pfas_2,0)+IF(E1255-pr_pfas_delay=pr_pfas_y1+2,pr_pfas_3,0))*(1+pr_capex_esc)^pr_pfas_delay*(1+pr_capex_shift)</f>
        <v/>
      </c>
      <c r="F1263" s="23">
        <f>(IF(F1255-pr_pfas_delay=pr_pfas_y1,pr_pfas_1,0)+IF(F1255-pr_pfas_delay=pr_pfas_y1+1,pr_pfas_2,0)+IF(F1255-pr_pfas_delay=pr_pfas_y1+2,pr_pfas_3,0))*(1+pr_capex_esc)^pr_pfas_delay*(1+pr_capex_shift)</f>
        <v/>
      </c>
      <c r="G1263" s="23">
        <f>(IF(G1255-pr_pfas_delay=pr_pfas_y1,pr_pfas_1,0)+IF(G1255-pr_pfas_delay=pr_pfas_y1+1,pr_pfas_2,0)+IF(G1255-pr_pfas_delay=pr_pfas_y1+2,pr_pfas_3,0))*(1+pr_capex_esc)^pr_pfas_delay*(1+pr_capex_shift)</f>
        <v/>
      </c>
      <c r="H1263" s="23">
        <f>(IF(H1255-pr_pfas_delay=pr_pfas_y1,pr_pfas_1,0)+IF(H1255-pr_pfas_delay=pr_pfas_y1+1,pr_pfas_2,0)+IF(H1255-pr_pfas_delay=pr_pfas_y1+2,pr_pfas_3,0))*(1+pr_capex_esc)^pr_pfas_delay*(1+pr_capex_shift)</f>
        <v/>
      </c>
      <c r="I1263" s="23">
        <f>(IF(I1255-pr_pfas_delay=pr_pfas_y1,pr_pfas_1,0)+IF(I1255-pr_pfas_delay=pr_pfas_y1+1,pr_pfas_2,0)+IF(I1255-pr_pfas_delay=pr_pfas_y1+2,pr_pfas_3,0))*(1+pr_capex_esc)^pr_pfas_delay*(1+pr_capex_shift)</f>
        <v/>
      </c>
      <c r="J1263" s="23">
        <f>(IF(J1255-pr_pfas_delay=pr_pfas_y1,pr_pfas_1,0)+IF(J1255-pr_pfas_delay=pr_pfas_y1+1,pr_pfas_2,0)+IF(J1255-pr_pfas_delay=pr_pfas_y1+2,pr_pfas_3,0))*(1+pr_capex_esc)^pr_pfas_delay*(1+pr_capex_shift)</f>
        <v/>
      </c>
      <c r="K1263" s="23">
        <f>(IF(K1255-pr_pfas_delay=pr_pfas_y1,pr_pfas_1,0)+IF(K1255-pr_pfas_delay=pr_pfas_y1+1,pr_pfas_2,0)+IF(K1255-pr_pfas_delay=pr_pfas_y1+2,pr_pfas_3,0))*(1+pr_capex_esc)^pr_pfas_delay*(1+pr_capex_shift)</f>
        <v/>
      </c>
      <c r="L1263" s="23">
        <f>(IF(L1255-pr_pfas_delay=pr_pfas_y1,pr_pfas_1,0)+IF(L1255-pr_pfas_delay=pr_pfas_y1+1,pr_pfas_2,0)+IF(L1255-pr_pfas_delay=pr_pfas_y1+2,pr_pfas_3,0))*(1+pr_capex_esc)^pr_pfas_delay*(1+pr_capex_shift)</f>
        <v/>
      </c>
      <c r="M1263" s="23">
        <f>(IF(M1255-pr_pfas_delay=pr_pfas_y1,pr_pfas_1,0)+IF(M1255-pr_pfas_delay=pr_pfas_y1+1,pr_pfas_2,0)+IF(M1255-pr_pfas_delay=pr_pfas_y1+2,pr_pfas_3,0))*(1+pr_capex_esc)^pr_pfas_delay*(1+pr_capex_shift)</f>
        <v/>
      </c>
      <c r="N1263" s="23">
        <f>(IF(N1255-pr_pfas_delay=pr_pfas_y1,pr_pfas_1,0)+IF(N1255-pr_pfas_delay=pr_pfas_y1+1,pr_pfas_2,0)+IF(N1255-pr_pfas_delay=pr_pfas_y1+2,pr_pfas_3,0))*(1+pr_capex_esc)^pr_pfas_delay*(1+pr_capex_shift)</f>
        <v/>
      </c>
    </row>
    <row r="1264">
      <c r="B1264" s="2" t="inlineStr">
        <is>
          <t>Lead service lines</t>
        </is>
      </c>
      <c r="C1264" s="5" t="inlineStr">
        <is>
          <t>$ million</t>
        </is>
      </c>
      <c r="E1264" s="23">
        <f>IF(AND(E1255&gt;=(pr_close+1),E1255&lt;(pr_close+1)+pr_lead_years),pr_lead_lines/pr_lead_years*pr_lead_cost/1000000*E1260,0)*(1+pr_capex_shift)</f>
        <v/>
      </c>
      <c r="F1264" s="23">
        <f>IF(AND(F1255&gt;=(pr_close+1),F1255&lt;(pr_close+1)+pr_lead_years),pr_lead_lines/pr_lead_years*pr_lead_cost/1000000*F1260,0)*(1+pr_capex_shift)</f>
        <v/>
      </c>
      <c r="G1264" s="23">
        <f>IF(AND(G1255&gt;=(pr_close+1),G1255&lt;(pr_close+1)+pr_lead_years),pr_lead_lines/pr_lead_years*pr_lead_cost/1000000*G1260,0)*(1+pr_capex_shift)</f>
        <v/>
      </c>
      <c r="H1264" s="23">
        <f>IF(AND(H1255&gt;=(pr_close+1),H1255&lt;(pr_close+1)+pr_lead_years),pr_lead_lines/pr_lead_years*pr_lead_cost/1000000*H1260,0)*(1+pr_capex_shift)</f>
        <v/>
      </c>
      <c r="I1264" s="23">
        <f>IF(AND(I1255&gt;=(pr_close+1),I1255&lt;(pr_close+1)+pr_lead_years),pr_lead_lines/pr_lead_years*pr_lead_cost/1000000*I1260,0)*(1+pr_capex_shift)</f>
        <v/>
      </c>
      <c r="J1264" s="23">
        <f>IF(AND(J1255&gt;=(pr_close+1),J1255&lt;(pr_close+1)+pr_lead_years),pr_lead_lines/pr_lead_years*pr_lead_cost/1000000*J1260,0)*(1+pr_capex_shift)</f>
        <v/>
      </c>
      <c r="K1264" s="23">
        <f>IF(AND(K1255&gt;=(pr_close+1),K1255&lt;(pr_close+1)+pr_lead_years),pr_lead_lines/pr_lead_years*pr_lead_cost/1000000*K1260,0)*(1+pr_capex_shift)</f>
        <v/>
      </c>
      <c r="L1264" s="23">
        <f>IF(AND(L1255&gt;=(pr_close+1),L1255&lt;(pr_close+1)+pr_lead_years),pr_lead_lines/pr_lead_years*pr_lead_cost/1000000*L1260,0)*(1+pr_capex_shift)</f>
        <v/>
      </c>
      <c r="M1264" s="23">
        <f>IF(AND(M1255&gt;=(pr_close+1),M1255&lt;(pr_close+1)+pr_lead_years),pr_lead_lines/pr_lead_years*pr_lead_cost/1000000*M1260,0)*(1+pr_capex_shift)</f>
        <v/>
      </c>
      <c r="N1264" s="23">
        <f>IF(AND(N1255&gt;=(pr_close+1),N1255&lt;(pr_close+1)+pr_lead_years),pr_lead_lines/pr_lead_years*pr_lead_cost/1000000*N1260,0)*(1+pr_capex_shift)</f>
        <v/>
      </c>
    </row>
    <row r="1265">
      <c r="B1265" s="2" t="inlineStr">
        <is>
          <t>Fennick system</t>
        </is>
      </c>
      <c r="C1265" s="5" t="inlineStr">
        <is>
          <t>$ million</t>
        </is>
      </c>
      <c r="E1265" s="23">
        <f>IF(AND(pr_fen_on=1,E1255&gt;pr_fen_year),pr_fen_capex*(1+pr_capex_esc)^(E1255-pr_fen_year-1),0)*(1+pr_capex_shift)</f>
        <v/>
      </c>
      <c r="F1265" s="23">
        <f>IF(AND(pr_fen_on=1,F1255&gt;pr_fen_year),pr_fen_capex*(1+pr_capex_esc)^(F1255-pr_fen_year-1),0)*(1+pr_capex_shift)</f>
        <v/>
      </c>
      <c r="G1265" s="23">
        <f>IF(AND(pr_fen_on=1,G1255&gt;pr_fen_year),pr_fen_capex*(1+pr_capex_esc)^(G1255-pr_fen_year-1),0)*(1+pr_capex_shift)</f>
        <v/>
      </c>
      <c r="H1265" s="23">
        <f>IF(AND(pr_fen_on=1,H1255&gt;pr_fen_year),pr_fen_capex*(1+pr_capex_esc)^(H1255-pr_fen_year-1),0)*(1+pr_capex_shift)</f>
        <v/>
      </c>
      <c r="I1265" s="23">
        <f>IF(AND(pr_fen_on=1,I1255&gt;pr_fen_year),pr_fen_capex*(1+pr_capex_esc)^(I1255-pr_fen_year-1),0)*(1+pr_capex_shift)</f>
        <v/>
      </c>
      <c r="J1265" s="23">
        <f>IF(AND(pr_fen_on=1,J1255&gt;pr_fen_year),pr_fen_capex*(1+pr_capex_esc)^(J1255-pr_fen_year-1),0)*(1+pr_capex_shift)</f>
        <v/>
      </c>
      <c r="K1265" s="23">
        <f>IF(AND(pr_fen_on=1,K1255&gt;pr_fen_year),pr_fen_capex*(1+pr_capex_esc)^(K1255-pr_fen_year-1),0)*(1+pr_capex_shift)</f>
        <v/>
      </c>
      <c r="L1265" s="23">
        <f>IF(AND(pr_fen_on=1,L1255&gt;pr_fen_year),pr_fen_capex*(1+pr_capex_esc)^(L1255-pr_fen_year-1),0)*(1+pr_capex_shift)</f>
        <v/>
      </c>
      <c r="M1265" s="23">
        <f>IF(AND(pr_fen_on=1,M1255&gt;pr_fen_year),pr_fen_capex*(1+pr_capex_esc)^(M1255-pr_fen_year-1),0)*(1+pr_capex_shift)</f>
        <v/>
      </c>
      <c r="N1265" s="23">
        <f>IF(AND(pr_fen_on=1,N1255&gt;pr_fen_year),pr_fen_capex*(1+pr_capex_esc)^(N1255-pr_fen_year-1),0)*(1+pr_capex_shift)</f>
        <v/>
      </c>
    </row>
    <row r="1266">
      <c r="B1266" s="2" t="inlineStr">
        <is>
          <t>Total capital spending</t>
        </is>
      </c>
      <c r="C1266" s="5" t="inlineStr">
        <is>
          <t>$ million</t>
        </is>
      </c>
      <c r="E1266" s="23">
        <f>SUM(E1261:E1265)</f>
        <v/>
      </c>
      <c r="F1266" s="23">
        <f>SUM(F1261:F1265)</f>
        <v/>
      </c>
      <c r="G1266" s="23">
        <f>SUM(G1261:G1265)</f>
        <v/>
      </c>
      <c r="H1266" s="23">
        <f>SUM(H1261:H1265)</f>
        <v/>
      </c>
      <c r="I1266" s="23">
        <f>SUM(I1261:I1265)</f>
        <v/>
      </c>
      <c r="J1266" s="23">
        <f>SUM(J1261:J1265)</f>
        <v/>
      </c>
      <c r="K1266" s="23">
        <f>SUM(K1261:K1265)</f>
        <v/>
      </c>
      <c r="L1266" s="23">
        <f>SUM(L1261:L1265)</f>
        <v/>
      </c>
      <c r="M1266" s="23">
        <f>SUM(M1261:M1265)</f>
        <v/>
      </c>
      <c r="N1266" s="23">
        <f>SUM(N1261:N1265)</f>
        <v/>
      </c>
    </row>
    <row r="1267">
      <c r="B1267" s="2" t="inlineStr">
        <is>
          <t>DSIC-eligible (mains and lead lines)</t>
        </is>
      </c>
      <c r="C1267" s="5" t="inlineStr">
        <is>
          <t>$ million</t>
        </is>
      </c>
      <c r="E1267" s="23">
        <f>E1261+E1264</f>
        <v/>
      </c>
      <c r="F1267" s="23">
        <f>F1261+F1264</f>
        <v/>
      </c>
      <c r="G1267" s="23">
        <f>G1261+G1264</f>
        <v/>
      </c>
      <c r="H1267" s="23">
        <f>H1261+H1264</f>
        <v/>
      </c>
      <c r="I1267" s="23">
        <f>I1261+I1264</f>
        <v/>
      </c>
      <c r="J1267" s="23">
        <f>J1261+J1264</f>
        <v/>
      </c>
      <c r="K1267" s="23">
        <f>K1261+K1264</f>
        <v/>
      </c>
      <c r="L1267" s="23">
        <f>L1261+L1264</f>
        <v/>
      </c>
      <c r="M1267" s="23">
        <f>M1261+M1264</f>
        <v/>
      </c>
      <c r="N1267" s="23">
        <f>N1261+N1264</f>
        <v/>
      </c>
    </row>
    <row r="1269">
      <c r="B1269" s="6" t="inlineStr">
        <is>
          <t>Rate case (rates effective 1 January of the year; test-year values looked up to the left)</t>
        </is>
      </c>
      <c r="C1269" s="7" t="n"/>
      <c r="D1269" s="7" t="n"/>
      <c r="E1269" s="7" t="n"/>
      <c r="F1269" s="7" t="n"/>
      <c r="G1269" s="7" t="n"/>
      <c r="H1269" s="7" t="n"/>
      <c r="I1269" s="7" t="n"/>
      <c r="J1269" s="7" t="n"/>
      <c r="K1269" s="7" t="n"/>
      <c r="L1269" s="7" t="n"/>
      <c r="M1269" s="7" t="n"/>
      <c r="N1269" s="7" t="n"/>
    </row>
    <row r="1270">
      <c r="B1270" s="2" t="inlineStr">
        <is>
          <t>Rate case this year (1 = yes)</t>
        </is>
      </c>
      <c r="E1270" s="26">
        <f>IF(AND(E1255&gt;=pr_rc_first,MOD(E1255-pr_rc_first,Inputs!$C$260)=0),1,0)</f>
        <v/>
      </c>
      <c r="F1270" s="26">
        <f>IF(AND(F1255&gt;=pr_rc_first,MOD(F1255-pr_rc_first,Inputs!$C$260)=0),1,0)</f>
        <v/>
      </c>
      <c r="G1270" s="26">
        <f>IF(AND(G1255&gt;=pr_rc_first,MOD(G1255-pr_rc_first,Inputs!$C$260)=0),1,0)</f>
        <v/>
      </c>
      <c r="H1270" s="26">
        <f>IF(AND(H1255&gt;=pr_rc_first,MOD(H1255-pr_rc_first,Inputs!$C$260)=0),1,0)</f>
        <v/>
      </c>
      <c r="I1270" s="26">
        <f>IF(AND(I1255&gt;=pr_rc_first,MOD(I1255-pr_rc_first,Inputs!$C$260)=0),1,0)</f>
        <v/>
      </c>
      <c r="J1270" s="26">
        <f>IF(AND(J1255&gt;=pr_rc_first,MOD(J1255-pr_rc_first,Inputs!$C$260)=0),1,0)</f>
        <v/>
      </c>
      <c r="K1270" s="26">
        <f>IF(AND(K1255&gt;=pr_rc_first,MOD(K1255-pr_rc_first,Inputs!$C$260)=0),1,0)</f>
        <v/>
      </c>
      <c r="L1270" s="26">
        <f>IF(AND(L1255&gt;=pr_rc_first,MOD(L1255-pr_rc_first,Inputs!$C$260)=0),1,0)</f>
        <v/>
      </c>
      <c r="M1270" s="26">
        <f>IF(AND(M1255&gt;=pr_rc_first,MOD(M1255-pr_rc_first,Inputs!$C$260)=0),1,0)</f>
        <v/>
      </c>
      <c r="N1270" s="26">
        <f>IF(AND(N1255&gt;=pr_rc_first,MOD(N1255-pr_rc_first,Inputs!$C$260)=0),1,0)</f>
        <v/>
      </c>
    </row>
    <row r="1271">
      <c r="B1271" s="2" t="inlineStr">
        <is>
          <t>Test year</t>
        </is>
      </c>
      <c r="E1271" s="26">
        <f>E1255-Inputs!$C$261</f>
        <v/>
      </c>
      <c r="F1271" s="26">
        <f>F1255-Inputs!$C$261</f>
        <v/>
      </c>
      <c r="G1271" s="26">
        <f>G1255-Inputs!$C$261</f>
        <v/>
      </c>
      <c r="H1271" s="26">
        <f>H1255-Inputs!$C$261</f>
        <v/>
      </c>
      <c r="I1271" s="26">
        <f>I1255-Inputs!$C$261</f>
        <v/>
      </c>
      <c r="J1271" s="26">
        <f>J1255-Inputs!$C$261</f>
        <v/>
      </c>
      <c r="K1271" s="26">
        <f>K1255-Inputs!$C$261</f>
        <v/>
      </c>
      <c r="L1271" s="26">
        <f>L1255-Inputs!$C$261</f>
        <v/>
      </c>
      <c r="M1271" s="26">
        <f>M1255-Inputs!$C$261</f>
        <v/>
      </c>
      <c r="N1271" s="26">
        <f>N1255-Inputs!$C$261</f>
        <v/>
      </c>
    </row>
    <row r="1272">
      <c r="B1272" s="2" t="inlineStr">
        <is>
          <t>Test year of the latest rate case</t>
        </is>
      </c>
      <c r="D1272" s="26">
        <f>pr_close</f>
        <v/>
      </c>
      <c r="E1272" s="26">
        <f>IF(E1270=1,E1271,D1272)</f>
        <v/>
      </c>
      <c r="F1272" s="26">
        <f>IF(F1270=1,F1271,E1272)</f>
        <v/>
      </c>
      <c r="G1272" s="26">
        <f>IF(G1270=1,G1271,F1272)</f>
        <v/>
      </c>
      <c r="H1272" s="26">
        <f>IF(H1270=1,H1271,G1272)</f>
        <v/>
      </c>
      <c r="I1272" s="26">
        <f>IF(I1270=1,I1271,H1272)</f>
        <v/>
      </c>
      <c r="J1272" s="26">
        <f>IF(J1270=1,J1271,I1272)</f>
        <v/>
      </c>
      <c r="K1272" s="26">
        <f>IF(K1270=1,K1271,J1272)</f>
        <v/>
      </c>
      <c r="L1272" s="26">
        <f>IF(L1270=1,L1271,K1272)</f>
        <v/>
      </c>
      <c r="M1272" s="26">
        <f>IF(M1270=1,M1271,L1272)</f>
        <v/>
      </c>
      <c r="N1272" s="26">
        <f>IF(N1270=1,N1271,M1272)</f>
        <v/>
      </c>
    </row>
    <row r="1273">
      <c r="B1273" s="2" t="inlineStr">
        <is>
          <t>Rate base at the end of the test year</t>
        </is>
      </c>
      <c r="C1273" s="5" t="inlineStr">
        <is>
          <t>$ million</t>
        </is>
      </c>
      <c r="E1273" s="23">
        <f>INDEX($D$1312:D$1312,MATCH(MAX(E1271,pr_close),$D$1255:D$1255,0))</f>
        <v/>
      </c>
      <c r="F1273" s="23">
        <f>INDEX($D$1312:E$1312,MATCH(MAX(F1271,pr_close),$D$1255:E$1255,0))</f>
        <v/>
      </c>
      <c r="G1273" s="23">
        <f>INDEX($D$1312:F$1312,MATCH(MAX(G1271,pr_close),$D$1255:F$1255,0))</f>
        <v/>
      </c>
      <c r="H1273" s="23">
        <f>INDEX($D$1312:G$1312,MATCH(MAX(H1271,pr_close),$D$1255:G$1255,0))</f>
        <v/>
      </c>
      <c r="I1273" s="23">
        <f>INDEX($D$1312:H$1312,MATCH(MAX(I1271,pr_close),$D$1255:H$1255,0))</f>
        <v/>
      </c>
      <c r="J1273" s="23">
        <f>INDEX($D$1312:I$1312,MATCH(MAX(J1271,pr_close),$D$1255:I$1255,0))</f>
        <v/>
      </c>
      <c r="K1273" s="23">
        <f>INDEX($D$1312:J$1312,MATCH(MAX(K1271,pr_close),$D$1255:J$1255,0))</f>
        <v/>
      </c>
      <c r="L1273" s="23">
        <f>INDEX($D$1312:K$1312,MATCH(MAX(L1271,pr_close),$D$1255:K$1255,0))</f>
        <v/>
      </c>
      <c r="M1273" s="23">
        <f>INDEX($D$1312:L$1312,MATCH(MAX(M1271,pr_close),$D$1255:L$1255,0))</f>
        <v/>
      </c>
      <c r="N1273" s="23">
        <f>INDEX($D$1312:M$1312,MATCH(MAX(N1271,pr_close),$D$1255:M$1255,0))</f>
        <v/>
      </c>
    </row>
    <row r="1274">
      <c r="B1274" s="2" t="inlineStr">
        <is>
          <t>Embedded cost of debt in the test year</t>
        </is>
      </c>
      <c r="C1274" s="5" t="inlineStr">
        <is>
          <t>rate</t>
        </is>
      </c>
      <c r="E1274" s="27">
        <f>INDEX($D$1316:D$1316,MATCH(MAX(E1271,pr_close),$D$1255:D$1255,0))</f>
        <v/>
      </c>
      <c r="F1274" s="27">
        <f>INDEX($D$1316:E$1316,MATCH(MAX(F1271,pr_close),$D$1255:E$1255,0))</f>
        <v/>
      </c>
      <c r="G1274" s="27">
        <f>INDEX($D$1316:F$1316,MATCH(MAX(G1271,pr_close),$D$1255:F$1255,0))</f>
        <v/>
      </c>
      <c r="H1274" s="27">
        <f>INDEX($D$1316:G$1316,MATCH(MAX(H1271,pr_close),$D$1255:G$1255,0))</f>
        <v/>
      </c>
      <c r="I1274" s="27">
        <f>INDEX($D$1316:H$1316,MATCH(MAX(I1271,pr_close),$D$1255:H$1255,0))</f>
        <v/>
      </c>
      <c r="J1274" s="27">
        <f>INDEX($D$1316:I$1316,MATCH(MAX(J1271,pr_close),$D$1255:I$1255,0))</f>
        <v/>
      </c>
      <c r="K1274" s="27">
        <f>INDEX($D$1316:J$1316,MATCH(MAX(K1271,pr_close),$D$1255:J$1255,0))</f>
        <v/>
      </c>
      <c r="L1274" s="27">
        <f>INDEX($D$1316:K$1316,MATCH(MAX(L1271,pr_close),$D$1255:K$1255,0))</f>
        <v/>
      </c>
      <c r="M1274" s="27">
        <f>INDEX($D$1316:L$1316,MATCH(MAX(M1271,pr_close),$D$1255:L$1255,0))</f>
        <v/>
      </c>
      <c r="N1274" s="27">
        <f>INDEX($D$1316:M$1316,MATCH(MAX(N1271,pr_close),$D$1255:M$1255,0))</f>
        <v/>
      </c>
    </row>
    <row r="1275">
      <c r="B1275" s="2" t="inlineStr">
        <is>
          <t>O&amp;M in the test year</t>
        </is>
      </c>
      <c r="C1275" s="5" t="inlineStr">
        <is>
          <t>$ million</t>
        </is>
      </c>
      <c r="E1275" s="23">
        <f>INDEX($D$1297:D$1297,MATCH(MAX(E1271,pr_close),$D$1255:D$1255,0))</f>
        <v/>
      </c>
      <c r="F1275" s="23">
        <f>INDEX($D$1297:E$1297,MATCH(MAX(F1271,pr_close),$D$1255:E$1255,0))</f>
        <v/>
      </c>
      <c r="G1275" s="23">
        <f>INDEX($D$1297:F$1297,MATCH(MAX(G1271,pr_close),$D$1255:F$1255,0))</f>
        <v/>
      </c>
      <c r="H1275" s="23">
        <f>INDEX($D$1297:G$1297,MATCH(MAX(H1271,pr_close),$D$1255:G$1255,0))</f>
        <v/>
      </c>
      <c r="I1275" s="23">
        <f>INDEX($D$1297:H$1297,MATCH(MAX(I1271,pr_close),$D$1255:H$1255,0))</f>
        <v/>
      </c>
      <c r="J1275" s="23">
        <f>INDEX($D$1297:I$1297,MATCH(MAX(J1271,pr_close),$D$1255:I$1255,0))</f>
        <v/>
      </c>
      <c r="K1275" s="23">
        <f>INDEX($D$1297:J$1297,MATCH(MAX(K1271,pr_close),$D$1255:J$1255,0))</f>
        <v/>
      </c>
      <c r="L1275" s="23">
        <f>INDEX($D$1297:K$1297,MATCH(MAX(L1271,pr_close),$D$1255:K$1255,0))</f>
        <v/>
      </c>
      <c r="M1275" s="23">
        <f>INDEX($D$1297:L$1297,MATCH(MAX(M1271,pr_close),$D$1255:L$1255,0))</f>
        <v/>
      </c>
      <c r="N1275" s="23">
        <f>INDEX($D$1297:M$1297,MATCH(MAX(N1271,pr_close),$D$1255:M$1255,0))</f>
        <v/>
      </c>
    </row>
    <row r="1276">
      <c r="B1276" s="2" t="inlineStr">
        <is>
          <t>Authorized return on rate base</t>
        </is>
      </c>
      <c r="C1276" s="5" t="inlineStr">
        <is>
          <t>rate</t>
        </is>
      </c>
      <c r="E1276" s="27">
        <f>(pr_eq*Inputs!$C$259+(1-pr_eq)*E1274)</f>
        <v/>
      </c>
      <c r="F1276" s="27">
        <f>(pr_eq*Inputs!$C$259+(1-pr_eq)*F1274)</f>
        <v/>
      </c>
      <c r="G1276" s="27">
        <f>(pr_eq*Inputs!$C$259+(1-pr_eq)*G1274)</f>
        <v/>
      </c>
      <c r="H1276" s="27">
        <f>(pr_eq*Inputs!$C$259+(1-pr_eq)*H1274)</f>
        <v/>
      </c>
      <c r="I1276" s="27">
        <f>(pr_eq*Inputs!$C$259+(1-pr_eq)*I1274)</f>
        <v/>
      </c>
      <c r="J1276" s="27">
        <f>(pr_eq*Inputs!$C$259+(1-pr_eq)*J1274)</f>
        <v/>
      </c>
      <c r="K1276" s="27">
        <f>(pr_eq*Inputs!$C$259+(1-pr_eq)*K1274)</f>
        <v/>
      </c>
      <c r="L1276" s="27">
        <f>(pr_eq*Inputs!$C$259+(1-pr_eq)*L1274)</f>
        <v/>
      </c>
      <c r="M1276" s="27">
        <f>(pr_eq*Inputs!$C$259+(1-pr_eq)*M1274)</f>
        <v/>
      </c>
      <c r="N1276" s="27">
        <f>(pr_eq*Inputs!$C$259+(1-pr_eq)*N1274)</f>
        <v/>
      </c>
    </row>
    <row r="1277">
      <c r="B1277" s="2" t="inlineStr">
        <is>
          <t>Return</t>
        </is>
      </c>
      <c r="C1277" s="5" t="inlineStr">
        <is>
          <t>$ million</t>
        </is>
      </c>
      <c r="E1277" s="23">
        <f>E1276*E1273</f>
        <v/>
      </c>
      <c r="F1277" s="23">
        <f>F1276*F1273</f>
        <v/>
      </c>
      <c r="G1277" s="23">
        <f>G1276*G1273</f>
        <v/>
      </c>
      <c r="H1277" s="23">
        <f>H1276*H1273</f>
        <v/>
      </c>
      <c r="I1277" s="23">
        <f>I1276*I1273</f>
        <v/>
      </c>
      <c r="J1277" s="23">
        <f>J1276*J1273</f>
        <v/>
      </c>
      <c r="K1277" s="23">
        <f>K1276*K1273</f>
        <v/>
      </c>
      <c r="L1277" s="23">
        <f>L1276*L1273</f>
        <v/>
      </c>
      <c r="M1277" s="23">
        <f>M1276*M1273</f>
        <v/>
      </c>
      <c r="N1277" s="23">
        <f>N1276*N1273</f>
        <v/>
      </c>
    </row>
    <row r="1278">
      <c r="B1278" s="2" t="inlineStr">
        <is>
          <t>Income tax gross-up</t>
        </is>
      </c>
      <c r="C1278" s="5" t="inlineStr">
        <is>
          <t>$ million</t>
        </is>
      </c>
      <c r="E1278" s="23">
        <f>(pr_eq*Inputs!$C$259*pr_tax/(1-pr_tax))*E1273</f>
        <v/>
      </c>
      <c r="F1278" s="23">
        <f>(pr_eq*Inputs!$C$259*pr_tax/(1-pr_tax))*F1273</f>
        <v/>
      </c>
      <c r="G1278" s="23">
        <f>(pr_eq*Inputs!$C$259*pr_tax/(1-pr_tax))*G1273</f>
        <v/>
      </c>
      <c r="H1278" s="23">
        <f>(pr_eq*Inputs!$C$259*pr_tax/(1-pr_tax))*H1273</f>
        <v/>
      </c>
      <c r="I1278" s="23">
        <f>(pr_eq*Inputs!$C$259*pr_tax/(1-pr_tax))*I1273</f>
        <v/>
      </c>
      <c r="J1278" s="23">
        <f>(pr_eq*Inputs!$C$259*pr_tax/(1-pr_tax))*J1273</f>
        <v/>
      </c>
      <c r="K1278" s="23">
        <f>(pr_eq*Inputs!$C$259*pr_tax/(1-pr_tax))*K1273</f>
        <v/>
      </c>
      <c r="L1278" s="23">
        <f>(pr_eq*Inputs!$C$259*pr_tax/(1-pr_tax))*L1273</f>
        <v/>
      </c>
      <c r="M1278" s="23">
        <f>(pr_eq*Inputs!$C$259*pr_tax/(1-pr_tax))*M1273</f>
        <v/>
      </c>
      <c r="N1278" s="23">
        <f>(pr_eq*Inputs!$C$259*pr_tax/(1-pr_tax))*N1273</f>
        <v/>
      </c>
    </row>
    <row r="1279">
      <c r="B1279" s="2" t="inlineStr">
        <is>
          <t>Depreciation</t>
        </is>
      </c>
      <c r="C1279" s="5" t="inlineStr">
        <is>
          <t>$ million</t>
        </is>
      </c>
      <c r="E1279" s="23">
        <f>pr_dep*E1273</f>
        <v/>
      </c>
      <c r="F1279" s="23">
        <f>pr_dep*F1273</f>
        <v/>
      </c>
      <c r="G1279" s="23">
        <f>pr_dep*G1273</f>
        <v/>
      </c>
      <c r="H1279" s="23">
        <f>pr_dep*H1273</f>
        <v/>
      </c>
      <c r="I1279" s="23">
        <f>pr_dep*I1273</f>
        <v/>
      </c>
      <c r="J1279" s="23">
        <f>pr_dep*J1273</f>
        <v/>
      </c>
      <c r="K1279" s="23">
        <f>pr_dep*K1273</f>
        <v/>
      </c>
      <c r="L1279" s="23">
        <f>pr_dep*L1273</f>
        <v/>
      </c>
      <c r="M1279" s="23">
        <f>pr_dep*M1273</f>
        <v/>
      </c>
      <c r="N1279" s="23">
        <f>pr_dep*N1273</f>
        <v/>
      </c>
    </row>
    <row r="1280">
      <c r="B1280" s="2" t="inlineStr">
        <is>
          <t>Other taxes</t>
        </is>
      </c>
      <c r="C1280" s="5" t="inlineStr">
        <is>
          <t>$ million</t>
        </is>
      </c>
      <c r="E1280" s="23">
        <f>pr_ptax*E1273</f>
        <v/>
      </c>
      <c r="F1280" s="23">
        <f>pr_ptax*F1273</f>
        <v/>
      </c>
      <c r="G1280" s="23">
        <f>pr_ptax*G1273</f>
        <v/>
      </c>
      <c r="H1280" s="23">
        <f>pr_ptax*H1273</f>
        <v/>
      </c>
      <c r="I1280" s="23">
        <f>pr_ptax*I1273</f>
        <v/>
      </c>
      <c r="J1280" s="23">
        <f>pr_ptax*J1273</f>
        <v/>
      </c>
      <c r="K1280" s="23">
        <f>pr_ptax*K1273</f>
        <v/>
      </c>
      <c r="L1280" s="23">
        <f>pr_ptax*L1273</f>
        <v/>
      </c>
      <c r="M1280" s="23">
        <f>pr_ptax*M1273</f>
        <v/>
      </c>
      <c r="N1280" s="23">
        <f>pr_ptax*N1273</f>
        <v/>
      </c>
    </row>
    <row r="1281">
      <c r="B1281" s="2" t="inlineStr">
        <is>
          <t>O&amp;M (test year, known and measurable)</t>
        </is>
      </c>
      <c r="C1281" s="5" t="inlineStr">
        <is>
          <t>$ million</t>
        </is>
      </c>
      <c r="E1281" s="23">
        <f>E1275*(1+Inputs!$C$262)*(1+pr_growth)</f>
        <v/>
      </c>
      <c r="F1281" s="23">
        <f>F1275*(1+Inputs!$C$262)*(1+pr_growth)</f>
        <v/>
      </c>
      <c r="G1281" s="23">
        <f>G1275*(1+Inputs!$C$262)*(1+pr_growth)</f>
        <v/>
      </c>
      <c r="H1281" s="23">
        <f>H1275*(1+Inputs!$C$262)*(1+pr_growth)</f>
        <v/>
      </c>
      <c r="I1281" s="23">
        <f>I1275*(1+Inputs!$C$262)*(1+pr_growth)</f>
        <v/>
      </c>
      <c r="J1281" s="23">
        <f>J1275*(1+Inputs!$C$262)*(1+pr_growth)</f>
        <v/>
      </c>
      <c r="K1281" s="23">
        <f>K1275*(1+Inputs!$C$262)*(1+pr_growth)</f>
        <v/>
      </c>
      <c r="L1281" s="23">
        <f>L1275*(1+Inputs!$C$262)*(1+pr_growth)</f>
        <v/>
      </c>
      <c r="M1281" s="23">
        <f>M1275*(1+Inputs!$C$262)*(1+pr_growth)</f>
        <v/>
      </c>
      <c r="N1281" s="23">
        <f>N1275*(1+Inputs!$C$262)*(1+pr_growth)</f>
        <v/>
      </c>
    </row>
    <row r="1282">
      <c r="B1282" s="2" t="inlineStr">
        <is>
          <t>Revenue requirement (test-year connections)</t>
        </is>
      </c>
      <c r="C1282" s="5" t="inlineStr">
        <is>
          <t>$ million</t>
        </is>
      </c>
      <c r="E1282" s="23">
        <f>SUM(E1277:E1281)</f>
        <v/>
      </c>
      <c r="F1282" s="23">
        <f>SUM(F1277:F1281)</f>
        <v/>
      </c>
      <c r="G1282" s="23">
        <f>SUM(G1277:G1281)</f>
        <v/>
      </c>
      <c r="H1282" s="23">
        <f>SUM(H1277:H1281)</f>
        <v/>
      </c>
      <c r="I1282" s="23">
        <f>SUM(I1277:I1281)</f>
        <v/>
      </c>
      <c r="J1282" s="23">
        <f>SUM(J1277:J1281)</f>
        <v/>
      </c>
      <c r="K1282" s="23">
        <f>SUM(K1277:K1281)</f>
        <v/>
      </c>
      <c r="L1282" s="23">
        <f>SUM(L1277:L1281)</f>
        <v/>
      </c>
      <c r="M1282" s="23">
        <f>SUM(M1277:M1281)</f>
        <v/>
      </c>
      <c r="N1282" s="23">
        <f>SUM(N1277:N1281)</f>
        <v/>
      </c>
    </row>
    <row r="1283">
      <c r="B1283" s="2" t="inlineStr">
        <is>
          <t>Revenue requirement on effective-year connections</t>
        </is>
      </c>
      <c r="C1283" s="5" t="inlineStr">
        <is>
          <t>$ million</t>
        </is>
      </c>
      <c r="E1283" s="23">
        <f>E1282*(1+pr_growth)</f>
        <v/>
      </c>
      <c r="F1283" s="23">
        <f>F1282*(1+pr_growth)</f>
        <v/>
      </c>
      <c r="G1283" s="23">
        <f>G1282*(1+pr_growth)</f>
        <v/>
      </c>
      <c r="H1283" s="23">
        <f>H1282*(1+pr_growth)</f>
        <v/>
      </c>
      <c r="I1283" s="23">
        <f>I1282*(1+pr_growth)</f>
        <v/>
      </c>
      <c r="J1283" s="23">
        <f>J1282*(1+pr_growth)</f>
        <v/>
      </c>
      <c r="K1283" s="23">
        <f>K1282*(1+pr_growth)</f>
        <v/>
      </c>
      <c r="L1283" s="23">
        <f>L1282*(1+pr_growth)</f>
        <v/>
      </c>
      <c r="M1283" s="23">
        <f>M1282*(1+pr_growth)</f>
        <v/>
      </c>
      <c r="N1283" s="23">
        <f>N1282*(1+pr_growth)</f>
        <v/>
      </c>
    </row>
    <row r="1284">
      <c r="B1284" s="2" t="inlineStr">
        <is>
          <t>Revenue at existing rates</t>
        </is>
      </c>
      <c r="C1284" s="5" t="inlineStr">
        <is>
          <t>$ million</t>
        </is>
      </c>
      <c r="E1284" s="23">
        <f>IF(E1255=(pr_close+1),D1290,D1290*(1+pr_growth)*(1-pr_vol_share*IF(pr_decoupling=1,0,pr_usage))+D1291+D1293)</f>
        <v/>
      </c>
      <c r="F1284" s="23">
        <f>IF(F1255=(pr_close+1),E1290,E1290*(1+pr_growth)*(1-pr_vol_share*IF(pr_decoupling=1,0,pr_usage))+E1291+E1293)</f>
        <v/>
      </c>
      <c r="G1284" s="23">
        <f>IF(G1255=(pr_close+1),F1290,F1290*(1+pr_growth)*(1-pr_vol_share*IF(pr_decoupling=1,0,pr_usage))+F1291+F1293)</f>
        <v/>
      </c>
      <c r="H1284" s="23">
        <f>IF(H1255=(pr_close+1),G1290,G1290*(1+pr_growth)*(1-pr_vol_share*IF(pr_decoupling=1,0,pr_usage))+G1291+G1293)</f>
        <v/>
      </c>
      <c r="I1284" s="23">
        <f>IF(I1255=(pr_close+1),H1290,H1290*(1+pr_growth)*(1-pr_vol_share*IF(pr_decoupling=1,0,pr_usage))+H1291+H1293)</f>
        <v/>
      </c>
      <c r="J1284" s="23">
        <f>IF(J1255=(pr_close+1),I1290,I1290*(1+pr_growth)*(1-pr_vol_share*IF(pr_decoupling=1,0,pr_usage))+I1291+I1293)</f>
        <v/>
      </c>
      <c r="K1284" s="23">
        <f>IF(K1255=(pr_close+1),J1290,J1290*(1+pr_growth)*(1-pr_vol_share*IF(pr_decoupling=1,0,pr_usage))+J1291+J1293)</f>
        <v/>
      </c>
      <c r="L1284" s="23">
        <f>IF(L1255=(pr_close+1),K1290,K1290*(1+pr_growth)*(1-pr_vol_share*IF(pr_decoupling=1,0,pr_usage))+K1291+K1293)</f>
        <v/>
      </c>
      <c r="M1284" s="23">
        <f>IF(M1255=(pr_close+1),L1290,L1290*(1+pr_growth)*(1-pr_vol_share*IF(pr_decoupling=1,0,pr_usage))+L1291+L1293)</f>
        <v/>
      </c>
      <c r="N1284" s="23">
        <f>IF(N1255=(pr_close+1),M1290,M1290*(1+pr_growth)*(1-pr_vol_share*IF(pr_decoupling=1,0,pr_usage))+M1291+M1293)</f>
        <v/>
      </c>
    </row>
    <row r="1285">
      <c r="B1285" s="2" t="inlineStr">
        <is>
          <t>Increase granted</t>
        </is>
      </c>
      <c r="C1285" s="5" t="inlineStr">
        <is>
          <t>share</t>
        </is>
      </c>
      <c r="E1285" s="20">
        <f>E1283/E1284-1</f>
        <v/>
      </c>
      <c r="F1285" s="20">
        <f>F1283/F1284-1</f>
        <v/>
      </c>
      <c r="G1285" s="20">
        <f>G1283/G1284-1</f>
        <v/>
      </c>
      <c r="H1285" s="20">
        <f>H1283/H1284-1</f>
        <v/>
      </c>
      <c r="I1285" s="20">
        <f>I1283/I1284-1</f>
        <v/>
      </c>
      <c r="J1285" s="20">
        <f>J1283/J1284-1</f>
        <v/>
      </c>
      <c r="K1285" s="20">
        <f>K1283/K1284-1</f>
        <v/>
      </c>
      <c r="L1285" s="20">
        <f>L1283/L1284-1</f>
        <v/>
      </c>
      <c r="M1285" s="20">
        <f>M1283/M1284-1</f>
        <v/>
      </c>
      <c r="N1285" s="20">
        <f>N1283/N1284-1</f>
        <v/>
      </c>
    </row>
    <row r="1286">
      <c r="B1286" s="2" t="inlineStr">
        <is>
          <t>Revenue requirement requested (at the requested ROE)</t>
        </is>
      </c>
      <c r="C1286" s="5" t="inlineStr">
        <is>
          <t>$ million</t>
        </is>
      </c>
      <c r="E1286" s="23">
        <f>(pr_eq*pr_roe_ask+(1-pr_eq)*E1274)*E1273+pr_eq*pr_roe_ask*E1273*pr_tax/(1-pr_tax)+E1279+E1280+E1281</f>
        <v/>
      </c>
      <c r="F1286" s="23">
        <f>(pr_eq*pr_roe_ask+(1-pr_eq)*F1274)*F1273+pr_eq*pr_roe_ask*F1273*pr_tax/(1-pr_tax)+F1279+F1280+F1281</f>
        <v/>
      </c>
      <c r="G1286" s="23">
        <f>(pr_eq*pr_roe_ask+(1-pr_eq)*G1274)*G1273+pr_eq*pr_roe_ask*G1273*pr_tax/(1-pr_tax)+G1279+G1280+G1281</f>
        <v/>
      </c>
      <c r="H1286" s="23">
        <f>(pr_eq*pr_roe_ask+(1-pr_eq)*H1274)*H1273+pr_eq*pr_roe_ask*H1273*pr_tax/(1-pr_tax)+H1279+H1280+H1281</f>
        <v/>
      </c>
      <c r="I1286" s="23">
        <f>(pr_eq*pr_roe_ask+(1-pr_eq)*I1274)*I1273+pr_eq*pr_roe_ask*I1273*pr_tax/(1-pr_tax)+I1279+I1280+I1281</f>
        <v/>
      </c>
      <c r="J1286" s="23">
        <f>(pr_eq*pr_roe_ask+(1-pr_eq)*J1274)*J1273+pr_eq*pr_roe_ask*J1273*pr_tax/(1-pr_tax)+J1279+J1280+J1281</f>
        <v/>
      </c>
      <c r="K1286" s="23">
        <f>(pr_eq*pr_roe_ask+(1-pr_eq)*K1274)*K1273+pr_eq*pr_roe_ask*K1273*pr_tax/(1-pr_tax)+K1279+K1280+K1281</f>
        <v/>
      </c>
      <c r="L1286" s="23">
        <f>(pr_eq*pr_roe_ask+(1-pr_eq)*L1274)*L1273+pr_eq*pr_roe_ask*L1273*pr_tax/(1-pr_tax)+L1279+L1280+L1281</f>
        <v/>
      </c>
      <c r="M1286" s="23">
        <f>(pr_eq*pr_roe_ask+(1-pr_eq)*M1274)*M1273+pr_eq*pr_roe_ask*M1273*pr_tax/(1-pr_tax)+M1279+M1280+M1281</f>
        <v/>
      </c>
      <c r="N1286" s="23">
        <f>(pr_eq*pr_roe_ask+(1-pr_eq)*N1274)*N1273+pr_eq*pr_roe_ask*N1273*pr_tax/(1-pr_tax)+N1279+N1280+N1281</f>
        <v/>
      </c>
    </row>
    <row r="1287">
      <c r="B1287" s="2" t="inlineStr">
        <is>
          <t>Increase requested</t>
        </is>
      </c>
      <c r="C1287" s="5" t="inlineStr">
        <is>
          <t>share</t>
        </is>
      </c>
      <c r="E1287" s="20">
        <f>E1286*(1+pr_growth)/E1284-1</f>
        <v/>
      </c>
      <c r="F1287" s="20">
        <f>F1286*(1+pr_growth)/F1284-1</f>
        <v/>
      </c>
      <c r="G1287" s="20">
        <f>G1286*(1+pr_growth)/G1284-1</f>
        <v/>
      </c>
      <c r="H1287" s="20">
        <f>H1286*(1+pr_growth)/H1284-1</f>
        <v/>
      </c>
      <c r="I1287" s="20">
        <f>I1286*(1+pr_growth)/I1284-1</f>
        <v/>
      </c>
      <c r="J1287" s="20">
        <f>J1286*(1+pr_growth)/J1284-1</f>
        <v/>
      </c>
      <c r="K1287" s="20">
        <f>K1286*(1+pr_growth)/K1284-1</f>
        <v/>
      </c>
      <c r="L1287" s="20">
        <f>L1286*(1+pr_growth)/L1284-1</f>
        <v/>
      </c>
      <c r="M1287" s="20">
        <f>M1286*(1+pr_growth)/M1284-1</f>
        <v/>
      </c>
      <c r="N1287" s="20">
        <f>N1286*(1+pr_growth)/N1284-1</f>
        <v/>
      </c>
    </row>
    <row r="1289">
      <c r="B1289" s="6" t="inlineStr">
        <is>
          <t>Revenue ($ million)</t>
        </is>
      </c>
      <c r="C1289" s="7" t="n"/>
      <c r="D1289" s="7" t="n"/>
      <c r="E1289" s="7" t="n"/>
      <c r="F1289" s="7" t="n"/>
      <c r="G1289" s="7" t="n"/>
      <c r="H1289" s="7" t="n"/>
      <c r="I1289" s="7" t="n"/>
      <c r="J1289" s="7" t="n"/>
      <c r="K1289" s="7" t="n"/>
      <c r="L1289" s="7" t="n"/>
      <c r="M1289" s="7" t="n"/>
      <c r="N1289" s="7" t="n"/>
    </row>
    <row r="1290">
      <c r="B1290" s="2" t="inlineStr">
        <is>
          <t>Base revenue (rate case, or prior year x growth x volume erosion)</t>
        </is>
      </c>
      <c r="C1290" s="5" t="inlineStr">
        <is>
          <t>$ million</t>
        </is>
      </c>
      <c r="D1290" s="23">
        <f>pr_rev_2028/((1+pr_growth)*(1-pr_vol_share*IF(pr_decoupling=1,0,pr_usage)))</f>
        <v/>
      </c>
      <c r="E1290" s="23">
        <f>IF(E1270=1,E1283,D1290*(1+pr_growth)*(1-pr_vol_share*IF(pr_decoupling=1,0,pr_usage)))</f>
        <v/>
      </c>
      <c r="F1290" s="23">
        <f>IF(F1270=1,F1283,E1290*(1+pr_growth)*(1-pr_vol_share*IF(pr_decoupling=1,0,pr_usage)))</f>
        <v/>
      </c>
      <c r="G1290" s="23">
        <f>IF(G1270=1,G1283,F1290*(1+pr_growth)*(1-pr_vol_share*IF(pr_decoupling=1,0,pr_usage)))</f>
        <v/>
      </c>
      <c r="H1290" s="23">
        <f>IF(H1270=1,H1283,G1290*(1+pr_growth)*(1-pr_vol_share*IF(pr_decoupling=1,0,pr_usage)))</f>
        <v/>
      </c>
      <c r="I1290" s="23">
        <f>IF(I1270=1,I1283,H1290*(1+pr_growth)*(1-pr_vol_share*IF(pr_decoupling=1,0,pr_usage)))</f>
        <v/>
      </c>
      <c r="J1290" s="23">
        <f>IF(J1270=1,J1283,I1290*(1+pr_growth)*(1-pr_vol_share*IF(pr_decoupling=1,0,pr_usage)))</f>
        <v/>
      </c>
      <c r="K1290" s="23">
        <f>IF(K1270=1,K1283,J1290*(1+pr_growth)*(1-pr_vol_share*IF(pr_decoupling=1,0,pr_usage)))</f>
        <v/>
      </c>
      <c r="L1290" s="23">
        <f>IF(L1270=1,L1283,K1290*(1+pr_growth)*(1-pr_vol_share*IF(pr_decoupling=1,0,pr_usage)))</f>
        <v/>
      </c>
      <c r="M1290" s="23">
        <f>IF(M1270=1,M1283,L1290*(1+pr_growth)*(1-pr_vol_share*IF(pr_decoupling=1,0,pr_usage)))</f>
        <v/>
      </c>
      <c r="N1290" s="23">
        <f>IF(N1270=1,N1283,M1290*(1+pr_growth)*(1-pr_vol_share*IF(pr_decoupling=1,0,pr_usage)))</f>
        <v/>
      </c>
    </row>
    <row r="1291">
      <c r="B1291" s="2" t="inlineStr">
        <is>
          <t>Fennick revenue at its old rates (until the next rate case)</t>
        </is>
      </c>
      <c r="C1291" s="5" t="inlineStr">
        <is>
          <t>$ million</t>
        </is>
      </c>
      <c r="E1291" s="23">
        <f>IF(AND(pr_fen_on=1,E1255&gt;pr_fen_year,SUMIFS($D$1270:E$1270,$D$1255:E$1255,"&gt;"&amp;pr_fen_year)=0),pr_fen_rev,0)</f>
        <v/>
      </c>
      <c r="F1291" s="23">
        <f>IF(AND(pr_fen_on=1,F1255&gt;pr_fen_year,SUMIFS($D$1270:F$1270,$D$1255:F$1255,"&gt;"&amp;pr_fen_year)=0),pr_fen_rev,0)</f>
        <v/>
      </c>
      <c r="G1291" s="23">
        <f>IF(AND(pr_fen_on=1,G1255&gt;pr_fen_year,SUMIFS($D$1270:G$1270,$D$1255:G$1255,"&gt;"&amp;pr_fen_year)=0),pr_fen_rev,0)</f>
        <v/>
      </c>
      <c r="H1291" s="23">
        <f>IF(AND(pr_fen_on=1,H1255&gt;pr_fen_year,SUMIFS($D$1270:H$1270,$D$1255:H$1255,"&gt;"&amp;pr_fen_year)=0),pr_fen_rev,0)</f>
        <v/>
      </c>
      <c r="I1291" s="23">
        <f>IF(AND(pr_fen_on=1,I1255&gt;pr_fen_year,SUMIFS($D$1270:I$1270,$D$1255:I$1255,"&gt;"&amp;pr_fen_year)=0),pr_fen_rev,0)</f>
        <v/>
      </c>
      <c r="J1291" s="23">
        <f>IF(AND(pr_fen_on=1,J1255&gt;pr_fen_year,SUMIFS($D$1270:J$1270,$D$1255:J$1255,"&gt;"&amp;pr_fen_year)=0),pr_fen_rev,0)</f>
        <v/>
      </c>
      <c r="K1291" s="23">
        <f>IF(AND(pr_fen_on=1,K1255&gt;pr_fen_year,SUMIFS($D$1270:K$1270,$D$1255:K$1255,"&gt;"&amp;pr_fen_year)=0),pr_fen_rev,0)</f>
        <v/>
      </c>
      <c r="L1291" s="23">
        <f>IF(AND(pr_fen_on=1,L1255&gt;pr_fen_year,SUMIFS($D$1270:L$1270,$D$1255:L$1255,"&gt;"&amp;pr_fen_year)=0),pr_fen_rev,0)</f>
        <v/>
      </c>
      <c r="M1291" s="23">
        <f>IF(AND(pr_fen_on=1,M1255&gt;pr_fen_year,SUMIFS($D$1270:M$1270,$D$1255:M$1255,"&gt;"&amp;pr_fen_year)=0),pr_fen_rev,0)</f>
        <v/>
      </c>
      <c r="N1291" s="23">
        <f>IF(AND(pr_fen_on=1,N1255&gt;pr_fen_year,SUMIFS($D$1270:N$1270,$D$1255:N$1255,"&gt;"&amp;pr_fen_year)=0),pr_fen_rev,0)</f>
        <v/>
      </c>
    </row>
    <row r="1292">
      <c r="B1292" s="2" t="inlineStr">
        <is>
          <t>DSIC pool: eligible plant since the latest test year</t>
        </is>
      </c>
      <c r="C1292" s="5" t="inlineStr">
        <is>
          <t>$ million</t>
        </is>
      </c>
      <c r="E1292" s="23">
        <f>IF(E1255=(pr_close+1),0,SUMIFS($D$1267:D$1267,$D$1255:D$1255,"&gt;"&amp;E1272))</f>
        <v/>
      </c>
      <c r="F1292" s="23">
        <f>IF(F1255=(pr_close+1),0,SUMIFS($D$1267:E$1267,$D$1255:E$1255,"&gt;"&amp;F1272))</f>
        <v/>
      </c>
      <c r="G1292" s="23">
        <f>IF(G1255=(pr_close+1),0,SUMIFS($D$1267:F$1267,$D$1255:F$1255,"&gt;"&amp;G1272))</f>
        <v/>
      </c>
      <c r="H1292" s="23">
        <f>IF(H1255=(pr_close+1),0,SUMIFS($D$1267:G$1267,$D$1255:G$1255,"&gt;"&amp;H1272))</f>
        <v/>
      </c>
      <c r="I1292" s="23">
        <f>IF(I1255=(pr_close+1),0,SUMIFS($D$1267:H$1267,$D$1255:H$1255,"&gt;"&amp;I1272))</f>
        <v/>
      </c>
      <c r="J1292" s="23">
        <f>IF(J1255=(pr_close+1),0,SUMIFS($D$1267:I$1267,$D$1255:I$1255,"&gt;"&amp;J1272))</f>
        <v/>
      </c>
      <c r="K1292" s="23">
        <f>IF(K1255=(pr_close+1),0,SUMIFS($D$1267:J$1267,$D$1255:J$1255,"&gt;"&amp;K1272))</f>
        <v/>
      </c>
      <c r="L1292" s="23">
        <f>IF(L1255=(pr_close+1),0,SUMIFS($D$1267:K$1267,$D$1255:K$1255,"&gt;"&amp;L1272))</f>
        <v/>
      </c>
      <c r="M1292" s="23">
        <f>IF(M1255=(pr_close+1),0,SUMIFS($D$1267:L$1267,$D$1255:L$1255,"&gt;"&amp;M1272))</f>
        <v/>
      </c>
      <c r="N1292" s="23">
        <f>IF(N1255=(pr_close+1),0,SUMIFS($D$1267:M$1267,$D$1255:M$1255,"&gt;"&amp;N1272))</f>
        <v/>
      </c>
    </row>
    <row r="1293">
      <c r="B1293" s="2" t="inlineStr">
        <is>
          <t>DSIC surcharge (capped)</t>
        </is>
      </c>
      <c r="C1293" s="5" t="inlineStr">
        <is>
          <t>$ million</t>
        </is>
      </c>
      <c r="E1293" s="23">
        <f>IF(AND(pr_dsic=1,E1255&gt;(pr_close+1)),MIN(pr_dsic_cap*E1290,E1292*((pr_eq*Inputs!$C$259+(1-pr_eq)*D1316)+(pr_eq*Inputs!$C$259*pr_tax/(1-pr_tax))+pr_dep)),0)</f>
        <v/>
      </c>
      <c r="F1293" s="23">
        <f>IF(AND(pr_dsic=1,F1255&gt;(pr_close+1)),MIN(pr_dsic_cap*F1290,F1292*((pr_eq*Inputs!$C$259+(1-pr_eq)*E1316)+(pr_eq*Inputs!$C$259*pr_tax/(1-pr_tax))+pr_dep)),0)</f>
        <v/>
      </c>
      <c r="G1293" s="23">
        <f>IF(AND(pr_dsic=1,G1255&gt;(pr_close+1)),MIN(pr_dsic_cap*G1290,G1292*((pr_eq*Inputs!$C$259+(1-pr_eq)*F1316)+(pr_eq*Inputs!$C$259*pr_tax/(1-pr_tax))+pr_dep)),0)</f>
        <v/>
      </c>
      <c r="H1293" s="23">
        <f>IF(AND(pr_dsic=1,H1255&gt;(pr_close+1)),MIN(pr_dsic_cap*H1290,H1292*((pr_eq*Inputs!$C$259+(1-pr_eq)*G1316)+(pr_eq*Inputs!$C$259*pr_tax/(1-pr_tax))+pr_dep)),0)</f>
        <v/>
      </c>
      <c r="I1293" s="23">
        <f>IF(AND(pr_dsic=1,I1255&gt;(pr_close+1)),MIN(pr_dsic_cap*I1290,I1292*((pr_eq*Inputs!$C$259+(1-pr_eq)*H1316)+(pr_eq*Inputs!$C$259*pr_tax/(1-pr_tax))+pr_dep)),0)</f>
        <v/>
      </c>
      <c r="J1293" s="23">
        <f>IF(AND(pr_dsic=1,J1255&gt;(pr_close+1)),MIN(pr_dsic_cap*J1290,J1292*((pr_eq*Inputs!$C$259+(1-pr_eq)*I1316)+(pr_eq*Inputs!$C$259*pr_tax/(1-pr_tax))+pr_dep)),0)</f>
        <v/>
      </c>
      <c r="K1293" s="23">
        <f>IF(AND(pr_dsic=1,K1255&gt;(pr_close+1)),MIN(pr_dsic_cap*K1290,K1292*((pr_eq*Inputs!$C$259+(1-pr_eq)*J1316)+(pr_eq*Inputs!$C$259*pr_tax/(1-pr_tax))+pr_dep)),0)</f>
        <v/>
      </c>
      <c r="L1293" s="23">
        <f>IF(AND(pr_dsic=1,L1255&gt;(pr_close+1)),MIN(pr_dsic_cap*L1290,L1292*((pr_eq*Inputs!$C$259+(1-pr_eq)*K1316)+(pr_eq*Inputs!$C$259*pr_tax/(1-pr_tax))+pr_dep)),0)</f>
        <v/>
      </c>
      <c r="M1293" s="23">
        <f>IF(AND(pr_dsic=1,M1255&gt;(pr_close+1)),MIN(pr_dsic_cap*M1290,M1292*((pr_eq*Inputs!$C$259+(1-pr_eq)*L1316)+(pr_eq*Inputs!$C$259*pr_tax/(1-pr_tax))+pr_dep)),0)</f>
        <v/>
      </c>
      <c r="N1293" s="23">
        <f>IF(AND(pr_dsic=1,N1255&gt;(pr_close+1)),MIN(pr_dsic_cap*N1290,N1292*((pr_eq*Inputs!$C$259+(1-pr_eq)*M1316)+(pr_eq*Inputs!$C$259*pr_tax/(1-pr_tax))+pr_dep)),0)</f>
        <v/>
      </c>
    </row>
    <row r="1294">
      <c r="B1294" s="3" t="inlineStr">
        <is>
          <t>Revenue</t>
        </is>
      </c>
      <c r="C1294" s="5" t="inlineStr">
        <is>
          <t>$ million</t>
        </is>
      </c>
      <c r="E1294" s="23">
        <f>E1290+E1291+E1293</f>
        <v/>
      </c>
      <c r="F1294" s="23">
        <f>F1290+F1291+F1293</f>
        <v/>
      </c>
      <c r="G1294" s="23">
        <f>G1290+G1291+G1293</f>
        <v/>
      </c>
      <c r="H1294" s="23">
        <f>H1290+H1291+H1293</f>
        <v/>
      </c>
      <c r="I1294" s="23">
        <f>I1290+I1291+I1293</f>
        <v/>
      </c>
      <c r="J1294" s="23">
        <f>J1290+J1291+J1293</f>
        <v/>
      </c>
      <c r="K1294" s="23">
        <f>K1290+K1291+K1293</f>
        <v/>
      </c>
      <c r="L1294" s="23">
        <f>L1290+L1291+L1293</f>
        <v/>
      </c>
      <c r="M1294" s="23">
        <f>M1290+M1291+M1293</f>
        <v/>
      </c>
      <c r="N1294" s="23">
        <f>N1290+N1291+N1293</f>
        <v/>
      </c>
    </row>
    <row r="1296">
      <c r="B1296" s="6" t="inlineStr">
        <is>
          <t>Costs and income ($ million)</t>
        </is>
      </c>
      <c r="C1296" s="7" t="n"/>
      <c r="D1296" s="7" t="n"/>
      <c r="E1296" s="7" t="n"/>
      <c r="F1296" s="7" t="n"/>
      <c r="G1296" s="7" t="n"/>
      <c r="H1296" s="7" t="n"/>
      <c r="I1296" s="7" t="n"/>
      <c r="J1296" s="7" t="n"/>
      <c r="K1296" s="7" t="n"/>
      <c r="L1296" s="7" t="n"/>
      <c r="M1296" s="7" t="n"/>
      <c r="N1296" s="7" t="n"/>
    </row>
    <row r="1297">
      <c r="B1297" s="2" t="inlineStr">
        <is>
          <t>Operation and maintenance (with PFAS and Fennick)</t>
        </is>
      </c>
      <c r="C1297" s="5" t="inlineStr">
        <is>
          <t>$ million</t>
        </is>
      </c>
      <c r="D1297" s="23">
        <f>pr_om_2028/((1+Inputs!$C$262)*(1+pr_growth))</f>
        <v/>
      </c>
      <c r="E1297" s="23">
        <f>pr_om_2028*((1+Inputs!$C$262)*(1+pr_growth))^E1256+IF(E1255&gt;=pr_pfas_om_y+pr_pfas_delay,Inputs!$C$263*(1+pr_pfas_om_esc)^(E1255-pr_pfas_om_y),0)+IF(AND(pr_fen_on=1,E1255&gt;pr_fen_year),pr_fen_om*(1+pr_fen_esc)^(E1255-pr_fen_year-1),0)</f>
        <v/>
      </c>
      <c r="F1297" s="23">
        <f>pr_om_2028*((1+Inputs!$C$262)*(1+pr_growth))^F1256+IF(F1255&gt;=pr_pfas_om_y+pr_pfas_delay,Inputs!$C$263*(1+pr_pfas_om_esc)^(F1255-pr_pfas_om_y),0)+IF(AND(pr_fen_on=1,F1255&gt;pr_fen_year),pr_fen_om*(1+pr_fen_esc)^(F1255-pr_fen_year-1),0)</f>
        <v/>
      </c>
      <c r="G1297" s="23">
        <f>pr_om_2028*((1+Inputs!$C$262)*(1+pr_growth))^G1256+IF(G1255&gt;=pr_pfas_om_y+pr_pfas_delay,Inputs!$C$263*(1+pr_pfas_om_esc)^(G1255-pr_pfas_om_y),0)+IF(AND(pr_fen_on=1,G1255&gt;pr_fen_year),pr_fen_om*(1+pr_fen_esc)^(G1255-pr_fen_year-1),0)</f>
        <v/>
      </c>
      <c r="H1297" s="23">
        <f>pr_om_2028*((1+Inputs!$C$262)*(1+pr_growth))^H1256+IF(H1255&gt;=pr_pfas_om_y+pr_pfas_delay,Inputs!$C$263*(1+pr_pfas_om_esc)^(H1255-pr_pfas_om_y),0)+IF(AND(pr_fen_on=1,H1255&gt;pr_fen_year),pr_fen_om*(1+pr_fen_esc)^(H1255-pr_fen_year-1),0)</f>
        <v/>
      </c>
      <c r="I1297" s="23">
        <f>pr_om_2028*((1+Inputs!$C$262)*(1+pr_growth))^I1256+IF(I1255&gt;=pr_pfas_om_y+pr_pfas_delay,Inputs!$C$263*(1+pr_pfas_om_esc)^(I1255-pr_pfas_om_y),0)+IF(AND(pr_fen_on=1,I1255&gt;pr_fen_year),pr_fen_om*(1+pr_fen_esc)^(I1255-pr_fen_year-1),0)</f>
        <v/>
      </c>
      <c r="J1297" s="23">
        <f>pr_om_2028*((1+Inputs!$C$262)*(1+pr_growth))^J1256+IF(J1255&gt;=pr_pfas_om_y+pr_pfas_delay,Inputs!$C$263*(1+pr_pfas_om_esc)^(J1255-pr_pfas_om_y),0)+IF(AND(pr_fen_on=1,J1255&gt;pr_fen_year),pr_fen_om*(1+pr_fen_esc)^(J1255-pr_fen_year-1),0)</f>
        <v/>
      </c>
      <c r="K1297" s="23">
        <f>pr_om_2028*((1+Inputs!$C$262)*(1+pr_growth))^K1256+IF(K1255&gt;=pr_pfas_om_y+pr_pfas_delay,Inputs!$C$263*(1+pr_pfas_om_esc)^(K1255-pr_pfas_om_y),0)+IF(AND(pr_fen_on=1,K1255&gt;pr_fen_year),pr_fen_om*(1+pr_fen_esc)^(K1255-pr_fen_year-1),0)</f>
        <v/>
      </c>
      <c r="L1297" s="23">
        <f>pr_om_2028*((1+Inputs!$C$262)*(1+pr_growth))^L1256+IF(L1255&gt;=pr_pfas_om_y+pr_pfas_delay,Inputs!$C$263*(1+pr_pfas_om_esc)^(L1255-pr_pfas_om_y),0)+IF(AND(pr_fen_on=1,L1255&gt;pr_fen_year),pr_fen_om*(1+pr_fen_esc)^(L1255-pr_fen_year-1),0)</f>
        <v/>
      </c>
      <c r="M1297" s="23">
        <f>pr_om_2028*((1+Inputs!$C$262)*(1+pr_growth))^M1256+IF(M1255&gt;=pr_pfas_om_y+pr_pfas_delay,Inputs!$C$263*(1+pr_pfas_om_esc)^(M1255-pr_pfas_om_y),0)+IF(AND(pr_fen_on=1,M1255&gt;pr_fen_year),pr_fen_om*(1+pr_fen_esc)^(M1255-pr_fen_year-1),0)</f>
        <v/>
      </c>
      <c r="N1297" s="23">
        <f>pr_om_2028*((1+Inputs!$C$262)*(1+pr_growth))^N1256+IF(N1255&gt;=pr_pfas_om_y+pr_pfas_delay,Inputs!$C$263*(1+pr_pfas_om_esc)^(N1255-pr_pfas_om_y),0)+IF(AND(pr_fen_on=1,N1255&gt;pr_fen_year),pr_fen_om*(1+pr_fen_esc)^(N1255-pr_fen_year-1),0)</f>
        <v/>
      </c>
    </row>
    <row r="1298">
      <c r="B1298" s="2" t="inlineStr">
        <is>
          <t>Customer-side lead cost expensed</t>
        </is>
      </c>
      <c r="C1298" s="5" t="inlineStr">
        <is>
          <t>$ million</t>
        </is>
      </c>
      <c r="E1298" s="23">
        <f>pr_lead_exp*E1264*pr_lead_cust</f>
        <v/>
      </c>
      <c r="F1298" s="23">
        <f>pr_lead_exp*F1264*pr_lead_cust</f>
        <v/>
      </c>
      <c r="G1298" s="23">
        <f>pr_lead_exp*G1264*pr_lead_cust</f>
        <v/>
      </c>
      <c r="H1298" s="23">
        <f>pr_lead_exp*H1264*pr_lead_cust</f>
        <v/>
      </c>
      <c r="I1298" s="23">
        <f>pr_lead_exp*I1264*pr_lead_cust</f>
        <v/>
      </c>
      <c r="J1298" s="23">
        <f>pr_lead_exp*J1264*pr_lead_cust</f>
        <v/>
      </c>
      <c r="K1298" s="23">
        <f>pr_lead_exp*K1264*pr_lead_cust</f>
        <v/>
      </c>
      <c r="L1298" s="23">
        <f>pr_lead_exp*L1264*pr_lead_cust</f>
        <v/>
      </c>
      <c r="M1298" s="23">
        <f>pr_lead_exp*M1264*pr_lead_cust</f>
        <v/>
      </c>
      <c r="N1298" s="23">
        <f>pr_lead_exp*N1264*pr_lead_cust</f>
        <v/>
      </c>
    </row>
    <row r="1299">
      <c r="B1299" s="2" t="inlineStr">
        <is>
          <t>Other taxes</t>
        </is>
      </c>
      <c r="C1299" s="5" t="inlineStr">
        <is>
          <t>$ million</t>
        </is>
      </c>
      <c r="E1299" s="23">
        <f>pr_ptax*E1308</f>
        <v/>
      </c>
      <c r="F1299" s="23">
        <f>pr_ptax*F1308</f>
        <v/>
      </c>
      <c r="G1299" s="23">
        <f>pr_ptax*G1308</f>
        <v/>
      </c>
      <c r="H1299" s="23">
        <f>pr_ptax*H1308</f>
        <v/>
      </c>
      <c r="I1299" s="23">
        <f>pr_ptax*I1308</f>
        <v/>
      </c>
      <c r="J1299" s="23">
        <f>pr_ptax*J1308</f>
        <v/>
      </c>
      <c r="K1299" s="23">
        <f>pr_ptax*K1308</f>
        <v/>
      </c>
      <c r="L1299" s="23">
        <f>pr_ptax*L1308</f>
        <v/>
      </c>
      <c r="M1299" s="23">
        <f>pr_ptax*M1308</f>
        <v/>
      </c>
      <c r="N1299" s="23">
        <f>pr_ptax*N1308</f>
        <v/>
      </c>
    </row>
    <row r="1300">
      <c r="B1300" s="2" t="inlineStr">
        <is>
          <t>EBITDA</t>
        </is>
      </c>
      <c r="C1300" s="5" t="inlineStr">
        <is>
          <t>$ million</t>
        </is>
      </c>
      <c r="E1300" s="23">
        <f>E1294-E1297-E1299-E1298</f>
        <v/>
      </c>
      <c r="F1300" s="23">
        <f>F1294-F1297-F1299-F1298</f>
        <v/>
      </c>
      <c r="G1300" s="23">
        <f>G1294-G1297-G1299-G1298</f>
        <v/>
      </c>
      <c r="H1300" s="23">
        <f>H1294-H1297-H1299-H1298</f>
        <v/>
      </c>
      <c r="I1300" s="23">
        <f>I1294-I1297-I1299-I1298</f>
        <v/>
      </c>
      <c r="J1300" s="23">
        <f>J1294-J1297-J1299-J1298</f>
        <v/>
      </c>
      <c r="K1300" s="23">
        <f>K1294-K1297-K1299-K1298</f>
        <v/>
      </c>
      <c r="L1300" s="23">
        <f>L1294-L1297-L1299-L1298</f>
        <v/>
      </c>
      <c r="M1300" s="23">
        <f>M1294-M1297-M1299-M1298</f>
        <v/>
      </c>
      <c r="N1300" s="23">
        <f>N1294-N1297-N1299-N1298</f>
        <v/>
      </c>
    </row>
    <row r="1301">
      <c r="B1301" s="2" t="inlineStr">
        <is>
          <t>Depreciation</t>
        </is>
      </c>
      <c r="C1301" s="5" t="inlineStr">
        <is>
          <t>$ million</t>
        </is>
      </c>
      <c r="E1301" s="23">
        <f>pr_dep*E1308</f>
        <v/>
      </c>
      <c r="F1301" s="23">
        <f>pr_dep*F1308</f>
        <v/>
      </c>
      <c r="G1301" s="23">
        <f>pr_dep*G1308</f>
        <v/>
      </c>
      <c r="H1301" s="23">
        <f>pr_dep*H1308</f>
        <v/>
      </c>
      <c r="I1301" s="23">
        <f>pr_dep*I1308</f>
        <v/>
      </c>
      <c r="J1301" s="23">
        <f>pr_dep*J1308</f>
        <v/>
      </c>
      <c r="K1301" s="23">
        <f>pr_dep*K1308</f>
        <v/>
      </c>
      <c r="L1301" s="23">
        <f>pr_dep*L1308</f>
        <v/>
      </c>
      <c r="M1301" s="23">
        <f>pr_dep*M1308</f>
        <v/>
      </c>
      <c r="N1301" s="23">
        <f>pr_dep*N1308</f>
        <v/>
      </c>
    </row>
    <row r="1302">
      <c r="B1302" s="2" t="inlineStr">
        <is>
          <t>Interest (average of opening and closing debt)</t>
        </is>
      </c>
      <c r="C1302" s="5" t="inlineStr">
        <is>
          <t>$ million</t>
        </is>
      </c>
      <c r="E1302" s="23">
        <f>0.5*(D1314*D1316+E1314*E1316)</f>
        <v/>
      </c>
      <c r="F1302" s="23">
        <f>0.5*(E1314*E1316+F1314*F1316)</f>
        <v/>
      </c>
      <c r="G1302" s="23">
        <f>0.5*(F1314*F1316+G1314*G1316)</f>
        <v/>
      </c>
      <c r="H1302" s="23">
        <f>0.5*(G1314*G1316+H1314*H1316)</f>
        <v/>
      </c>
      <c r="I1302" s="23">
        <f>0.5*(H1314*H1316+I1314*I1316)</f>
        <v/>
      </c>
      <c r="J1302" s="23">
        <f>0.5*(I1314*I1316+J1314*J1316)</f>
        <v/>
      </c>
      <c r="K1302" s="23">
        <f>0.5*(J1314*J1316+K1314*K1316)</f>
        <v/>
      </c>
      <c r="L1302" s="23">
        <f>0.5*(K1314*K1316+L1314*L1316)</f>
        <v/>
      </c>
      <c r="M1302" s="23">
        <f>0.5*(L1314*L1316+M1314*M1316)</f>
        <v/>
      </c>
      <c r="N1302" s="23">
        <f>0.5*(M1314*M1316+N1314*N1316)</f>
        <v/>
      </c>
    </row>
    <row r="1303">
      <c r="B1303" s="2" t="inlineStr">
        <is>
          <t>Income before tax</t>
        </is>
      </c>
      <c r="C1303" s="5" t="inlineStr">
        <is>
          <t>$ million</t>
        </is>
      </c>
      <c r="E1303" s="23">
        <f>E1300-E1301-E1302</f>
        <v/>
      </c>
      <c r="F1303" s="23">
        <f>F1300-F1301-F1302</f>
        <v/>
      </c>
      <c r="G1303" s="23">
        <f>G1300-G1301-G1302</f>
        <v/>
      </c>
      <c r="H1303" s="23">
        <f>H1300-H1301-H1302</f>
        <v/>
      </c>
      <c r="I1303" s="23">
        <f>I1300-I1301-I1302</f>
        <v/>
      </c>
      <c r="J1303" s="23">
        <f>J1300-J1301-J1302</f>
        <v/>
      </c>
      <c r="K1303" s="23">
        <f>K1300-K1301-K1302</f>
        <v/>
      </c>
      <c r="L1303" s="23">
        <f>L1300-L1301-L1302</f>
        <v/>
      </c>
      <c r="M1303" s="23">
        <f>M1300-M1301-M1302</f>
        <v/>
      </c>
      <c r="N1303" s="23">
        <f>N1300-N1301-N1302</f>
        <v/>
      </c>
    </row>
    <row r="1304">
      <c r="B1304" s="2" t="inlineStr">
        <is>
          <t>Income tax</t>
        </is>
      </c>
      <c r="C1304" s="5" t="inlineStr">
        <is>
          <t>$ million</t>
        </is>
      </c>
      <c r="E1304" s="23">
        <f>pr_tax*E1303</f>
        <v/>
      </c>
      <c r="F1304" s="23">
        <f>pr_tax*F1303</f>
        <v/>
      </c>
      <c r="G1304" s="23">
        <f>pr_tax*G1303</f>
        <v/>
      </c>
      <c r="H1304" s="23">
        <f>pr_tax*H1303</f>
        <v/>
      </c>
      <c r="I1304" s="23">
        <f>pr_tax*I1303</f>
        <v/>
      </c>
      <c r="J1304" s="23">
        <f>pr_tax*J1303</f>
        <v/>
      </c>
      <c r="K1304" s="23">
        <f>pr_tax*K1303</f>
        <v/>
      </c>
      <c r="L1304" s="23">
        <f>pr_tax*L1303</f>
        <v/>
      </c>
      <c r="M1304" s="23">
        <f>pr_tax*M1303</f>
        <v/>
      </c>
      <c r="N1304" s="23">
        <f>pr_tax*N1303</f>
        <v/>
      </c>
    </row>
    <row r="1305">
      <c r="B1305" s="3" t="inlineStr">
        <is>
          <t>Net income</t>
        </is>
      </c>
      <c r="C1305" s="5" t="inlineStr">
        <is>
          <t>$ million</t>
        </is>
      </c>
      <c r="E1305" s="23">
        <f>E1303-E1304</f>
        <v/>
      </c>
      <c r="F1305" s="23">
        <f>F1303-F1304</f>
        <v/>
      </c>
      <c r="G1305" s="23">
        <f>G1303-G1304</f>
        <v/>
      </c>
      <c r="H1305" s="23">
        <f>H1303-H1304</f>
        <v/>
      </c>
      <c r="I1305" s="23">
        <f>I1303-I1304</f>
        <v/>
      </c>
      <c r="J1305" s="23">
        <f>J1303-J1304</f>
        <v/>
      </c>
      <c r="K1305" s="23">
        <f>K1303-K1304</f>
        <v/>
      </c>
      <c r="L1305" s="23">
        <f>L1303-L1304</f>
        <v/>
      </c>
      <c r="M1305" s="23">
        <f>M1303-M1304</f>
        <v/>
      </c>
      <c r="N1305" s="23">
        <f>N1303-N1304</f>
        <v/>
      </c>
    </row>
    <row r="1307">
      <c r="B1307" s="6" t="inlineStr">
        <is>
          <t>Rate base and debt ($ million)</t>
        </is>
      </c>
      <c r="C1307" s="7" t="n"/>
      <c r="D1307" s="7" t="n"/>
      <c r="E1307" s="7" t="n"/>
      <c r="F1307" s="7" t="n"/>
      <c r="G1307" s="7" t="n"/>
      <c r="H1307" s="7" t="n"/>
      <c r="I1307" s="7" t="n"/>
      <c r="J1307" s="7" t="n"/>
      <c r="K1307" s="7" t="n"/>
      <c r="L1307" s="7" t="n"/>
      <c r="M1307" s="7" t="n"/>
      <c r="N1307" s="7" t="n"/>
    </row>
    <row r="1308">
      <c r="B1308" s="2" t="inlineStr">
        <is>
          <t>Opening rate base</t>
        </is>
      </c>
      <c r="C1308" s="5" t="inlineStr">
        <is>
          <t>$ million</t>
        </is>
      </c>
      <c r="E1308" s="23">
        <f>D1312</f>
        <v/>
      </c>
      <c r="F1308" s="23">
        <f>E1312</f>
        <v/>
      </c>
      <c r="G1308" s="23">
        <f>F1312</f>
        <v/>
      </c>
      <c r="H1308" s="23">
        <f>G1312</f>
        <v/>
      </c>
      <c r="I1308" s="23">
        <f>H1312</f>
        <v/>
      </c>
      <c r="J1308" s="23">
        <f>I1312</f>
        <v/>
      </c>
      <c r="K1308" s="23">
        <f>J1312</f>
        <v/>
      </c>
      <c r="L1308" s="23">
        <f>K1312</f>
        <v/>
      </c>
      <c r="M1308" s="23">
        <f>L1312</f>
        <v/>
      </c>
      <c r="N1308" s="23">
        <f>M1312</f>
        <v/>
      </c>
    </row>
    <row r="1309">
      <c r="B1309" s="2" t="inlineStr">
        <is>
          <t>Spending disallowed (never in rate base)</t>
        </is>
      </c>
      <c r="C1309" s="5" t="inlineStr">
        <is>
          <t>$ million</t>
        </is>
      </c>
      <c r="E1309" s="23">
        <f>pr_disallow*(E1263+E1264-E1298)</f>
        <v/>
      </c>
      <c r="F1309" s="23">
        <f>pr_disallow*(F1263+F1264-F1298)</f>
        <v/>
      </c>
      <c r="G1309" s="23">
        <f>pr_disallow*(G1263+G1264-G1298)</f>
        <v/>
      </c>
      <c r="H1309" s="23">
        <f>pr_disallow*(H1263+H1264-H1298)</f>
        <v/>
      </c>
      <c r="I1309" s="23">
        <f>pr_disallow*(I1263+I1264-I1298)</f>
        <v/>
      </c>
      <c r="J1309" s="23">
        <f>pr_disallow*(J1263+J1264-J1298)</f>
        <v/>
      </c>
      <c r="K1309" s="23">
        <f>pr_disallow*(K1263+K1264-K1298)</f>
        <v/>
      </c>
      <c r="L1309" s="23">
        <f>pr_disallow*(L1263+L1264-L1298)</f>
        <v/>
      </c>
      <c r="M1309" s="23">
        <f>pr_disallow*(M1263+M1264-M1298)</f>
        <v/>
      </c>
      <c r="N1309" s="23">
        <f>pr_disallow*(N1263+N1264-N1298)</f>
        <v/>
      </c>
    </row>
    <row r="1310">
      <c r="B1310" s="2" t="inlineStr">
        <is>
          <t>Acquisitions (Fennick at its price)</t>
        </is>
      </c>
      <c r="C1310" s="5" t="inlineStr">
        <is>
          <t>$ million</t>
        </is>
      </c>
      <c r="E1310" s="23">
        <f>IF(AND(pr_fen_on=1,E1255=pr_fen_year),pr_fen_price,0)</f>
        <v/>
      </c>
      <c r="F1310" s="23">
        <f>IF(AND(pr_fen_on=1,F1255=pr_fen_year),pr_fen_price,0)</f>
        <v/>
      </c>
      <c r="G1310" s="23">
        <f>IF(AND(pr_fen_on=1,G1255=pr_fen_year),pr_fen_price,0)</f>
        <v/>
      </c>
      <c r="H1310" s="23">
        <f>IF(AND(pr_fen_on=1,H1255=pr_fen_year),pr_fen_price,0)</f>
        <v/>
      </c>
      <c r="I1310" s="23">
        <f>IF(AND(pr_fen_on=1,I1255=pr_fen_year),pr_fen_price,0)</f>
        <v/>
      </c>
      <c r="J1310" s="23">
        <f>IF(AND(pr_fen_on=1,J1255=pr_fen_year),pr_fen_price,0)</f>
        <v/>
      </c>
      <c r="K1310" s="23">
        <f>IF(AND(pr_fen_on=1,K1255=pr_fen_year),pr_fen_price,0)</f>
        <v/>
      </c>
      <c r="L1310" s="23">
        <f>IF(AND(pr_fen_on=1,L1255=pr_fen_year),pr_fen_price,0)</f>
        <v/>
      </c>
      <c r="M1310" s="23">
        <f>IF(AND(pr_fen_on=1,M1255=pr_fen_year),pr_fen_price,0)</f>
        <v/>
      </c>
      <c r="N1310" s="23">
        <f>IF(AND(pr_fen_on=1,N1255=pr_fen_year),pr_fen_price,0)</f>
        <v/>
      </c>
    </row>
    <row r="1311">
      <c r="B1311" s="2" t="inlineStr">
        <is>
          <t>Settlement credited against rate base</t>
        </is>
      </c>
      <c r="C1311" s="5" t="inlineStr">
        <is>
          <t>$ million</t>
        </is>
      </c>
      <c r="E1311" s="23">
        <f>IF(E1255=pr_settle_y,pr_settle,0)</f>
        <v/>
      </c>
      <c r="F1311" s="23">
        <f>IF(F1255=pr_settle_y,pr_settle,0)</f>
        <v/>
      </c>
      <c r="G1311" s="23">
        <f>IF(G1255=pr_settle_y,pr_settle,0)</f>
        <v/>
      </c>
      <c r="H1311" s="23">
        <f>IF(H1255=pr_settle_y,pr_settle,0)</f>
        <v/>
      </c>
      <c r="I1311" s="23">
        <f>IF(I1255=pr_settle_y,pr_settle,0)</f>
        <v/>
      </c>
      <c r="J1311" s="23">
        <f>IF(J1255=pr_settle_y,pr_settle,0)</f>
        <v/>
      </c>
      <c r="K1311" s="23">
        <f>IF(K1255=pr_settle_y,pr_settle,0)</f>
        <v/>
      </c>
      <c r="L1311" s="23">
        <f>IF(L1255=pr_settle_y,pr_settle,0)</f>
        <v/>
      </c>
      <c r="M1311" s="23">
        <f>IF(M1255=pr_settle_y,pr_settle,0)</f>
        <v/>
      </c>
      <c r="N1311" s="23">
        <f>IF(N1255=pr_settle_y,pr_settle,0)</f>
        <v/>
      </c>
    </row>
    <row r="1312">
      <c r="B1312" s="3" t="inlineStr">
        <is>
          <t>Closing rate base</t>
        </is>
      </c>
      <c r="C1312" s="5" t="inlineStr">
        <is>
          <t>$ million</t>
        </is>
      </c>
      <c r="D1312" s="23">
        <f>pr_rb0</f>
        <v/>
      </c>
      <c r="E1312" s="23">
        <f>E1308+E1266-E1298-E1309+E1310-E1301-E1311</f>
        <v/>
      </c>
      <c r="F1312" s="23">
        <f>F1308+F1266-F1298-F1309+F1310-F1301-F1311</f>
        <v/>
      </c>
      <c r="G1312" s="23">
        <f>G1308+G1266-G1298-G1309+G1310-G1301-G1311</f>
        <v/>
      </c>
      <c r="H1312" s="23">
        <f>H1308+H1266-H1298-H1309+H1310-H1301-H1311</f>
        <v/>
      </c>
      <c r="I1312" s="23">
        <f>I1308+I1266-I1298-I1309+I1310-I1301-I1311</f>
        <v/>
      </c>
      <c r="J1312" s="23">
        <f>J1308+J1266-J1298-J1309+J1310-J1301-J1311</f>
        <v/>
      </c>
      <c r="K1312" s="23">
        <f>K1308+K1266-K1298-K1309+K1310-K1301-K1311</f>
        <v/>
      </c>
      <c r="L1312" s="23">
        <f>L1308+L1266-L1298-L1309+L1310-L1301-L1311</f>
        <v/>
      </c>
      <c r="M1312" s="23">
        <f>M1308+M1266-M1298-M1309+M1310-M1301-M1311</f>
        <v/>
      </c>
      <c r="N1312" s="23">
        <f>N1308+N1266-N1298-N1309+N1310-N1301-N1311</f>
        <v/>
      </c>
    </row>
    <row r="1313">
      <c r="B1313" s="2" t="inlineStr">
        <is>
          <t>Original bonds outstanding</t>
        </is>
      </c>
      <c r="C1313" s="5" t="inlineStr">
        <is>
          <t>$ million</t>
        </is>
      </c>
      <c r="D1313" s="23">
        <f>(1-pr_eq)*pr_rb0</f>
        <v/>
      </c>
      <c r="E1313" s="23">
        <f>MAX(0,D1313-pr_amort*(1-pr_eq)*pr_rb0)</f>
        <v/>
      </c>
      <c r="F1313" s="23">
        <f>MAX(0,E1313-pr_amort*(1-pr_eq)*pr_rb0)</f>
        <v/>
      </c>
      <c r="G1313" s="23">
        <f>MAX(0,F1313-pr_amort*(1-pr_eq)*pr_rb0)</f>
        <v/>
      </c>
      <c r="H1313" s="23">
        <f>MAX(0,G1313-pr_amort*(1-pr_eq)*pr_rb0)</f>
        <v/>
      </c>
      <c r="I1313" s="23">
        <f>MAX(0,H1313-pr_amort*(1-pr_eq)*pr_rb0)</f>
        <v/>
      </c>
      <c r="J1313" s="23">
        <f>MAX(0,I1313-pr_amort*(1-pr_eq)*pr_rb0)</f>
        <v/>
      </c>
      <c r="K1313" s="23">
        <f>MAX(0,J1313-pr_amort*(1-pr_eq)*pr_rb0)</f>
        <v/>
      </c>
      <c r="L1313" s="23">
        <f>MAX(0,K1313-pr_amort*(1-pr_eq)*pr_rb0)</f>
        <v/>
      </c>
      <c r="M1313" s="23">
        <f>MAX(0,L1313-pr_amort*(1-pr_eq)*pr_rb0)</f>
        <v/>
      </c>
      <c r="N1313" s="23">
        <f>MAX(0,M1313-pr_amort*(1-pr_eq)*pr_rb0)</f>
        <v/>
      </c>
    </row>
    <row r="1314">
      <c r="B1314" s="2" t="inlineStr">
        <is>
          <t>Operating company debt (debt share of rate base)</t>
        </is>
      </c>
      <c r="C1314" s="5" t="inlineStr">
        <is>
          <t>$ million</t>
        </is>
      </c>
      <c r="D1314" s="23">
        <f>(1-pr_eq)*D1312</f>
        <v/>
      </c>
      <c r="E1314" s="23">
        <f>(1-pr_eq)*E1312</f>
        <v/>
      </c>
      <c r="F1314" s="23">
        <f>(1-pr_eq)*F1312</f>
        <v/>
      </c>
      <c r="G1314" s="23">
        <f>(1-pr_eq)*G1312</f>
        <v/>
      </c>
      <c r="H1314" s="23">
        <f>(1-pr_eq)*H1312</f>
        <v/>
      </c>
      <c r="I1314" s="23">
        <f>(1-pr_eq)*I1312</f>
        <v/>
      </c>
      <c r="J1314" s="23">
        <f>(1-pr_eq)*J1312</f>
        <v/>
      </c>
      <c r="K1314" s="23">
        <f>(1-pr_eq)*K1312</f>
        <v/>
      </c>
      <c r="L1314" s="23">
        <f>(1-pr_eq)*L1312</f>
        <v/>
      </c>
      <c r="M1314" s="23">
        <f>(1-pr_eq)*M1312</f>
        <v/>
      </c>
      <c r="N1314" s="23">
        <f>(1-pr_eq)*N1312</f>
        <v/>
      </c>
    </row>
    <row r="1315">
      <c r="B1315" s="2" t="inlineStr">
        <is>
          <t>New bonds outstanding</t>
        </is>
      </c>
      <c r="C1315" s="5" t="inlineStr">
        <is>
          <t>$ million</t>
        </is>
      </c>
      <c r="D1315" s="23">
        <f>D1314-D1313</f>
        <v/>
      </c>
      <c r="E1315" s="23">
        <f>E1314-E1313</f>
        <v/>
      </c>
      <c r="F1315" s="23">
        <f>F1314-F1313</f>
        <v/>
      </c>
      <c r="G1315" s="23">
        <f>G1314-G1313</f>
        <v/>
      </c>
      <c r="H1315" s="23">
        <f>H1314-H1313</f>
        <v/>
      </c>
      <c r="I1315" s="23">
        <f>I1314-I1313</f>
        <v/>
      </c>
      <c r="J1315" s="23">
        <f>J1314-J1313</f>
        <v/>
      </c>
      <c r="K1315" s="23">
        <f>K1314-K1313</f>
        <v/>
      </c>
      <c r="L1315" s="23">
        <f>L1314-L1313</f>
        <v/>
      </c>
      <c r="M1315" s="23">
        <f>M1314-M1313</f>
        <v/>
      </c>
      <c r="N1315" s="23">
        <f>N1314-N1313</f>
        <v/>
      </c>
    </row>
    <row r="1316">
      <c r="B1316" s="2" t="inlineStr">
        <is>
          <t>Embedded cost of debt at year end</t>
        </is>
      </c>
      <c r="C1316" s="5" t="inlineStr">
        <is>
          <t>rate</t>
        </is>
      </c>
      <c r="D1316" s="27">
        <f>pr_kd_old</f>
        <v/>
      </c>
      <c r="E1316" s="27">
        <f>(E1313*pr_kd_old+E1315*pr_kd_new)/E1314</f>
        <v/>
      </c>
      <c r="F1316" s="27">
        <f>(F1313*pr_kd_old+F1315*pr_kd_new)/F1314</f>
        <v/>
      </c>
      <c r="G1316" s="27">
        <f>(G1313*pr_kd_old+G1315*pr_kd_new)/G1314</f>
        <v/>
      </c>
      <c r="H1316" s="27">
        <f>(H1313*pr_kd_old+H1315*pr_kd_new)/H1314</f>
        <v/>
      </c>
      <c r="I1316" s="27">
        <f>(I1313*pr_kd_old+I1315*pr_kd_new)/I1314</f>
        <v/>
      </c>
      <c r="J1316" s="27">
        <f>(J1313*pr_kd_old+J1315*pr_kd_new)/J1314</f>
        <v/>
      </c>
      <c r="K1316" s="27">
        <f>(K1313*pr_kd_old+K1315*pr_kd_new)/K1314</f>
        <v/>
      </c>
      <c r="L1316" s="27">
        <f>(L1313*pr_kd_old+L1315*pr_kd_new)/L1314</f>
        <v/>
      </c>
      <c r="M1316" s="27">
        <f>(M1313*pr_kd_old+M1315*pr_kd_new)/M1314</f>
        <v/>
      </c>
      <c r="N1316" s="27">
        <f>(N1313*pr_kd_old+N1315*pr_kd_new)/N1314</f>
        <v/>
      </c>
    </row>
    <row r="1318">
      <c r="B1318" s="6" t="inlineStr">
        <is>
          <t>Returns and cash ($ million)</t>
        </is>
      </c>
      <c r="C1318" s="7" t="n"/>
      <c r="D1318" s="7" t="n"/>
      <c r="E1318" s="7" t="n"/>
      <c r="F1318" s="7" t="n"/>
      <c r="G1318" s="7" t="n"/>
      <c r="H1318" s="7" t="n"/>
      <c r="I1318" s="7" t="n"/>
      <c r="J1318" s="7" t="n"/>
      <c r="K1318" s="7" t="n"/>
      <c r="L1318" s="7" t="n"/>
      <c r="M1318" s="7" t="n"/>
      <c r="N1318" s="7" t="n"/>
    </row>
    <row r="1319">
      <c r="B1319" s="2" t="inlineStr">
        <is>
          <t>Average equity share of rate base</t>
        </is>
      </c>
      <c r="C1319" s="5" t="inlineStr">
        <is>
          <t>$ million</t>
        </is>
      </c>
      <c r="E1319" s="23">
        <f>pr_eq*0.5*(E1308+E1312)</f>
        <v/>
      </c>
      <c r="F1319" s="23">
        <f>pr_eq*0.5*(F1308+F1312)</f>
        <v/>
      </c>
      <c r="G1319" s="23">
        <f>pr_eq*0.5*(G1308+G1312)</f>
        <v/>
      </c>
      <c r="H1319" s="23">
        <f>pr_eq*0.5*(H1308+H1312)</f>
        <v/>
      </c>
      <c r="I1319" s="23">
        <f>pr_eq*0.5*(I1308+I1312)</f>
        <v/>
      </c>
      <c r="J1319" s="23">
        <f>pr_eq*0.5*(J1308+J1312)</f>
        <v/>
      </c>
      <c r="K1319" s="23">
        <f>pr_eq*0.5*(K1308+K1312)</f>
        <v/>
      </c>
      <c r="L1319" s="23">
        <f>pr_eq*0.5*(L1308+L1312)</f>
        <v/>
      </c>
      <c r="M1319" s="23">
        <f>pr_eq*0.5*(M1308+M1312)</f>
        <v/>
      </c>
      <c r="N1319" s="23">
        <f>pr_eq*0.5*(N1308+N1312)</f>
        <v/>
      </c>
    </row>
    <row r="1320">
      <c r="B1320" s="2" t="inlineStr">
        <is>
          <t>Earned return on equity</t>
        </is>
      </c>
      <c r="C1320" s="5" t="inlineStr">
        <is>
          <t>rate</t>
        </is>
      </c>
      <c r="E1320" s="27">
        <f>E1305/E1319</f>
        <v/>
      </c>
      <c r="F1320" s="27">
        <f>F1305/F1319</f>
        <v/>
      </c>
      <c r="G1320" s="27">
        <f>G1305/G1319</f>
        <v/>
      </c>
      <c r="H1320" s="27">
        <f>H1305/H1319</f>
        <v/>
      </c>
      <c r="I1320" s="27">
        <f>I1305/I1319</f>
        <v/>
      </c>
      <c r="J1320" s="27">
        <f>J1305/J1319</f>
        <v/>
      </c>
      <c r="K1320" s="27">
        <f>K1305/K1319</f>
        <v/>
      </c>
      <c r="L1320" s="27">
        <f>L1305/L1319</f>
        <v/>
      </c>
      <c r="M1320" s="27">
        <f>M1305/M1319</f>
        <v/>
      </c>
      <c r="N1320" s="27">
        <f>N1305/N1319</f>
        <v/>
      </c>
    </row>
    <row r="1321">
      <c r="B1321" s="2" t="inlineStr">
        <is>
          <t>Authorized return on equity</t>
        </is>
      </c>
      <c r="C1321" s="5" t="inlineStr">
        <is>
          <t>rate</t>
        </is>
      </c>
      <c r="E1321" s="27">
        <f>Inputs!$C$259</f>
        <v/>
      </c>
      <c r="F1321" s="27">
        <f>Inputs!$C$259</f>
        <v/>
      </c>
      <c r="G1321" s="27">
        <f>Inputs!$C$259</f>
        <v/>
      </c>
      <c r="H1321" s="27">
        <f>Inputs!$C$259</f>
        <v/>
      </c>
      <c r="I1321" s="27">
        <f>Inputs!$C$259</f>
        <v/>
      </c>
      <c r="J1321" s="27">
        <f>Inputs!$C$259</f>
        <v/>
      </c>
      <c r="K1321" s="27">
        <f>Inputs!$C$259</f>
        <v/>
      </c>
      <c r="L1321" s="27">
        <f>Inputs!$C$259</f>
        <v/>
      </c>
      <c r="M1321" s="27">
        <f>Inputs!$C$259</f>
        <v/>
      </c>
      <c r="N1321" s="27">
        <f>Inputs!$C$259</f>
        <v/>
      </c>
    </row>
    <row r="1322">
      <c r="B1322" s="3" t="inlineStr">
        <is>
          <t>Cash to the shareholder (FCFE)</t>
        </is>
      </c>
      <c r="C1322" s="5" t="inlineStr">
        <is>
          <t>$ million</t>
        </is>
      </c>
      <c r="E1322" s="23">
        <f>E1305+E1301-E1266-E1310+E1311+E1314-D1314</f>
        <v/>
      </c>
      <c r="F1322" s="23">
        <f>F1305+F1301-F1266-F1310+F1311+F1314-E1314</f>
        <v/>
      </c>
      <c r="G1322" s="23">
        <f>G1305+G1301-G1266-G1310+G1311+G1314-F1314</f>
        <v/>
      </c>
      <c r="H1322" s="23">
        <f>H1305+H1301-H1266-H1310+H1311+H1314-G1314</f>
        <v/>
      </c>
      <c r="I1322" s="23">
        <f>I1305+I1301-I1266-I1310+I1311+I1314-H1314</f>
        <v/>
      </c>
      <c r="J1322" s="23">
        <f>J1305+J1301-J1266-J1310+J1311+J1314-I1314</f>
        <v/>
      </c>
      <c r="K1322" s="23">
        <f>K1305+K1301-K1266-K1310+K1311+K1314-J1314</f>
        <v/>
      </c>
      <c r="L1322" s="23">
        <f>L1305+L1301-L1266-L1310+L1311+L1314-K1314</f>
        <v/>
      </c>
      <c r="M1322" s="23">
        <f>M1305+M1301-M1266-M1310+M1311+M1314-L1314</f>
        <v/>
      </c>
      <c r="N1322" s="23">
        <f>N1305+N1301-N1266-N1310+N1311+N1314-M1314</f>
        <v/>
      </c>
    </row>
    <row r="1323">
      <c r="B1323" s="2" t="inlineStr">
        <is>
          <t>Funds from operations (net income + depreciation)</t>
        </is>
      </c>
      <c r="C1323" s="5" t="inlineStr">
        <is>
          <t>$ million</t>
        </is>
      </c>
      <c r="E1323" s="23">
        <f>E1305+E1301</f>
        <v/>
      </c>
      <c r="F1323" s="23">
        <f>F1305+F1301</f>
        <v/>
      </c>
      <c r="G1323" s="23">
        <f>G1305+G1301</f>
        <v/>
      </c>
      <c r="H1323" s="23">
        <f>H1305+H1301</f>
        <v/>
      </c>
      <c r="I1323" s="23">
        <f>I1305+I1301</f>
        <v/>
      </c>
      <c r="J1323" s="23">
        <f>J1305+J1301</f>
        <v/>
      </c>
      <c r="K1323" s="23">
        <f>K1305+K1301</f>
        <v/>
      </c>
      <c r="L1323" s="23">
        <f>L1305+L1301</f>
        <v/>
      </c>
      <c r="M1323" s="23">
        <f>M1305+M1301</f>
        <v/>
      </c>
      <c r="N1323" s="23">
        <f>N1305+N1301</f>
        <v/>
      </c>
    </row>
    <row r="1324">
      <c r="B1324" s="3" t="inlineStr">
        <is>
          <t>Brannock's net flows (exit at the exit multiple)</t>
        </is>
      </c>
      <c r="C1324" s="5" t="inlineStr">
        <is>
          <t>$ million</t>
        </is>
      </c>
      <c r="D1324" s="23">
        <f>-(pr_ev_mult*pr_rb0-(1-pr_eq)*pr_rb0+pr_costs-pr_holdco)</f>
        <v/>
      </c>
      <c r="E1324" s="23">
        <f>E1322-pr_holdco*pr_kd_holdco*(1-pr_tax)</f>
        <v/>
      </c>
      <c r="F1324" s="23">
        <f>F1322-pr_holdco*pr_kd_holdco*(1-pr_tax)</f>
        <v/>
      </c>
      <c r="G1324" s="23">
        <f>G1322-pr_holdco*pr_kd_holdco*(1-pr_tax)</f>
        <v/>
      </c>
      <c r="H1324" s="23">
        <f>H1322-pr_holdco*pr_kd_holdco*(1-pr_tax)</f>
        <v/>
      </c>
      <c r="I1324" s="23">
        <f>I1322-pr_holdco*pr_kd_holdco*(1-pr_tax)</f>
        <v/>
      </c>
      <c r="J1324" s="23">
        <f>J1322-pr_holdco*pr_kd_holdco*(1-pr_tax)</f>
        <v/>
      </c>
      <c r="K1324" s="23">
        <f>K1322-pr_holdco*pr_kd_holdco*(1-pr_tax)</f>
        <v/>
      </c>
      <c r="L1324" s="23">
        <f>L1322-pr_holdco*pr_kd_holdco*(1-pr_tax)</f>
        <v/>
      </c>
      <c r="M1324" s="23">
        <f>M1322-pr_holdco*pr_kd_holdco*(1-pr_tax)</f>
        <v/>
      </c>
      <c r="N1324" s="23">
        <f>N1322-pr_holdco*pr_kd_holdco*(1-pr_tax)+pr_exit_mult*N1312-N1314-pr_holdco</f>
        <v/>
      </c>
    </row>
    <row r="1325">
      <c r="B1325" s="2" t="inlineStr">
        <is>
          <t>Levered IRR</t>
        </is>
      </c>
      <c r="C1325" s="5" t="inlineStr">
        <is>
          <t>rate</t>
        </is>
      </c>
      <c r="D1325" s="27">
        <f>IRR($D$1324:N$1324,0.08)</f>
        <v/>
      </c>
    </row>
    <row r="1326">
      <c r="B1326" s="2" t="inlineStr">
        <is>
          <t>Average earned return on equity 2028 to 2037</t>
        </is>
      </c>
      <c r="C1326" s="5" t="inlineStr">
        <is>
          <t>rate</t>
        </is>
      </c>
      <c r="D1326" s="27">
        <f>AVERAGE($E$1320:N$1320)</f>
        <v/>
      </c>
    </row>
    <row r="1327">
      <c r="B1327" s="2" t="inlineStr">
        <is>
          <t>Price at the target return (enterprise value)</t>
        </is>
      </c>
      <c r="C1327" s="5" t="inlineStr">
        <is>
          <t>$ million</t>
        </is>
      </c>
      <c r="D1327" s="23">
        <f>NPV(pr_target,$E$1324:N$1324)+(1-pr_eq)*pr_rb0-pr_costs+pr_holdco</f>
        <v/>
      </c>
    </row>
    <row r="1328">
      <c r="B1328" s="2" t="inlineStr">
        <is>
          <t>Exit equity</t>
        </is>
      </c>
      <c r="C1328" s="5" t="inlineStr">
        <is>
          <t>$ million</t>
        </is>
      </c>
      <c r="D1328" s="23">
        <f>pr_exit_mult*N1312-N1314-pr_holdco</f>
        <v/>
      </c>
    </row>
    <row r="1329">
      <c r="B1329" s="2" t="inlineStr">
        <is>
          <t>Rate base at exit</t>
        </is>
      </c>
      <c r="C1329" s="5" t="inlineStr">
        <is>
          <t>$ million</t>
        </is>
      </c>
      <c r="D1329" s="23">
        <f>N1312</f>
        <v/>
      </c>
    </row>
    <row r="1332">
      <c r="B1332" s="6" t="inlineStr">
        <is>
          <t>MR: Mains renewal held to 0.8 percent a year (Pell River, after tax)</t>
        </is>
      </c>
      <c r="C1332" s="7" t="n"/>
      <c r="D1332" s="7" t="n"/>
      <c r="E1332" s="7" t="n"/>
      <c r="F1332" s="7" t="n"/>
      <c r="G1332" s="7" t="n"/>
      <c r="H1332" s="7" t="n"/>
      <c r="I1332" s="7" t="n"/>
      <c r="J1332" s="7" t="n"/>
      <c r="K1332" s="7" t="n"/>
      <c r="L1332" s="7" t="n"/>
      <c r="M1332" s="7" t="n"/>
      <c r="N1332" s="7" t="n"/>
    </row>
    <row r="1333">
      <c r="B1333" s="2" t="inlineStr">
        <is>
          <t>Year (31 December)</t>
        </is>
      </c>
      <c r="D1333" s="26">
        <f>pr_close</f>
        <v/>
      </c>
      <c r="E1333" s="26">
        <f>D1333+1</f>
        <v/>
      </c>
      <c r="F1333" s="26">
        <f>E1333+1</f>
        <v/>
      </c>
      <c r="G1333" s="26">
        <f>F1333+1</f>
        <v/>
      </c>
      <c r="H1333" s="26">
        <f>G1333+1</f>
        <v/>
      </c>
      <c r="I1333" s="26">
        <f>H1333+1</f>
        <v/>
      </c>
      <c r="J1333" s="26">
        <f>I1333+1</f>
        <v/>
      </c>
      <c r="K1333" s="26">
        <f>J1333+1</f>
        <v/>
      </c>
      <c r="L1333" s="26">
        <f>K1333+1</f>
        <v/>
      </c>
      <c r="M1333" s="26">
        <f>L1333+1</f>
        <v/>
      </c>
      <c r="N1333" s="26">
        <f>M1333+1</f>
        <v/>
      </c>
    </row>
    <row r="1334">
      <c r="B1334" s="2" t="inlineStr">
        <is>
          <t>Years after the first year of the hold (2028 = 0)</t>
        </is>
      </c>
      <c r="D1334" s="26">
        <f>D1333-(pr_close+1)</f>
        <v/>
      </c>
      <c r="E1334" s="26">
        <f>E1333-(pr_close+1)</f>
        <v/>
      </c>
      <c r="F1334" s="26">
        <f>F1333-(pr_close+1)</f>
        <v/>
      </c>
      <c r="G1334" s="26">
        <f>G1333-(pr_close+1)</f>
        <v/>
      </c>
      <c r="H1334" s="26">
        <f>H1333-(pr_close+1)</f>
        <v/>
      </c>
      <c r="I1334" s="26">
        <f>I1333-(pr_close+1)</f>
        <v/>
      </c>
      <c r="J1334" s="26">
        <f>J1333-(pr_close+1)</f>
        <v/>
      </c>
      <c r="K1334" s="26">
        <f>K1333-(pr_close+1)</f>
        <v/>
      </c>
      <c r="L1334" s="26">
        <f>L1333-(pr_close+1)</f>
        <v/>
      </c>
      <c r="M1334" s="26">
        <f>M1333-(pr_close+1)</f>
        <v/>
      </c>
      <c r="N1334" s="26">
        <f>N1333-(pr_close+1)</f>
        <v/>
      </c>
    </row>
    <row r="1335">
      <c r="B1335" s="2" t="inlineStr">
        <is>
          <t>Connections (water and wastewater), year end</t>
        </is>
      </c>
      <c r="C1335" s="5" t="inlineStr">
        <is>
          <t>number</t>
        </is>
      </c>
      <c r="D1335" s="19">
        <f>pr_water_conn+pr_ww_conn</f>
        <v/>
      </c>
      <c r="E1335" s="19">
        <f>D1335*(1+pr_growth)+IF(AND(pr_fen_on=1,E1333=pr_fen_year+1),pr_fen_conn,0)</f>
        <v/>
      </c>
      <c r="F1335" s="19">
        <f>E1335*(1+pr_growth)+IF(AND(pr_fen_on=1,F1333=pr_fen_year+1),pr_fen_conn,0)</f>
        <v/>
      </c>
      <c r="G1335" s="19">
        <f>F1335*(1+pr_growth)+IF(AND(pr_fen_on=1,G1333=pr_fen_year+1),pr_fen_conn,0)</f>
        <v/>
      </c>
      <c r="H1335" s="19">
        <f>G1335*(1+pr_growth)+IF(AND(pr_fen_on=1,H1333=pr_fen_year+1),pr_fen_conn,0)</f>
        <v/>
      </c>
      <c r="I1335" s="19">
        <f>H1335*(1+pr_growth)+IF(AND(pr_fen_on=1,I1333=pr_fen_year+1),pr_fen_conn,0)</f>
        <v/>
      </c>
      <c r="J1335" s="19">
        <f>I1335*(1+pr_growth)+IF(AND(pr_fen_on=1,J1333=pr_fen_year+1),pr_fen_conn,0)</f>
        <v/>
      </c>
      <c r="K1335" s="19">
        <f>J1335*(1+pr_growth)+IF(AND(pr_fen_on=1,K1333=pr_fen_year+1),pr_fen_conn,0)</f>
        <v/>
      </c>
      <c r="L1335" s="19">
        <f>K1335*(1+pr_growth)+IF(AND(pr_fen_on=1,L1333=pr_fen_year+1),pr_fen_conn,0)</f>
        <v/>
      </c>
      <c r="M1335" s="19">
        <f>L1335*(1+pr_growth)+IF(AND(pr_fen_on=1,M1333=pr_fen_year+1),pr_fen_conn,0)</f>
        <v/>
      </c>
      <c r="N1335" s="19">
        <f>M1335*(1+pr_growth)+IF(AND(pr_fen_on=1,N1333=pr_fen_year+1),pr_fen_conn,0)</f>
        <v/>
      </c>
    </row>
    <row r="1337">
      <c r="B1337" s="6" t="inlineStr">
        <is>
          <t>Capital spending ($ million)</t>
        </is>
      </c>
      <c r="C1337" s="7" t="n"/>
      <c r="D1337" s="7" t="n"/>
      <c r="E1337" s="7" t="n"/>
      <c r="F1337" s="7" t="n"/>
      <c r="G1337" s="7" t="n"/>
      <c r="H1337" s="7" t="n"/>
      <c r="I1337" s="7" t="n"/>
      <c r="J1337" s="7" t="n"/>
      <c r="K1337" s="7" t="n"/>
      <c r="L1337" s="7" t="n"/>
      <c r="M1337" s="7" t="n"/>
      <c r="N1337" s="7" t="n"/>
    </row>
    <row r="1338">
      <c r="B1338" s="2" t="inlineStr">
        <is>
          <t>Cost escalation index (2028 = 1)</t>
        </is>
      </c>
      <c r="E1338" s="28">
        <f>(1+pr_capex_esc)^(E1333-(pr_close+1))</f>
        <v/>
      </c>
      <c r="F1338" s="28">
        <f>(1+pr_capex_esc)^(F1333-(pr_close+1))</f>
        <v/>
      </c>
      <c r="G1338" s="28">
        <f>(1+pr_capex_esc)^(G1333-(pr_close+1))</f>
        <v/>
      </c>
      <c r="H1338" s="28">
        <f>(1+pr_capex_esc)^(H1333-(pr_close+1))</f>
        <v/>
      </c>
      <c r="I1338" s="28">
        <f>(1+pr_capex_esc)^(I1333-(pr_close+1))</f>
        <v/>
      </c>
      <c r="J1338" s="28">
        <f>(1+pr_capex_esc)^(J1333-(pr_close+1))</f>
        <v/>
      </c>
      <c r="K1338" s="28">
        <f>(1+pr_capex_esc)^(K1333-(pr_close+1))</f>
        <v/>
      </c>
      <c r="L1338" s="28">
        <f>(1+pr_capex_esc)^(L1333-(pr_close+1))</f>
        <v/>
      </c>
      <c r="M1338" s="28">
        <f>(1+pr_capex_esc)^(M1333-(pr_close+1))</f>
        <v/>
      </c>
      <c r="N1338" s="28">
        <f>(1+pr_capex_esc)^(N1333-(pr_close+1))</f>
        <v/>
      </c>
    </row>
    <row r="1339">
      <c r="B1339" s="2" t="inlineStr">
        <is>
          <t>Main renewal</t>
        </is>
      </c>
      <c r="C1339" s="5" t="inlineStr">
        <is>
          <t>$ million</t>
        </is>
      </c>
      <c r="E1339" s="23">
        <f>Inputs!$C$264*pr_mains_miles*pr_cost_mile*E1338*(1+pr_capex_shift)</f>
        <v/>
      </c>
      <c r="F1339" s="23">
        <f>Inputs!$C$264*pr_mains_miles*pr_cost_mile*F1338*(1+pr_capex_shift)</f>
        <v/>
      </c>
      <c r="G1339" s="23">
        <f>Inputs!$C$264*pr_mains_miles*pr_cost_mile*G1338*(1+pr_capex_shift)</f>
        <v/>
      </c>
      <c r="H1339" s="23">
        <f>Inputs!$C$264*pr_mains_miles*pr_cost_mile*H1338*(1+pr_capex_shift)</f>
        <v/>
      </c>
      <c r="I1339" s="23">
        <f>Inputs!$C$264*pr_mains_miles*pr_cost_mile*I1338*(1+pr_capex_shift)</f>
        <v/>
      </c>
      <c r="J1339" s="23">
        <f>Inputs!$C$264*pr_mains_miles*pr_cost_mile*J1338*(1+pr_capex_shift)</f>
        <v/>
      </c>
      <c r="K1339" s="23">
        <f>Inputs!$C$264*pr_mains_miles*pr_cost_mile*K1338*(1+pr_capex_shift)</f>
        <v/>
      </c>
      <c r="L1339" s="23">
        <f>Inputs!$C$264*pr_mains_miles*pr_cost_mile*L1338*(1+pr_capex_shift)</f>
        <v/>
      </c>
      <c r="M1339" s="23">
        <f>Inputs!$C$264*pr_mains_miles*pr_cost_mile*M1338*(1+pr_capex_shift)</f>
        <v/>
      </c>
      <c r="N1339" s="23">
        <f>Inputs!$C$264*pr_mains_miles*pr_cost_mile*N1338*(1+pr_capex_shift)</f>
        <v/>
      </c>
    </row>
    <row r="1340">
      <c r="B1340" s="2" t="inlineStr">
        <is>
          <t>Treatment, storage, meters, IT and growth</t>
        </is>
      </c>
      <c r="C1340" s="5" t="inlineStr">
        <is>
          <t>$ million</t>
        </is>
      </c>
      <c r="E1340" s="23">
        <f>pr_other_capex*E1338*(1+pr_capex_shift)</f>
        <v/>
      </c>
      <c r="F1340" s="23">
        <f>pr_other_capex*F1338*(1+pr_capex_shift)</f>
        <v/>
      </c>
      <c r="G1340" s="23">
        <f>pr_other_capex*G1338*(1+pr_capex_shift)</f>
        <v/>
      </c>
      <c r="H1340" s="23">
        <f>pr_other_capex*H1338*(1+pr_capex_shift)</f>
        <v/>
      </c>
      <c r="I1340" s="23">
        <f>pr_other_capex*I1338*(1+pr_capex_shift)</f>
        <v/>
      </c>
      <c r="J1340" s="23">
        <f>pr_other_capex*J1338*(1+pr_capex_shift)</f>
        <v/>
      </c>
      <c r="K1340" s="23">
        <f>pr_other_capex*K1338*(1+pr_capex_shift)</f>
        <v/>
      </c>
      <c r="L1340" s="23">
        <f>pr_other_capex*L1338*(1+pr_capex_shift)</f>
        <v/>
      </c>
      <c r="M1340" s="23">
        <f>pr_other_capex*M1338*(1+pr_capex_shift)</f>
        <v/>
      </c>
      <c r="N1340" s="23">
        <f>pr_other_capex*N1338*(1+pr_capex_shift)</f>
        <v/>
      </c>
    </row>
    <row r="1341">
      <c r="B1341" s="2" t="inlineStr">
        <is>
          <t>PFAS treatment</t>
        </is>
      </c>
      <c r="C1341" s="5" t="inlineStr">
        <is>
          <t>$ million</t>
        </is>
      </c>
      <c r="E1341" s="23">
        <f>(IF(E1333-pr_pfas_delay=pr_pfas_y1,pr_pfas_1,0)+IF(E1333-pr_pfas_delay=pr_pfas_y1+1,pr_pfas_2,0)+IF(E1333-pr_pfas_delay=pr_pfas_y1+2,pr_pfas_3,0))*(1+pr_capex_esc)^pr_pfas_delay*(1+pr_capex_shift)</f>
        <v/>
      </c>
      <c r="F1341" s="23">
        <f>(IF(F1333-pr_pfas_delay=pr_pfas_y1,pr_pfas_1,0)+IF(F1333-pr_pfas_delay=pr_pfas_y1+1,pr_pfas_2,0)+IF(F1333-pr_pfas_delay=pr_pfas_y1+2,pr_pfas_3,0))*(1+pr_capex_esc)^pr_pfas_delay*(1+pr_capex_shift)</f>
        <v/>
      </c>
      <c r="G1341" s="23">
        <f>(IF(G1333-pr_pfas_delay=pr_pfas_y1,pr_pfas_1,0)+IF(G1333-pr_pfas_delay=pr_pfas_y1+1,pr_pfas_2,0)+IF(G1333-pr_pfas_delay=pr_pfas_y1+2,pr_pfas_3,0))*(1+pr_capex_esc)^pr_pfas_delay*(1+pr_capex_shift)</f>
        <v/>
      </c>
      <c r="H1341" s="23">
        <f>(IF(H1333-pr_pfas_delay=pr_pfas_y1,pr_pfas_1,0)+IF(H1333-pr_pfas_delay=pr_pfas_y1+1,pr_pfas_2,0)+IF(H1333-pr_pfas_delay=pr_pfas_y1+2,pr_pfas_3,0))*(1+pr_capex_esc)^pr_pfas_delay*(1+pr_capex_shift)</f>
        <v/>
      </c>
      <c r="I1341" s="23">
        <f>(IF(I1333-pr_pfas_delay=pr_pfas_y1,pr_pfas_1,0)+IF(I1333-pr_pfas_delay=pr_pfas_y1+1,pr_pfas_2,0)+IF(I1333-pr_pfas_delay=pr_pfas_y1+2,pr_pfas_3,0))*(1+pr_capex_esc)^pr_pfas_delay*(1+pr_capex_shift)</f>
        <v/>
      </c>
      <c r="J1341" s="23">
        <f>(IF(J1333-pr_pfas_delay=pr_pfas_y1,pr_pfas_1,0)+IF(J1333-pr_pfas_delay=pr_pfas_y1+1,pr_pfas_2,0)+IF(J1333-pr_pfas_delay=pr_pfas_y1+2,pr_pfas_3,0))*(1+pr_capex_esc)^pr_pfas_delay*(1+pr_capex_shift)</f>
        <v/>
      </c>
      <c r="K1341" s="23">
        <f>(IF(K1333-pr_pfas_delay=pr_pfas_y1,pr_pfas_1,0)+IF(K1333-pr_pfas_delay=pr_pfas_y1+1,pr_pfas_2,0)+IF(K1333-pr_pfas_delay=pr_pfas_y1+2,pr_pfas_3,0))*(1+pr_capex_esc)^pr_pfas_delay*(1+pr_capex_shift)</f>
        <v/>
      </c>
      <c r="L1341" s="23">
        <f>(IF(L1333-pr_pfas_delay=pr_pfas_y1,pr_pfas_1,0)+IF(L1333-pr_pfas_delay=pr_pfas_y1+1,pr_pfas_2,0)+IF(L1333-pr_pfas_delay=pr_pfas_y1+2,pr_pfas_3,0))*(1+pr_capex_esc)^pr_pfas_delay*(1+pr_capex_shift)</f>
        <v/>
      </c>
      <c r="M1341" s="23">
        <f>(IF(M1333-pr_pfas_delay=pr_pfas_y1,pr_pfas_1,0)+IF(M1333-pr_pfas_delay=pr_pfas_y1+1,pr_pfas_2,0)+IF(M1333-pr_pfas_delay=pr_pfas_y1+2,pr_pfas_3,0))*(1+pr_capex_esc)^pr_pfas_delay*(1+pr_capex_shift)</f>
        <v/>
      </c>
      <c r="N1341" s="23">
        <f>(IF(N1333-pr_pfas_delay=pr_pfas_y1,pr_pfas_1,0)+IF(N1333-pr_pfas_delay=pr_pfas_y1+1,pr_pfas_2,0)+IF(N1333-pr_pfas_delay=pr_pfas_y1+2,pr_pfas_3,0))*(1+pr_capex_esc)^pr_pfas_delay*(1+pr_capex_shift)</f>
        <v/>
      </c>
    </row>
    <row r="1342">
      <c r="B1342" s="2" t="inlineStr">
        <is>
          <t>Lead service lines</t>
        </is>
      </c>
      <c r="C1342" s="5" t="inlineStr">
        <is>
          <t>$ million</t>
        </is>
      </c>
      <c r="E1342" s="23">
        <f>IF(AND(E1333&gt;=(pr_close+1),E1333&lt;(pr_close+1)+pr_lead_years),pr_lead_lines/pr_lead_years*pr_lead_cost/1000000*E1338,0)*(1+pr_capex_shift)</f>
        <v/>
      </c>
      <c r="F1342" s="23">
        <f>IF(AND(F1333&gt;=(pr_close+1),F1333&lt;(pr_close+1)+pr_lead_years),pr_lead_lines/pr_lead_years*pr_lead_cost/1000000*F1338,0)*(1+pr_capex_shift)</f>
        <v/>
      </c>
      <c r="G1342" s="23">
        <f>IF(AND(G1333&gt;=(pr_close+1),G1333&lt;(pr_close+1)+pr_lead_years),pr_lead_lines/pr_lead_years*pr_lead_cost/1000000*G1338,0)*(1+pr_capex_shift)</f>
        <v/>
      </c>
      <c r="H1342" s="23">
        <f>IF(AND(H1333&gt;=(pr_close+1),H1333&lt;(pr_close+1)+pr_lead_years),pr_lead_lines/pr_lead_years*pr_lead_cost/1000000*H1338,0)*(1+pr_capex_shift)</f>
        <v/>
      </c>
      <c r="I1342" s="23">
        <f>IF(AND(I1333&gt;=(pr_close+1),I1333&lt;(pr_close+1)+pr_lead_years),pr_lead_lines/pr_lead_years*pr_lead_cost/1000000*I1338,0)*(1+pr_capex_shift)</f>
        <v/>
      </c>
      <c r="J1342" s="23">
        <f>IF(AND(J1333&gt;=(pr_close+1),J1333&lt;(pr_close+1)+pr_lead_years),pr_lead_lines/pr_lead_years*pr_lead_cost/1000000*J1338,0)*(1+pr_capex_shift)</f>
        <v/>
      </c>
      <c r="K1342" s="23">
        <f>IF(AND(K1333&gt;=(pr_close+1),K1333&lt;(pr_close+1)+pr_lead_years),pr_lead_lines/pr_lead_years*pr_lead_cost/1000000*K1338,0)*(1+pr_capex_shift)</f>
        <v/>
      </c>
      <c r="L1342" s="23">
        <f>IF(AND(L1333&gt;=(pr_close+1),L1333&lt;(pr_close+1)+pr_lead_years),pr_lead_lines/pr_lead_years*pr_lead_cost/1000000*L1338,0)*(1+pr_capex_shift)</f>
        <v/>
      </c>
      <c r="M1342" s="23">
        <f>IF(AND(M1333&gt;=(pr_close+1),M1333&lt;(pr_close+1)+pr_lead_years),pr_lead_lines/pr_lead_years*pr_lead_cost/1000000*M1338,0)*(1+pr_capex_shift)</f>
        <v/>
      </c>
      <c r="N1342" s="23">
        <f>IF(AND(N1333&gt;=(pr_close+1),N1333&lt;(pr_close+1)+pr_lead_years),pr_lead_lines/pr_lead_years*pr_lead_cost/1000000*N1338,0)*(1+pr_capex_shift)</f>
        <v/>
      </c>
    </row>
    <row r="1343">
      <c r="B1343" s="2" t="inlineStr">
        <is>
          <t>Fennick system</t>
        </is>
      </c>
      <c r="C1343" s="5" t="inlineStr">
        <is>
          <t>$ million</t>
        </is>
      </c>
      <c r="E1343" s="23">
        <f>IF(AND(pr_fen_on=1,E1333&gt;pr_fen_year),pr_fen_capex*(1+pr_capex_esc)^(E1333-pr_fen_year-1),0)*(1+pr_capex_shift)</f>
        <v/>
      </c>
      <c r="F1343" s="23">
        <f>IF(AND(pr_fen_on=1,F1333&gt;pr_fen_year),pr_fen_capex*(1+pr_capex_esc)^(F1333-pr_fen_year-1),0)*(1+pr_capex_shift)</f>
        <v/>
      </c>
      <c r="G1343" s="23">
        <f>IF(AND(pr_fen_on=1,G1333&gt;pr_fen_year),pr_fen_capex*(1+pr_capex_esc)^(G1333-pr_fen_year-1),0)*(1+pr_capex_shift)</f>
        <v/>
      </c>
      <c r="H1343" s="23">
        <f>IF(AND(pr_fen_on=1,H1333&gt;pr_fen_year),pr_fen_capex*(1+pr_capex_esc)^(H1333-pr_fen_year-1),0)*(1+pr_capex_shift)</f>
        <v/>
      </c>
      <c r="I1343" s="23">
        <f>IF(AND(pr_fen_on=1,I1333&gt;pr_fen_year),pr_fen_capex*(1+pr_capex_esc)^(I1333-pr_fen_year-1),0)*(1+pr_capex_shift)</f>
        <v/>
      </c>
      <c r="J1343" s="23">
        <f>IF(AND(pr_fen_on=1,J1333&gt;pr_fen_year),pr_fen_capex*(1+pr_capex_esc)^(J1333-pr_fen_year-1),0)*(1+pr_capex_shift)</f>
        <v/>
      </c>
      <c r="K1343" s="23">
        <f>IF(AND(pr_fen_on=1,K1333&gt;pr_fen_year),pr_fen_capex*(1+pr_capex_esc)^(K1333-pr_fen_year-1),0)*(1+pr_capex_shift)</f>
        <v/>
      </c>
      <c r="L1343" s="23">
        <f>IF(AND(pr_fen_on=1,L1333&gt;pr_fen_year),pr_fen_capex*(1+pr_capex_esc)^(L1333-pr_fen_year-1),0)*(1+pr_capex_shift)</f>
        <v/>
      </c>
      <c r="M1343" s="23">
        <f>IF(AND(pr_fen_on=1,M1333&gt;pr_fen_year),pr_fen_capex*(1+pr_capex_esc)^(M1333-pr_fen_year-1),0)*(1+pr_capex_shift)</f>
        <v/>
      </c>
      <c r="N1343" s="23">
        <f>IF(AND(pr_fen_on=1,N1333&gt;pr_fen_year),pr_fen_capex*(1+pr_capex_esc)^(N1333-pr_fen_year-1),0)*(1+pr_capex_shift)</f>
        <v/>
      </c>
    </row>
    <row r="1344">
      <c r="B1344" s="2" t="inlineStr">
        <is>
          <t>Total capital spending</t>
        </is>
      </c>
      <c r="C1344" s="5" t="inlineStr">
        <is>
          <t>$ million</t>
        </is>
      </c>
      <c r="E1344" s="23">
        <f>SUM(E1339:E1343)</f>
        <v/>
      </c>
      <c r="F1344" s="23">
        <f>SUM(F1339:F1343)</f>
        <v/>
      </c>
      <c r="G1344" s="23">
        <f>SUM(G1339:G1343)</f>
        <v/>
      </c>
      <c r="H1344" s="23">
        <f>SUM(H1339:H1343)</f>
        <v/>
      </c>
      <c r="I1344" s="23">
        <f>SUM(I1339:I1343)</f>
        <v/>
      </c>
      <c r="J1344" s="23">
        <f>SUM(J1339:J1343)</f>
        <v/>
      </c>
      <c r="K1344" s="23">
        <f>SUM(K1339:K1343)</f>
        <v/>
      </c>
      <c r="L1344" s="23">
        <f>SUM(L1339:L1343)</f>
        <v/>
      </c>
      <c r="M1344" s="23">
        <f>SUM(M1339:M1343)</f>
        <v/>
      </c>
      <c r="N1344" s="23">
        <f>SUM(N1339:N1343)</f>
        <v/>
      </c>
    </row>
    <row r="1345">
      <c r="B1345" s="2" t="inlineStr">
        <is>
          <t>DSIC-eligible (mains and lead lines)</t>
        </is>
      </c>
      <c r="C1345" s="5" t="inlineStr">
        <is>
          <t>$ million</t>
        </is>
      </c>
      <c r="E1345" s="23">
        <f>E1339+E1342</f>
        <v/>
      </c>
      <c r="F1345" s="23">
        <f>F1339+F1342</f>
        <v/>
      </c>
      <c r="G1345" s="23">
        <f>G1339+G1342</f>
        <v/>
      </c>
      <c r="H1345" s="23">
        <f>H1339+H1342</f>
        <v/>
      </c>
      <c r="I1345" s="23">
        <f>I1339+I1342</f>
        <v/>
      </c>
      <c r="J1345" s="23">
        <f>J1339+J1342</f>
        <v/>
      </c>
      <c r="K1345" s="23">
        <f>K1339+K1342</f>
        <v/>
      </c>
      <c r="L1345" s="23">
        <f>L1339+L1342</f>
        <v/>
      </c>
      <c r="M1345" s="23">
        <f>M1339+M1342</f>
        <v/>
      </c>
      <c r="N1345" s="23">
        <f>N1339+N1342</f>
        <v/>
      </c>
    </row>
    <row r="1347">
      <c r="B1347" s="6" t="inlineStr">
        <is>
          <t>Rate case (rates effective 1 January of the year; test-year values looked up to the left)</t>
        </is>
      </c>
      <c r="C1347" s="7" t="n"/>
      <c r="D1347" s="7" t="n"/>
      <c r="E1347" s="7" t="n"/>
      <c r="F1347" s="7" t="n"/>
      <c r="G1347" s="7" t="n"/>
      <c r="H1347" s="7" t="n"/>
      <c r="I1347" s="7" t="n"/>
      <c r="J1347" s="7" t="n"/>
      <c r="K1347" s="7" t="n"/>
      <c r="L1347" s="7" t="n"/>
      <c r="M1347" s="7" t="n"/>
      <c r="N1347" s="7" t="n"/>
    </row>
    <row r="1348">
      <c r="B1348" s="2" t="inlineStr">
        <is>
          <t>Rate case this year (1 = yes)</t>
        </is>
      </c>
      <c r="E1348" s="26">
        <f>IF(AND(E1333&gt;=pr_rc_first,MOD(E1333-pr_rc_first,pr_rc_cycle)=0),1,0)</f>
        <v/>
      </c>
      <c r="F1348" s="26">
        <f>IF(AND(F1333&gt;=pr_rc_first,MOD(F1333-pr_rc_first,pr_rc_cycle)=0),1,0)</f>
        <v/>
      </c>
      <c r="G1348" s="26">
        <f>IF(AND(G1333&gt;=pr_rc_first,MOD(G1333-pr_rc_first,pr_rc_cycle)=0),1,0)</f>
        <v/>
      </c>
      <c r="H1348" s="26">
        <f>IF(AND(H1333&gt;=pr_rc_first,MOD(H1333-pr_rc_first,pr_rc_cycle)=0),1,0)</f>
        <v/>
      </c>
      <c r="I1348" s="26">
        <f>IF(AND(I1333&gt;=pr_rc_first,MOD(I1333-pr_rc_first,pr_rc_cycle)=0),1,0)</f>
        <v/>
      </c>
      <c r="J1348" s="26">
        <f>IF(AND(J1333&gt;=pr_rc_first,MOD(J1333-pr_rc_first,pr_rc_cycle)=0),1,0)</f>
        <v/>
      </c>
      <c r="K1348" s="26">
        <f>IF(AND(K1333&gt;=pr_rc_first,MOD(K1333-pr_rc_first,pr_rc_cycle)=0),1,0)</f>
        <v/>
      </c>
      <c r="L1348" s="26">
        <f>IF(AND(L1333&gt;=pr_rc_first,MOD(L1333-pr_rc_first,pr_rc_cycle)=0),1,0)</f>
        <v/>
      </c>
      <c r="M1348" s="26">
        <f>IF(AND(M1333&gt;=pr_rc_first,MOD(M1333-pr_rc_first,pr_rc_cycle)=0),1,0)</f>
        <v/>
      </c>
      <c r="N1348" s="26">
        <f>IF(AND(N1333&gt;=pr_rc_first,MOD(N1333-pr_rc_first,pr_rc_cycle)=0),1,0)</f>
        <v/>
      </c>
    </row>
    <row r="1349">
      <c r="B1349" s="2" t="inlineStr">
        <is>
          <t>Test year</t>
        </is>
      </c>
      <c r="E1349" s="26">
        <f>E1333-pr_test_lag</f>
        <v/>
      </c>
      <c r="F1349" s="26">
        <f>F1333-pr_test_lag</f>
        <v/>
      </c>
      <c r="G1349" s="26">
        <f>G1333-pr_test_lag</f>
        <v/>
      </c>
      <c r="H1349" s="26">
        <f>H1333-pr_test_lag</f>
        <v/>
      </c>
      <c r="I1349" s="26">
        <f>I1333-pr_test_lag</f>
        <v/>
      </c>
      <c r="J1349" s="26">
        <f>J1333-pr_test_lag</f>
        <v/>
      </c>
      <c r="K1349" s="26">
        <f>K1333-pr_test_lag</f>
        <v/>
      </c>
      <c r="L1349" s="26">
        <f>L1333-pr_test_lag</f>
        <v/>
      </c>
      <c r="M1349" s="26">
        <f>M1333-pr_test_lag</f>
        <v/>
      </c>
      <c r="N1349" s="26">
        <f>N1333-pr_test_lag</f>
        <v/>
      </c>
    </row>
    <row r="1350">
      <c r="B1350" s="2" t="inlineStr">
        <is>
          <t>Test year of the latest rate case</t>
        </is>
      </c>
      <c r="D1350" s="26">
        <f>pr_close</f>
        <v/>
      </c>
      <c r="E1350" s="26">
        <f>IF(E1348=1,E1349,D1350)</f>
        <v/>
      </c>
      <c r="F1350" s="26">
        <f>IF(F1348=1,F1349,E1350)</f>
        <v/>
      </c>
      <c r="G1350" s="26">
        <f>IF(G1348=1,G1349,F1350)</f>
        <v/>
      </c>
      <c r="H1350" s="26">
        <f>IF(H1348=1,H1349,G1350)</f>
        <v/>
      </c>
      <c r="I1350" s="26">
        <f>IF(I1348=1,I1349,H1350)</f>
        <v/>
      </c>
      <c r="J1350" s="26">
        <f>IF(J1348=1,J1349,I1350)</f>
        <v/>
      </c>
      <c r="K1350" s="26">
        <f>IF(K1348=1,K1349,J1350)</f>
        <v/>
      </c>
      <c r="L1350" s="26">
        <f>IF(L1348=1,L1349,K1350)</f>
        <v/>
      </c>
      <c r="M1350" s="26">
        <f>IF(M1348=1,M1349,L1350)</f>
        <v/>
      </c>
      <c r="N1350" s="26">
        <f>IF(N1348=1,N1349,M1350)</f>
        <v/>
      </c>
    </row>
    <row r="1351">
      <c r="B1351" s="2" t="inlineStr">
        <is>
          <t>Rate base at the end of the test year</t>
        </is>
      </c>
      <c r="C1351" s="5" t="inlineStr">
        <is>
          <t>$ million</t>
        </is>
      </c>
      <c r="E1351" s="23">
        <f>INDEX($D$1390:D$1390,MATCH(MAX(E1349,pr_close),$D$1333:D$1333,0))</f>
        <v/>
      </c>
      <c r="F1351" s="23">
        <f>INDEX($D$1390:E$1390,MATCH(MAX(F1349,pr_close),$D$1333:E$1333,0))</f>
        <v/>
      </c>
      <c r="G1351" s="23">
        <f>INDEX($D$1390:F$1390,MATCH(MAX(G1349,pr_close),$D$1333:F$1333,0))</f>
        <v/>
      </c>
      <c r="H1351" s="23">
        <f>INDEX($D$1390:G$1390,MATCH(MAX(H1349,pr_close),$D$1333:G$1333,0))</f>
        <v/>
      </c>
      <c r="I1351" s="23">
        <f>INDEX($D$1390:H$1390,MATCH(MAX(I1349,pr_close),$D$1333:H$1333,0))</f>
        <v/>
      </c>
      <c r="J1351" s="23">
        <f>INDEX($D$1390:I$1390,MATCH(MAX(J1349,pr_close),$D$1333:I$1333,0))</f>
        <v/>
      </c>
      <c r="K1351" s="23">
        <f>INDEX($D$1390:J$1390,MATCH(MAX(K1349,pr_close),$D$1333:J$1333,0))</f>
        <v/>
      </c>
      <c r="L1351" s="23">
        <f>INDEX($D$1390:K$1390,MATCH(MAX(L1349,pr_close),$D$1333:K$1333,0))</f>
        <v/>
      </c>
      <c r="M1351" s="23">
        <f>INDEX($D$1390:L$1390,MATCH(MAX(M1349,pr_close),$D$1333:L$1333,0))</f>
        <v/>
      </c>
      <c r="N1351" s="23">
        <f>INDEX($D$1390:M$1390,MATCH(MAX(N1349,pr_close),$D$1333:M$1333,0))</f>
        <v/>
      </c>
    </row>
    <row r="1352">
      <c r="B1352" s="2" t="inlineStr">
        <is>
          <t>Embedded cost of debt in the test year</t>
        </is>
      </c>
      <c r="C1352" s="5" t="inlineStr">
        <is>
          <t>rate</t>
        </is>
      </c>
      <c r="E1352" s="27">
        <f>INDEX($D$1394:D$1394,MATCH(MAX(E1349,pr_close),$D$1333:D$1333,0))</f>
        <v/>
      </c>
      <c r="F1352" s="27">
        <f>INDEX($D$1394:E$1394,MATCH(MAX(F1349,pr_close),$D$1333:E$1333,0))</f>
        <v/>
      </c>
      <c r="G1352" s="27">
        <f>INDEX($D$1394:F$1394,MATCH(MAX(G1349,pr_close),$D$1333:F$1333,0))</f>
        <v/>
      </c>
      <c r="H1352" s="27">
        <f>INDEX($D$1394:G$1394,MATCH(MAX(H1349,pr_close),$D$1333:G$1333,0))</f>
        <v/>
      </c>
      <c r="I1352" s="27">
        <f>INDEX($D$1394:H$1394,MATCH(MAX(I1349,pr_close),$D$1333:H$1333,0))</f>
        <v/>
      </c>
      <c r="J1352" s="27">
        <f>INDEX($D$1394:I$1394,MATCH(MAX(J1349,pr_close),$D$1333:I$1333,0))</f>
        <v/>
      </c>
      <c r="K1352" s="27">
        <f>INDEX($D$1394:J$1394,MATCH(MAX(K1349,pr_close),$D$1333:J$1333,0))</f>
        <v/>
      </c>
      <c r="L1352" s="27">
        <f>INDEX($D$1394:K$1394,MATCH(MAX(L1349,pr_close),$D$1333:K$1333,0))</f>
        <v/>
      </c>
      <c r="M1352" s="27">
        <f>INDEX($D$1394:L$1394,MATCH(MAX(M1349,pr_close),$D$1333:L$1333,0))</f>
        <v/>
      </c>
      <c r="N1352" s="27">
        <f>INDEX($D$1394:M$1394,MATCH(MAX(N1349,pr_close),$D$1333:M$1333,0))</f>
        <v/>
      </c>
    </row>
    <row r="1353">
      <c r="B1353" s="2" t="inlineStr">
        <is>
          <t>O&amp;M in the test year</t>
        </is>
      </c>
      <c r="C1353" s="5" t="inlineStr">
        <is>
          <t>$ million</t>
        </is>
      </c>
      <c r="E1353" s="23">
        <f>INDEX($D$1375:D$1375,MATCH(MAX(E1349,pr_close),$D$1333:D$1333,0))</f>
        <v/>
      </c>
      <c r="F1353" s="23">
        <f>INDEX($D$1375:E$1375,MATCH(MAX(F1349,pr_close),$D$1333:E$1333,0))</f>
        <v/>
      </c>
      <c r="G1353" s="23">
        <f>INDEX($D$1375:F$1375,MATCH(MAX(G1349,pr_close),$D$1333:F$1333,0))</f>
        <v/>
      </c>
      <c r="H1353" s="23">
        <f>INDEX($D$1375:G$1375,MATCH(MAX(H1349,pr_close),$D$1333:G$1333,0))</f>
        <v/>
      </c>
      <c r="I1353" s="23">
        <f>INDEX($D$1375:H$1375,MATCH(MAX(I1349,pr_close),$D$1333:H$1333,0))</f>
        <v/>
      </c>
      <c r="J1353" s="23">
        <f>INDEX($D$1375:I$1375,MATCH(MAX(J1349,pr_close),$D$1333:I$1333,0))</f>
        <v/>
      </c>
      <c r="K1353" s="23">
        <f>INDEX($D$1375:J$1375,MATCH(MAX(K1349,pr_close),$D$1333:J$1333,0))</f>
        <v/>
      </c>
      <c r="L1353" s="23">
        <f>INDEX($D$1375:K$1375,MATCH(MAX(L1349,pr_close),$D$1333:K$1333,0))</f>
        <v/>
      </c>
      <c r="M1353" s="23">
        <f>INDEX($D$1375:L$1375,MATCH(MAX(M1349,pr_close),$D$1333:L$1333,0))</f>
        <v/>
      </c>
      <c r="N1353" s="23">
        <f>INDEX($D$1375:M$1375,MATCH(MAX(N1349,pr_close),$D$1333:M$1333,0))</f>
        <v/>
      </c>
    </row>
    <row r="1354">
      <c r="B1354" s="2" t="inlineStr">
        <is>
          <t>Authorized return on rate base</t>
        </is>
      </c>
      <c r="C1354" s="5" t="inlineStr">
        <is>
          <t>rate</t>
        </is>
      </c>
      <c r="E1354" s="27">
        <f>(pr_eq*pr_roe+(1-pr_eq)*E1352)</f>
        <v/>
      </c>
      <c r="F1354" s="27">
        <f>(pr_eq*pr_roe+(1-pr_eq)*F1352)</f>
        <v/>
      </c>
      <c r="G1354" s="27">
        <f>(pr_eq*pr_roe+(1-pr_eq)*G1352)</f>
        <v/>
      </c>
      <c r="H1354" s="27">
        <f>(pr_eq*pr_roe+(1-pr_eq)*H1352)</f>
        <v/>
      </c>
      <c r="I1354" s="27">
        <f>(pr_eq*pr_roe+(1-pr_eq)*I1352)</f>
        <v/>
      </c>
      <c r="J1354" s="27">
        <f>(pr_eq*pr_roe+(1-pr_eq)*J1352)</f>
        <v/>
      </c>
      <c r="K1354" s="27">
        <f>(pr_eq*pr_roe+(1-pr_eq)*K1352)</f>
        <v/>
      </c>
      <c r="L1354" s="27">
        <f>(pr_eq*pr_roe+(1-pr_eq)*L1352)</f>
        <v/>
      </c>
      <c r="M1354" s="27">
        <f>(pr_eq*pr_roe+(1-pr_eq)*M1352)</f>
        <v/>
      </c>
      <c r="N1354" s="27">
        <f>(pr_eq*pr_roe+(1-pr_eq)*N1352)</f>
        <v/>
      </c>
    </row>
    <row r="1355">
      <c r="B1355" s="2" t="inlineStr">
        <is>
          <t>Return</t>
        </is>
      </c>
      <c r="C1355" s="5" t="inlineStr">
        <is>
          <t>$ million</t>
        </is>
      </c>
      <c r="E1355" s="23">
        <f>E1354*E1351</f>
        <v/>
      </c>
      <c r="F1355" s="23">
        <f>F1354*F1351</f>
        <v/>
      </c>
      <c r="G1355" s="23">
        <f>G1354*G1351</f>
        <v/>
      </c>
      <c r="H1355" s="23">
        <f>H1354*H1351</f>
        <v/>
      </c>
      <c r="I1355" s="23">
        <f>I1354*I1351</f>
        <v/>
      </c>
      <c r="J1355" s="23">
        <f>J1354*J1351</f>
        <v/>
      </c>
      <c r="K1355" s="23">
        <f>K1354*K1351</f>
        <v/>
      </c>
      <c r="L1355" s="23">
        <f>L1354*L1351</f>
        <v/>
      </c>
      <c r="M1355" s="23">
        <f>M1354*M1351</f>
        <v/>
      </c>
      <c r="N1355" s="23">
        <f>N1354*N1351</f>
        <v/>
      </c>
    </row>
    <row r="1356">
      <c r="B1356" s="2" t="inlineStr">
        <is>
          <t>Income tax gross-up</t>
        </is>
      </c>
      <c r="C1356" s="5" t="inlineStr">
        <is>
          <t>$ million</t>
        </is>
      </c>
      <c r="E1356" s="23">
        <f>(pr_eq*pr_roe*pr_tax/(1-pr_tax))*E1351</f>
        <v/>
      </c>
      <c r="F1356" s="23">
        <f>(pr_eq*pr_roe*pr_tax/(1-pr_tax))*F1351</f>
        <v/>
      </c>
      <c r="G1356" s="23">
        <f>(pr_eq*pr_roe*pr_tax/(1-pr_tax))*G1351</f>
        <v/>
      </c>
      <c r="H1356" s="23">
        <f>(pr_eq*pr_roe*pr_tax/(1-pr_tax))*H1351</f>
        <v/>
      </c>
      <c r="I1356" s="23">
        <f>(pr_eq*pr_roe*pr_tax/(1-pr_tax))*I1351</f>
        <v/>
      </c>
      <c r="J1356" s="23">
        <f>(pr_eq*pr_roe*pr_tax/(1-pr_tax))*J1351</f>
        <v/>
      </c>
      <c r="K1356" s="23">
        <f>(pr_eq*pr_roe*pr_tax/(1-pr_tax))*K1351</f>
        <v/>
      </c>
      <c r="L1356" s="23">
        <f>(pr_eq*pr_roe*pr_tax/(1-pr_tax))*L1351</f>
        <v/>
      </c>
      <c r="M1356" s="23">
        <f>(pr_eq*pr_roe*pr_tax/(1-pr_tax))*M1351</f>
        <v/>
      </c>
      <c r="N1356" s="23">
        <f>(pr_eq*pr_roe*pr_tax/(1-pr_tax))*N1351</f>
        <v/>
      </c>
    </row>
    <row r="1357">
      <c r="B1357" s="2" t="inlineStr">
        <is>
          <t>Depreciation</t>
        </is>
      </c>
      <c r="C1357" s="5" t="inlineStr">
        <is>
          <t>$ million</t>
        </is>
      </c>
      <c r="E1357" s="23">
        <f>pr_dep*E1351</f>
        <v/>
      </c>
      <c r="F1357" s="23">
        <f>pr_dep*F1351</f>
        <v/>
      </c>
      <c r="G1357" s="23">
        <f>pr_dep*G1351</f>
        <v/>
      </c>
      <c r="H1357" s="23">
        <f>pr_dep*H1351</f>
        <v/>
      </c>
      <c r="I1357" s="23">
        <f>pr_dep*I1351</f>
        <v/>
      </c>
      <c r="J1357" s="23">
        <f>pr_dep*J1351</f>
        <v/>
      </c>
      <c r="K1357" s="23">
        <f>pr_dep*K1351</f>
        <v/>
      </c>
      <c r="L1357" s="23">
        <f>pr_dep*L1351</f>
        <v/>
      </c>
      <c r="M1357" s="23">
        <f>pr_dep*M1351</f>
        <v/>
      </c>
      <c r="N1357" s="23">
        <f>pr_dep*N1351</f>
        <v/>
      </c>
    </row>
    <row r="1358">
      <c r="B1358" s="2" t="inlineStr">
        <is>
          <t>Other taxes</t>
        </is>
      </c>
      <c r="C1358" s="5" t="inlineStr">
        <is>
          <t>$ million</t>
        </is>
      </c>
      <c r="E1358" s="23">
        <f>pr_ptax*E1351</f>
        <v/>
      </c>
      <c r="F1358" s="23">
        <f>pr_ptax*F1351</f>
        <v/>
      </c>
      <c r="G1358" s="23">
        <f>pr_ptax*G1351</f>
        <v/>
      </c>
      <c r="H1358" s="23">
        <f>pr_ptax*H1351</f>
        <v/>
      </c>
      <c r="I1358" s="23">
        <f>pr_ptax*I1351</f>
        <v/>
      </c>
      <c r="J1358" s="23">
        <f>pr_ptax*J1351</f>
        <v/>
      </c>
      <c r="K1358" s="23">
        <f>pr_ptax*K1351</f>
        <v/>
      </c>
      <c r="L1358" s="23">
        <f>pr_ptax*L1351</f>
        <v/>
      </c>
      <c r="M1358" s="23">
        <f>pr_ptax*M1351</f>
        <v/>
      </c>
      <c r="N1358" s="23">
        <f>pr_ptax*N1351</f>
        <v/>
      </c>
    </row>
    <row r="1359">
      <c r="B1359" s="2" t="inlineStr">
        <is>
          <t>O&amp;M (test year, known and measurable)</t>
        </is>
      </c>
      <c r="C1359" s="5" t="inlineStr">
        <is>
          <t>$ million</t>
        </is>
      </c>
      <c r="E1359" s="23">
        <f>E1353*(1+pr_om_infl)*(1+pr_growth)</f>
        <v/>
      </c>
      <c r="F1359" s="23">
        <f>F1353*(1+pr_om_infl)*(1+pr_growth)</f>
        <v/>
      </c>
      <c r="G1359" s="23">
        <f>G1353*(1+pr_om_infl)*(1+pr_growth)</f>
        <v/>
      </c>
      <c r="H1359" s="23">
        <f>H1353*(1+pr_om_infl)*(1+pr_growth)</f>
        <v/>
      </c>
      <c r="I1359" s="23">
        <f>I1353*(1+pr_om_infl)*(1+pr_growth)</f>
        <v/>
      </c>
      <c r="J1359" s="23">
        <f>J1353*(1+pr_om_infl)*(1+pr_growth)</f>
        <v/>
      </c>
      <c r="K1359" s="23">
        <f>K1353*(1+pr_om_infl)*(1+pr_growth)</f>
        <v/>
      </c>
      <c r="L1359" s="23">
        <f>L1353*(1+pr_om_infl)*(1+pr_growth)</f>
        <v/>
      </c>
      <c r="M1359" s="23">
        <f>M1353*(1+pr_om_infl)*(1+pr_growth)</f>
        <v/>
      </c>
      <c r="N1359" s="23">
        <f>N1353*(1+pr_om_infl)*(1+pr_growth)</f>
        <v/>
      </c>
    </row>
    <row r="1360">
      <c r="B1360" s="2" t="inlineStr">
        <is>
          <t>Revenue requirement (test-year connections)</t>
        </is>
      </c>
      <c r="C1360" s="5" t="inlineStr">
        <is>
          <t>$ million</t>
        </is>
      </c>
      <c r="E1360" s="23">
        <f>SUM(E1355:E1359)</f>
        <v/>
      </c>
      <c r="F1360" s="23">
        <f>SUM(F1355:F1359)</f>
        <v/>
      </c>
      <c r="G1360" s="23">
        <f>SUM(G1355:G1359)</f>
        <v/>
      </c>
      <c r="H1360" s="23">
        <f>SUM(H1355:H1359)</f>
        <v/>
      </c>
      <c r="I1360" s="23">
        <f>SUM(I1355:I1359)</f>
        <v/>
      </c>
      <c r="J1360" s="23">
        <f>SUM(J1355:J1359)</f>
        <v/>
      </c>
      <c r="K1360" s="23">
        <f>SUM(K1355:K1359)</f>
        <v/>
      </c>
      <c r="L1360" s="23">
        <f>SUM(L1355:L1359)</f>
        <v/>
      </c>
      <c r="M1360" s="23">
        <f>SUM(M1355:M1359)</f>
        <v/>
      </c>
      <c r="N1360" s="23">
        <f>SUM(N1355:N1359)</f>
        <v/>
      </c>
    </row>
    <row r="1361">
      <c r="B1361" s="2" t="inlineStr">
        <is>
          <t>Revenue requirement on effective-year connections</t>
        </is>
      </c>
      <c r="C1361" s="5" t="inlineStr">
        <is>
          <t>$ million</t>
        </is>
      </c>
      <c r="E1361" s="23">
        <f>E1360*(1+pr_growth)</f>
        <v/>
      </c>
      <c r="F1361" s="23">
        <f>F1360*(1+pr_growth)</f>
        <v/>
      </c>
      <c r="G1361" s="23">
        <f>G1360*(1+pr_growth)</f>
        <v/>
      </c>
      <c r="H1361" s="23">
        <f>H1360*(1+pr_growth)</f>
        <v/>
      </c>
      <c r="I1361" s="23">
        <f>I1360*(1+pr_growth)</f>
        <v/>
      </c>
      <c r="J1361" s="23">
        <f>J1360*(1+pr_growth)</f>
        <v/>
      </c>
      <c r="K1361" s="23">
        <f>K1360*(1+pr_growth)</f>
        <v/>
      </c>
      <c r="L1361" s="23">
        <f>L1360*(1+pr_growth)</f>
        <v/>
      </c>
      <c r="M1361" s="23">
        <f>M1360*(1+pr_growth)</f>
        <v/>
      </c>
      <c r="N1361" s="23">
        <f>N1360*(1+pr_growth)</f>
        <v/>
      </c>
    </row>
    <row r="1362">
      <c r="B1362" s="2" t="inlineStr">
        <is>
          <t>Revenue at existing rates</t>
        </is>
      </c>
      <c r="C1362" s="5" t="inlineStr">
        <is>
          <t>$ million</t>
        </is>
      </c>
      <c r="E1362" s="23">
        <f>IF(E1333=(pr_close+1),D1368,D1368*(1+pr_growth)*(1-pr_vol_share*IF(pr_decoupling=1,0,pr_usage))+D1369+D1371)</f>
        <v/>
      </c>
      <c r="F1362" s="23">
        <f>IF(F1333=(pr_close+1),E1368,E1368*(1+pr_growth)*(1-pr_vol_share*IF(pr_decoupling=1,0,pr_usage))+E1369+E1371)</f>
        <v/>
      </c>
      <c r="G1362" s="23">
        <f>IF(G1333=(pr_close+1),F1368,F1368*(1+pr_growth)*(1-pr_vol_share*IF(pr_decoupling=1,0,pr_usage))+F1369+F1371)</f>
        <v/>
      </c>
      <c r="H1362" s="23">
        <f>IF(H1333=(pr_close+1),G1368,G1368*(1+pr_growth)*(1-pr_vol_share*IF(pr_decoupling=1,0,pr_usage))+G1369+G1371)</f>
        <v/>
      </c>
      <c r="I1362" s="23">
        <f>IF(I1333=(pr_close+1),H1368,H1368*(1+pr_growth)*(1-pr_vol_share*IF(pr_decoupling=1,0,pr_usage))+H1369+H1371)</f>
        <v/>
      </c>
      <c r="J1362" s="23">
        <f>IF(J1333=(pr_close+1),I1368,I1368*(1+pr_growth)*(1-pr_vol_share*IF(pr_decoupling=1,0,pr_usage))+I1369+I1371)</f>
        <v/>
      </c>
      <c r="K1362" s="23">
        <f>IF(K1333=(pr_close+1),J1368,J1368*(1+pr_growth)*(1-pr_vol_share*IF(pr_decoupling=1,0,pr_usage))+J1369+J1371)</f>
        <v/>
      </c>
      <c r="L1362" s="23">
        <f>IF(L1333=(pr_close+1),K1368,K1368*(1+pr_growth)*(1-pr_vol_share*IF(pr_decoupling=1,0,pr_usage))+K1369+K1371)</f>
        <v/>
      </c>
      <c r="M1362" s="23">
        <f>IF(M1333=(pr_close+1),L1368,L1368*(1+pr_growth)*(1-pr_vol_share*IF(pr_decoupling=1,0,pr_usage))+L1369+L1371)</f>
        <v/>
      </c>
      <c r="N1362" s="23">
        <f>IF(N1333=(pr_close+1),M1368,M1368*(1+pr_growth)*(1-pr_vol_share*IF(pr_decoupling=1,0,pr_usage))+M1369+M1371)</f>
        <v/>
      </c>
    </row>
    <row r="1363">
      <c r="B1363" s="2" t="inlineStr">
        <is>
          <t>Increase granted</t>
        </is>
      </c>
      <c r="C1363" s="5" t="inlineStr">
        <is>
          <t>share</t>
        </is>
      </c>
      <c r="E1363" s="20">
        <f>E1361/E1362-1</f>
        <v/>
      </c>
      <c r="F1363" s="20">
        <f>F1361/F1362-1</f>
        <v/>
      </c>
      <c r="G1363" s="20">
        <f>G1361/G1362-1</f>
        <v/>
      </c>
      <c r="H1363" s="20">
        <f>H1361/H1362-1</f>
        <v/>
      </c>
      <c r="I1363" s="20">
        <f>I1361/I1362-1</f>
        <v/>
      </c>
      <c r="J1363" s="20">
        <f>J1361/J1362-1</f>
        <v/>
      </c>
      <c r="K1363" s="20">
        <f>K1361/K1362-1</f>
        <v/>
      </c>
      <c r="L1363" s="20">
        <f>L1361/L1362-1</f>
        <v/>
      </c>
      <c r="M1363" s="20">
        <f>M1361/M1362-1</f>
        <v/>
      </c>
      <c r="N1363" s="20">
        <f>N1361/N1362-1</f>
        <v/>
      </c>
    </row>
    <row r="1364">
      <c r="B1364" s="2" t="inlineStr">
        <is>
          <t>Revenue requirement requested (at the requested ROE)</t>
        </is>
      </c>
      <c r="C1364" s="5" t="inlineStr">
        <is>
          <t>$ million</t>
        </is>
      </c>
      <c r="E1364" s="23">
        <f>(pr_eq*pr_roe_ask+(1-pr_eq)*E1352)*E1351+pr_eq*pr_roe_ask*E1351*pr_tax/(1-pr_tax)+E1357+E1358+E1359</f>
        <v/>
      </c>
      <c r="F1364" s="23">
        <f>(pr_eq*pr_roe_ask+(1-pr_eq)*F1352)*F1351+pr_eq*pr_roe_ask*F1351*pr_tax/(1-pr_tax)+F1357+F1358+F1359</f>
        <v/>
      </c>
      <c r="G1364" s="23">
        <f>(pr_eq*pr_roe_ask+(1-pr_eq)*G1352)*G1351+pr_eq*pr_roe_ask*G1351*pr_tax/(1-pr_tax)+G1357+G1358+G1359</f>
        <v/>
      </c>
      <c r="H1364" s="23">
        <f>(pr_eq*pr_roe_ask+(1-pr_eq)*H1352)*H1351+pr_eq*pr_roe_ask*H1351*pr_tax/(1-pr_tax)+H1357+H1358+H1359</f>
        <v/>
      </c>
      <c r="I1364" s="23">
        <f>(pr_eq*pr_roe_ask+(1-pr_eq)*I1352)*I1351+pr_eq*pr_roe_ask*I1351*pr_tax/(1-pr_tax)+I1357+I1358+I1359</f>
        <v/>
      </c>
      <c r="J1364" s="23">
        <f>(pr_eq*pr_roe_ask+(1-pr_eq)*J1352)*J1351+pr_eq*pr_roe_ask*J1351*pr_tax/(1-pr_tax)+J1357+J1358+J1359</f>
        <v/>
      </c>
      <c r="K1364" s="23">
        <f>(pr_eq*pr_roe_ask+(1-pr_eq)*K1352)*K1351+pr_eq*pr_roe_ask*K1351*pr_tax/(1-pr_tax)+K1357+K1358+K1359</f>
        <v/>
      </c>
      <c r="L1364" s="23">
        <f>(pr_eq*pr_roe_ask+(1-pr_eq)*L1352)*L1351+pr_eq*pr_roe_ask*L1351*pr_tax/(1-pr_tax)+L1357+L1358+L1359</f>
        <v/>
      </c>
      <c r="M1364" s="23">
        <f>(pr_eq*pr_roe_ask+(1-pr_eq)*M1352)*M1351+pr_eq*pr_roe_ask*M1351*pr_tax/(1-pr_tax)+M1357+M1358+M1359</f>
        <v/>
      </c>
      <c r="N1364" s="23">
        <f>(pr_eq*pr_roe_ask+(1-pr_eq)*N1352)*N1351+pr_eq*pr_roe_ask*N1351*pr_tax/(1-pr_tax)+N1357+N1358+N1359</f>
        <v/>
      </c>
    </row>
    <row r="1365">
      <c r="B1365" s="2" t="inlineStr">
        <is>
          <t>Increase requested</t>
        </is>
      </c>
      <c r="C1365" s="5" t="inlineStr">
        <is>
          <t>share</t>
        </is>
      </c>
      <c r="E1365" s="20">
        <f>E1364*(1+pr_growth)/E1362-1</f>
        <v/>
      </c>
      <c r="F1365" s="20">
        <f>F1364*(1+pr_growth)/F1362-1</f>
        <v/>
      </c>
      <c r="G1365" s="20">
        <f>G1364*(1+pr_growth)/G1362-1</f>
        <v/>
      </c>
      <c r="H1365" s="20">
        <f>H1364*(1+pr_growth)/H1362-1</f>
        <v/>
      </c>
      <c r="I1365" s="20">
        <f>I1364*(1+pr_growth)/I1362-1</f>
        <v/>
      </c>
      <c r="J1365" s="20">
        <f>J1364*(1+pr_growth)/J1362-1</f>
        <v/>
      </c>
      <c r="K1365" s="20">
        <f>K1364*(1+pr_growth)/K1362-1</f>
        <v/>
      </c>
      <c r="L1365" s="20">
        <f>L1364*(1+pr_growth)/L1362-1</f>
        <v/>
      </c>
      <c r="M1365" s="20">
        <f>M1364*(1+pr_growth)/M1362-1</f>
        <v/>
      </c>
      <c r="N1365" s="20">
        <f>N1364*(1+pr_growth)/N1362-1</f>
        <v/>
      </c>
    </row>
    <row r="1367">
      <c r="B1367" s="6" t="inlineStr">
        <is>
          <t>Revenue ($ million)</t>
        </is>
      </c>
      <c r="C1367" s="7" t="n"/>
      <c r="D1367" s="7" t="n"/>
      <c r="E1367" s="7" t="n"/>
      <c r="F1367" s="7" t="n"/>
      <c r="G1367" s="7" t="n"/>
      <c r="H1367" s="7" t="n"/>
      <c r="I1367" s="7" t="n"/>
      <c r="J1367" s="7" t="n"/>
      <c r="K1367" s="7" t="n"/>
      <c r="L1367" s="7" t="n"/>
      <c r="M1367" s="7" t="n"/>
      <c r="N1367" s="7" t="n"/>
    </row>
    <row r="1368">
      <c r="B1368" s="2" t="inlineStr">
        <is>
          <t>Base revenue (rate case, or prior year x growth x volume erosion)</t>
        </is>
      </c>
      <c r="C1368" s="5" t="inlineStr">
        <is>
          <t>$ million</t>
        </is>
      </c>
      <c r="D1368" s="23">
        <f>pr_rev_2028/((1+pr_growth)*(1-pr_vol_share*IF(pr_decoupling=1,0,pr_usage)))</f>
        <v/>
      </c>
      <c r="E1368" s="23">
        <f>IF(E1348=1,E1361,D1368*(1+pr_growth)*(1-pr_vol_share*IF(pr_decoupling=1,0,pr_usage)))</f>
        <v/>
      </c>
      <c r="F1368" s="23">
        <f>IF(F1348=1,F1361,E1368*(1+pr_growth)*(1-pr_vol_share*IF(pr_decoupling=1,0,pr_usage)))</f>
        <v/>
      </c>
      <c r="G1368" s="23">
        <f>IF(G1348=1,G1361,F1368*(1+pr_growth)*(1-pr_vol_share*IF(pr_decoupling=1,0,pr_usage)))</f>
        <v/>
      </c>
      <c r="H1368" s="23">
        <f>IF(H1348=1,H1361,G1368*(1+pr_growth)*(1-pr_vol_share*IF(pr_decoupling=1,0,pr_usage)))</f>
        <v/>
      </c>
      <c r="I1368" s="23">
        <f>IF(I1348=1,I1361,H1368*(1+pr_growth)*(1-pr_vol_share*IF(pr_decoupling=1,0,pr_usage)))</f>
        <v/>
      </c>
      <c r="J1368" s="23">
        <f>IF(J1348=1,J1361,I1368*(1+pr_growth)*(1-pr_vol_share*IF(pr_decoupling=1,0,pr_usage)))</f>
        <v/>
      </c>
      <c r="K1368" s="23">
        <f>IF(K1348=1,K1361,J1368*(1+pr_growth)*(1-pr_vol_share*IF(pr_decoupling=1,0,pr_usage)))</f>
        <v/>
      </c>
      <c r="L1368" s="23">
        <f>IF(L1348=1,L1361,K1368*(1+pr_growth)*(1-pr_vol_share*IF(pr_decoupling=1,0,pr_usage)))</f>
        <v/>
      </c>
      <c r="M1368" s="23">
        <f>IF(M1348=1,M1361,L1368*(1+pr_growth)*(1-pr_vol_share*IF(pr_decoupling=1,0,pr_usage)))</f>
        <v/>
      </c>
      <c r="N1368" s="23">
        <f>IF(N1348=1,N1361,M1368*(1+pr_growth)*(1-pr_vol_share*IF(pr_decoupling=1,0,pr_usage)))</f>
        <v/>
      </c>
    </row>
    <row r="1369">
      <c r="B1369" s="2" t="inlineStr">
        <is>
          <t>Fennick revenue at its old rates (until the next rate case)</t>
        </is>
      </c>
      <c r="C1369" s="5" t="inlineStr">
        <is>
          <t>$ million</t>
        </is>
      </c>
      <c r="E1369" s="23">
        <f>IF(AND(pr_fen_on=1,E1333&gt;pr_fen_year,SUMIFS($D$1348:E$1348,$D$1333:E$1333,"&gt;"&amp;pr_fen_year)=0),pr_fen_rev,0)</f>
        <v/>
      </c>
      <c r="F1369" s="23">
        <f>IF(AND(pr_fen_on=1,F1333&gt;pr_fen_year,SUMIFS($D$1348:F$1348,$D$1333:F$1333,"&gt;"&amp;pr_fen_year)=0),pr_fen_rev,0)</f>
        <v/>
      </c>
      <c r="G1369" s="23">
        <f>IF(AND(pr_fen_on=1,G1333&gt;pr_fen_year,SUMIFS($D$1348:G$1348,$D$1333:G$1333,"&gt;"&amp;pr_fen_year)=0),pr_fen_rev,0)</f>
        <v/>
      </c>
      <c r="H1369" s="23">
        <f>IF(AND(pr_fen_on=1,H1333&gt;pr_fen_year,SUMIFS($D$1348:H$1348,$D$1333:H$1333,"&gt;"&amp;pr_fen_year)=0),pr_fen_rev,0)</f>
        <v/>
      </c>
      <c r="I1369" s="23">
        <f>IF(AND(pr_fen_on=1,I1333&gt;pr_fen_year,SUMIFS($D$1348:I$1348,$D$1333:I$1333,"&gt;"&amp;pr_fen_year)=0),pr_fen_rev,0)</f>
        <v/>
      </c>
      <c r="J1369" s="23">
        <f>IF(AND(pr_fen_on=1,J1333&gt;pr_fen_year,SUMIFS($D$1348:J$1348,$D$1333:J$1333,"&gt;"&amp;pr_fen_year)=0),pr_fen_rev,0)</f>
        <v/>
      </c>
      <c r="K1369" s="23">
        <f>IF(AND(pr_fen_on=1,K1333&gt;pr_fen_year,SUMIFS($D$1348:K$1348,$D$1333:K$1333,"&gt;"&amp;pr_fen_year)=0),pr_fen_rev,0)</f>
        <v/>
      </c>
      <c r="L1369" s="23">
        <f>IF(AND(pr_fen_on=1,L1333&gt;pr_fen_year,SUMIFS($D$1348:L$1348,$D$1333:L$1333,"&gt;"&amp;pr_fen_year)=0),pr_fen_rev,0)</f>
        <v/>
      </c>
      <c r="M1369" s="23">
        <f>IF(AND(pr_fen_on=1,M1333&gt;pr_fen_year,SUMIFS($D$1348:M$1348,$D$1333:M$1333,"&gt;"&amp;pr_fen_year)=0),pr_fen_rev,0)</f>
        <v/>
      </c>
      <c r="N1369" s="23">
        <f>IF(AND(pr_fen_on=1,N1333&gt;pr_fen_year,SUMIFS($D$1348:N$1348,$D$1333:N$1333,"&gt;"&amp;pr_fen_year)=0),pr_fen_rev,0)</f>
        <v/>
      </c>
    </row>
    <row r="1370">
      <c r="B1370" s="2" t="inlineStr">
        <is>
          <t>DSIC pool: eligible plant since the latest test year</t>
        </is>
      </c>
      <c r="C1370" s="5" t="inlineStr">
        <is>
          <t>$ million</t>
        </is>
      </c>
      <c r="E1370" s="23">
        <f>IF(E1333=(pr_close+1),0,SUMIFS($D$1345:D$1345,$D$1333:D$1333,"&gt;"&amp;E1350))</f>
        <v/>
      </c>
      <c r="F1370" s="23">
        <f>IF(F1333=(pr_close+1),0,SUMIFS($D$1345:E$1345,$D$1333:E$1333,"&gt;"&amp;F1350))</f>
        <v/>
      </c>
      <c r="G1370" s="23">
        <f>IF(G1333=(pr_close+1),0,SUMIFS($D$1345:F$1345,$D$1333:F$1333,"&gt;"&amp;G1350))</f>
        <v/>
      </c>
      <c r="H1370" s="23">
        <f>IF(H1333=(pr_close+1),0,SUMIFS($D$1345:G$1345,$D$1333:G$1333,"&gt;"&amp;H1350))</f>
        <v/>
      </c>
      <c r="I1370" s="23">
        <f>IF(I1333=(pr_close+1),0,SUMIFS($D$1345:H$1345,$D$1333:H$1333,"&gt;"&amp;I1350))</f>
        <v/>
      </c>
      <c r="J1370" s="23">
        <f>IF(J1333=(pr_close+1),0,SUMIFS($D$1345:I$1345,$D$1333:I$1333,"&gt;"&amp;J1350))</f>
        <v/>
      </c>
      <c r="K1370" s="23">
        <f>IF(K1333=(pr_close+1),0,SUMIFS($D$1345:J$1345,$D$1333:J$1333,"&gt;"&amp;K1350))</f>
        <v/>
      </c>
      <c r="L1370" s="23">
        <f>IF(L1333=(pr_close+1),0,SUMIFS($D$1345:K$1345,$D$1333:K$1333,"&gt;"&amp;L1350))</f>
        <v/>
      </c>
      <c r="M1370" s="23">
        <f>IF(M1333=(pr_close+1),0,SUMIFS($D$1345:L$1345,$D$1333:L$1333,"&gt;"&amp;M1350))</f>
        <v/>
      </c>
      <c r="N1370" s="23">
        <f>IF(N1333=(pr_close+1),0,SUMIFS($D$1345:M$1345,$D$1333:M$1333,"&gt;"&amp;N1350))</f>
        <v/>
      </c>
    </row>
    <row r="1371">
      <c r="B1371" s="2" t="inlineStr">
        <is>
          <t>DSIC surcharge (capped)</t>
        </is>
      </c>
      <c r="C1371" s="5" t="inlineStr">
        <is>
          <t>$ million</t>
        </is>
      </c>
      <c r="E1371" s="23">
        <f>IF(AND(pr_dsic=1,E1333&gt;(pr_close+1)),MIN(pr_dsic_cap*E1368,E1370*((pr_eq*pr_roe+(1-pr_eq)*D1394)+(pr_eq*pr_roe*pr_tax/(1-pr_tax))+pr_dep)),0)</f>
        <v/>
      </c>
      <c r="F1371" s="23">
        <f>IF(AND(pr_dsic=1,F1333&gt;(pr_close+1)),MIN(pr_dsic_cap*F1368,F1370*((pr_eq*pr_roe+(1-pr_eq)*E1394)+(pr_eq*pr_roe*pr_tax/(1-pr_tax))+pr_dep)),0)</f>
        <v/>
      </c>
      <c r="G1371" s="23">
        <f>IF(AND(pr_dsic=1,G1333&gt;(pr_close+1)),MIN(pr_dsic_cap*G1368,G1370*((pr_eq*pr_roe+(1-pr_eq)*F1394)+(pr_eq*pr_roe*pr_tax/(1-pr_tax))+pr_dep)),0)</f>
        <v/>
      </c>
      <c r="H1371" s="23">
        <f>IF(AND(pr_dsic=1,H1333&gt;(pr_close+1)),MIN(pr_dsic_cap*H1368,H1370*((pr_eq*pr_roe+(1-pr_eq)*G1394)+(pr_eq*pr_roe*pr_tax/(1-pr_tax))+pr_dep)),0)</f>
        <v/>
      </c>
      <c r="I1371" s="23">
        <f>IF(AND(pr_dsic=1,I1333&gt;(pr_close+1)),MIN(pr_dsic_cap*I1368,I1370*((pr_eq*pr_roe+(1-pr_eq)*H1394)+(pr_eq*pr_roe*pr_tax/(1-pr_tax))+pr_dep)),0)</f>
        <v/>
      </c>
      <c r="J1371" s="23">
        <f>IF(AND(pr_dsic=1,J1333&gt;(pr_close+1)),MIN(pr_dsic_cap*J1368,J1370*((pr_eq*pr_roe+(1-pr_eq)*I1394)+(pr_eq*pr_roe*pr_tax/(1-pr_tax))+pr_dep)),0)</f>
        <v/>
      </c>
      <c r="K1371" s="23">
        <f>IF(AND(pr_dsic=1,K1333&gt;(pr_close+1)),MIN(pr_dsic_cap*K1368,K1370*((pr_eq*pr_roe+(1-pr_eq)*J1394)+(pr_eq*pr_roe*pr_tax/(1-pr_tax))+pr_dep)),0)</f>
        <v/>
      </c>
      <c r="L1371" s="23">
        <f>IF(AND(pr_dsic=1,L1333&gt;(pr_close+1)),MIN(pr_dsic_cap*L1368,L1370*((pr_eq*pr_roe+(1-pr_eq)*K1394)+(pr_eq*pr_roe*pr_tax/(1-pr_tax))+pr_dep)),0)</f>
        <v/>
      </c>
      <c r="M1371" s="23">
        <f>IF(AND(pr_dsic=1,M1333&gt;(pr_close+1)),MIN(pr_dsic_cap*M1368,M1370*((pr_eq*pr_roe+(1-pr_eq)*L1394)+(pr_eq*pr_roe*pr_tax/(1-pr_tax))+pr_dep)),0)</f>
        <v/>
      </c>
      <c r="N1371" s="23">
        <f>IF(AND(pr_dsic=1,N1333&gt;(pr_close+1)),MIN(pr_dsic_cap*N1368,N1370*((pr_eq*pr_roe+(1-pr_eq)*M1394)+(pr_eq*pr_roe*pr_tax/(1-pr_tax))+pr_dep)),0)</f>
        <v/>
      </c>
    </row>
    <row r="1372">
      <c r="B1372" s="3" t="inlineStr">
        <is>
          <t>Revenue</t>
        </is>
      </c>
      <c r="C1372" s="5" t="inlineStr">
        <is>
          <t>$ million</t>
        </is>
      </c>
      <c r="E1372" s="23">
        <f>E1368+E1369+E1371</f>
        <v/>
      </c>
      <c r="F1372" s="23">
        <f>F1368+F1369+F1371</f>
        <v/>
      </c>
      <c r="G1372" s="23">
        <f>G1368+G1369+G1371</f>
        <v/>
      </c>
      <c r="H1372" s="23">
        <f>H1368+H1369+H1371</f>
        <v/>
      </c>
      <c r="I1372" s="23">
        <f>I1368+I1369+I1371</f>
        <v/>
      </c>
      <c r="J1372" s="23">
        <f>J1368+J1369+J1371</f>
        <v/>
      </c>
      <c r="K1372" s="23">
        <f>K1368+K1369+K1371</f>
        <v/>
      </c>
      <c r="L1372" s="23">
        <f>L1368+L1369+L1371</f>
        <v/>
      </c>
      <c r="M1372" s="23">
        <f>M1368+M1369+M1371</f>
        <v/>
      </c>
      <c r="N1372" s="23">
        <f>N1368+N1369+N1371</f>
        <v/>
      </c>
    </row>
    <row r="1374">
      <c r="B1374" s="6" t="inlineStr">
        <is>
          <t>Costs and income ($ million)</t>
        </is>
      </c>
      <c r="C1374" s="7" t="n"/>
      <c r="D1374" s="7" t="n"/>
      <c r="E1374" s="7" t="n"/>
      <c r="F1374" s="7" t="n"/>
      <c r="G1374" s="7" t="n"/>
      <c r="H1374" s="7" t="n"/>
      <c r="I1374" s="7" t="n"/>
      <c r="J1374" s="7" t="n"/>
      <c r="K1374" s="7" t="n"/>
      <c r="L1374" s="7" t="n"/>
      <c r="M1374" s="7" t="n"/>
      <c r="N1374" s="7" t="n"/>
    </row>
    <row r="1375">
      <c r="B1375" s="2" t="inlineStr">
        <is>
          <t>Operation and maintenance (with PFAS and Fennick)</t>
        </is>
      </c>
      <c r="C1375" s="5" t="inlineStr">
        <is>
          <t>$ million</t>
        </is>
      </c>
      <c r="D1375" s="23">
        <f>pr_om_2028/((1+pr_om_infl)*(1+pr_growth))</f>
        <v/>
      </c>
      <c r="E1375" s="23">
        <f>pr_om_2028*((1+pr_om_infl)*(1+pr_growth))^E1334+IF(E1333&gt;=pr_pfas_om_y+pr_pfas_delay,pr_pfas_om*(1+pr_pfas_om_esc)^(E1333-pr_pfas_om_y),0)+IF(AND(pr_fen_on=1,E1333&gt;pr_fen_year),pr_fen_om*(1+pr_fen_esc)^(E1333-pr_fen_year-1),0)</f>
        <v/>
      </c>
      <c r="F1375" s="23">
        <f>pr_om_2028*((1+pr_om_infl)*(1+pr_growth))^F1334+IF(F1333&gt;=pr_pfas_om_y+pr_pfas_delay,pr_pfas_om*(1+pr_pfas_om_esc)^(F1333-pr_pfas_om_y),0)+IF(AND(pr_fen_on=1,F1333&gt;pr_fen_year),pr_fen_om*(1+pr_fen_esc)^(F1333-pr_fen_year-1),0)</f>
        <v/>
      </c>
      <c r="G1375" s="23">
        <f>pr_om_2028*((1+pr_om_infl)*(1+pr_growth))^G1334+IF(G1333&gt;=pr_pfas_om_y+pr_pfas_delay,pr_pfas_om*(1+pr_pfas_om_esc)^(G1333-pr_pfas_om_y),0)+IF(AND(pr_fen_on=1,G1333&gt;pr_fen_year),pr_fen_om*(1+pr_fen_esc)^(G1333-pr_fen_year-1),0)</f>
        <v/>
      </c>
      <c r="H1375" s="23">
        <f>pr_om_2028*((1+pr_om_infl)*(1+pr_growth))^H1334+IF(H1333&gt;=pr_pfas_om_y+pr_pfas_delay,pr_pfas_om*(1+pr_pfas_om_esc)^(H1333-pr_pfas_om_y),0)+IF(AND(pr_fen_on=1,H1333&gt;pr_fen_year),pr_fen_om*(1+pr_fen_esc)^(H1333-pr_fen_year-1),0)</f>
        <v/>
      </c>
      <c r="I1375" s="23">
        <f>pr_om_2028*((1+pr_om_infl)*(1+pr_growth))^I1334+IF(I1333&gt;=pr_pfas_om_y+pr_pfas_delay,pr_pfas_om*(1+pr_pfas_om_esc)^(I1333-pr_pfas_om_y),0)+IF(AND(pr_fen_on=1,I1333&gt;pr_fen_year),pr_fen_om*(1+pr_fen_esc)^(I1333-pr_fen_year-1),0)</f>
        <v/>
      </c>
      <c r="J1375" s="23">
        <f>pr_om_2028*((1+pr_om_infl)*(1+pr_growth))^J1334+IF(J1333&gt;=pr_pfas_om_y+pr_pfas_delay,pr_pfas_om*(1+pr_pfas_om_esc)^(J1333-pr_pfas_om_y),0)+IF(AND(pr_fen_on=1,J1333&gt;pr_fen_year),pr_fen_om*(1+pr_fen_esc)^(J1333-pr_fen_year-1),0)</f>
        <v/>
      </c>
      <c r="K1375" s="23">
        <f>pr_om_2028*((1+pr_om_infl)*(1+pr_growth))^K1334+IF(K1333&gt;=pr_pfas_om_y+pr_pfas_delay,pr_pfas_om*(1+pr_pfas_om_esc)^(K1333-pr_pfas_om_y),0)+IF(AND(pr_fen_on=1,K1333&gt;pr_fen_year),pr_fen_om*(1+pr_fen_esc)^(K1333-pr_fen_year-1),0)</f>
        <v/>
      </c>
      <c r="L1375" s="23">
        <f>pr_om_2028*((1+pr_om_infl)*(1+pr_growth))^L1334+IF(L1333&gt;=pr_pfas_om_y+pr_pfas_delay,pr_pfas_om*(1+pr_pfas_om_esc)^(L1333-pr_pfas_om_y),0)+IF(AND(pr_fen_on=1,L1333&gt;pr_fen_year),pr_fen_om*(1+pr_fen_esc)^(L1333-pr_fen_year-1),0)</f>
        <v/>
      </c>
      <c r="M1375" s="23">
        <f>pr_om_2028*((1+pr_om_infl)*(1+pr_growth))^M1334+IF(M1333&gt;=pr_pfas_om_y+pr_pfas_delay,pr_pfas_om*(1+pr_pfas_om_esc)^(M1333-pr_pfas_om_y),0)+IF(AND(pr_fen_on=1,M1333&gt;pr_fen_year),pr_fen_om*(1+pr_fen_esc)^(M1333-pr_fen_year-1),0)</f>
        <v/>
      </c>
      <c r="N1375" s="23">
        <f>pr_om_2028*((1+pr_om_infl)*(1+pr_growth))^N1334+IF(N1333&gt;=pr_pfas_om_y+pr_pfas_delay,pr_pfas_om*(1+pr_pfas_om_esc)^(N1333-pr_pfas_om_y),0)+IF(AND(pr_fen_on=1,N1333&gt;pr_fen_year),pr_fen_om*(1+pr_fen_esc)^(N1333-pr_fen_year-1),0)</f>
        <v/>
      </c>
    </row>
    <row r="1376">
      <c r="B1376" s="2" t="inlineStr">
        <is>
          <t>Customer-side lead cost expensed</t>
        </is>
      </c>
      <c r="C1376" s="5" t="inlineStr">
        <is>
          <t>$ million</t>
        </is>
      </c>
      <c r="E1376" s="23">
        <f>pr_lead_exp*E1342*pr_lead_cust</f>
        <v/>
      </c>
      <c r="F1376" s="23">
        <f>pr_lead_exp*F1342*pr_lead_cust</f>
        <v/>
      </c>
      <c r="G1376" s="23">
        <f>pr_lead_exp*G1342*pr_lead_cust</f>
        <v/>
      </c>
      <c r="H1376" s="23">
        <f>pr_lead_exp*H1342*pr_lead_cust</f>
        <v/>
      </c>
      <c r="I1376" s="23">
        <f>pr_lead_exp*I1342*pr_lead_cust</f>
        <v/>
      </c>
      <c r="J1376" s="23">
        <f>pr_lead_exp*J1342*pr_lead_cust</f>
        <v/>
      </c>
      <c r="K1376" s="23">
        <f>pr_lead_exp*K1342*pr_lead_cust</f>
        <v/>
      </c>
      <c r="L1376" s="23">
        <f>pr_lead_exp*L1342*pr_lead_cust</f>
        <v/>
      </c>
      <c r="M1376" s="23">
        <f>pr_lead_exp*M1342*pr_lead_cust</f>
        <v/>
      </c>
      <c r="N1376" s="23">
        <f>pr_lead_exp*N1342*pr_lead_cust</f>
        <v/>
      </c>
    </row>
    <row r="1377">
      <c r="B1377" s="2" t="inlineStr">
        <is>
          <t>Other taxes</t>
        </is>
      </c>
      <c r="C1377" s="5" t="inlineStr">
        <is>
          <t>$ million</t>
        </is>
      </c>
      <c r="E1377" s="23">
        <f>pr_ptax*E1386</f>
        <v/>
      </c>
      <c r="F1377" s="23">
        <f>pr_ptax*F1386</f>
        <v/>
      </c>
      <c r="G1377" s="23">
        <f>pr_ptax*G1386</f>
        <v/>
      </c>
      <c r="H1377" s="23">
        <f>pr_ptax*H1386</f>
        <v/>
      </c>
      <c r="I1377" s="23">
        <f>pr_ptax*I1386</f>
        <v/>
      </c>
      <c r="J1377" s="23">
        <f>pr_ptax*J1386</f>
        <v/>
      </c>
      <c r="K1377" s="23">
        <f>pr_ptax*K1386</f>
        <v/>
      </c>
      <c r="L1377" s="23">
        <f>pr_ptax*L1386</f>
        <v/>
      </c>
      <c r="M1377" s="23">
        <f>pr_ptax*M1386</f>
        <v/>
      </c>
      <c r="N1377" s="23">
        <f>pr_ptax*N1386</f>
        <v/>
      </c>
    </row>
    <row r="1378">
      <c r="B1378" s="2" t="inlineStr">
        <is>
          <t>EBITDA</t>
        </is>
      </c>
      <c r="C1378" s="5" t="inlineStr">
        <is>
          <t>$ million</t>
        </is>
      </c>
      <c r="E1378" s="23">
        <f>E1372-E1375-E1377-E1376</f>
        <v/>
      </c>
      <c r="F1378" s="23">
        <f>F1372-F1375-F1377-F1376</f>
        <v/>
      </c>
      <c r="G1378" s="23">
        <f>G1372-G1375-G1377-G1376</f>
        <v/>
      </c>
      <c r="H1378" s="23">
        <f>H1372-H1375-H1377-H1376</f>
        <v/>
      </c>
      <c r="I1378" s="23">
        <f>I1372-I1375-I1377-I1376</f>
        <v/>
      </c>
      <c r="J1378" s="23">
        <f>J1372-J1375-J1377-J1376</f>
        <v/>
      </c>
      <c r="K1378" s="23">
        <f>K1372-K1375-K1377-K1376</f>
        <v/>
      </c>
      <c r="L1378" s="23">
        <f>L1372-L1375-L1377-L1376</f>
        <v/>
      </c>
      <c r="M1378" s="23">
        <f>M1372-M1375-M1377-M1376</f>
        <v/>
      </c>
      <c r="N1378" s="23">
        <f>N1372-N1375-N1377-N1376</f>
        <v/>
      </c>
    </row>
    <row r="1379">
      <c r="B1379" s="2" t="inlineStr">
        <is>
          <t>Depreciation</t>
        </is>
      </c>
      <c r="C1379" s="5" t="inlineStr">
        <is>
          <t>$ million</t>
        </is>
      </c>
      <c r="E1379" s="23">
        <f>pr_dep*E1386</f>
        <v/>
      </c>
      <c r="F1379" s="23">
        <f>pr_dep*F1386</f>
        <v/>
      </c>
      <c r="G1379" s="23">
        <f>pr_dep*G1386</f>
        <v/>
      </c>
      <c r="H1379" s="23">
        <f>pr_dep*H1386</f>
        <v/>
      </c>
      <c r="I1379" s="23">
        <f>pr_dep*I1386</f>
        <v/>
      </c>
      <c r="J1379" s="23">
        <f>pr_dep*J1386</f>
        <v/>
      </c>
      <c r="K1379" s="23">
        <f>pr_dep*K1386</f>
        <v/>
      </c>
      <c r="L1379" s="23">
        <f>pr_dep*L1386</f>
        <v/>
      </c>
      <c r="M1379" s="23">
        <f>pr_dep*M1386</f>
        <v/>
      </c>
      <c r="N1379" s="23">
        <f>pr_dep*N1386</f>
        <v/>
      </c>
    </row>
    <row r="1380">
      <c r="B1380" s="2" t="inlineStr">
        <is>
          <t>Interest (average of opening and closing debt)</t>
        </is>
      </c>
      <c r="C1380" s="5" t="inlineStr">
        <is>
          <t>$ million</t>
        </is>
      </c>
      <c r="E1380" s="23">
        <f>0.5*(D1392*D1394+E1392*E1394)</f>
        <v/>
      </c>
      <c r="F1380" s="23">
        <f>0.5*(E1392*E1394+F1392*F1394)</f>
        <v/>
      </c>
      <c r="G1380" s="23">
        <f>0.5*(F1392*F1394+G1392*G1394)</f>
        <v/>
      </c>
      <c r="H1380" s="23">
        <f>0.5*(G1392*G1394+H1392*H1394)</f>
        <v/>
      </c>
      <c r="I1380" s="23">
        <f>0.5*(H1392*H1394+I1392*I1394)</f>
        <v/>
      </c>
      <c r="J1380" s="23">
        <f>0.5*(I1392*I1394+J1392*J1394)</f>
        <v/>
      </c>
      <c r="K1380" s="23">
        <f>0.5*(J1392*J1394+K1392*K1394)</f>
        <v/>
      </c>
      <c r="L1380" s="23">
        <f>0.5*(K1392*K1394+L1392*L1394)</f>
        <v/>
      </c>
      <c r="M1380" s="23">
        <f>0.5*(L1392*L1394+M1392*M1394)</f>
        <v/>
      </c>
      <c r="N1380" s="23">
        <f>0.5*(M1392*M1394+N1392*N1394)</f>
        <v/>
      </c>
    </row>
    <row r="1381">
      <c r="B1381" s="2" t="inlineStr">
        <is>
          <t>Income before tax</t>
        </is>
      </c>
      <c r="C1381" s="5" t="inlineStr">
        <is>
          <t>$ million</t>
        </is>
      </c>
      <c r="E1381" s="23">
        <f>E1378-E1379-E1380</f>
        <v/>
      </c>
      <c r="F1381" s="23">
        <f>F1378-F1379-F1380</f>
        <v/>
      </c>
      <c r="G1381" s="23">
        <f>G1378-G1379-G1380</f>
        <v/>
      </c>
      <c r="H1381" s="23">
        <f>H1378-H1379-H1380</f>
        <v/>
      </c>
      <c r="I1381" s="23">
        <f>I1378-I1379-I1380</f>
        <v/>
      </c>
      <c r="J1381" s="23">
        <f>J1378-J1379-J1380</f>
        <v/>
      </c>
      <c r="K1381" s="23">
        <f>K1378-K1379-K1380</f>
        <v/>
      </c>
      <c r="L1381" s="23">
        <f>L1378-L1379-L1380</f>
        <v/>
      </c>
      <c r="M1381" s="23">
        <f>M1378-M1379-M1380</f>
        <v/>
      </c>
      <c r="N1381" s="23">
        <f>N1378-N1379-N1380</f>
        <v/>
      </c>
    </row>
    <row r="1382">
      <c r="B1382" s="2" t="inlineStr">
        <is>
          <t>Income tax</t>
        </is>
      </c>
      <c r="C1382" s="5" t="inlineStr">
        <is>
          <t>$ million</t>
        </is>
      </c>
      <c r="E1382" s="23">
        <f>pr_tax*E1381</f>
        <v/>
      </c>
      <c r="F1382" s="23">
        <f>pr_tax*F1381</f>
        <v/>
      </c>
      <c r="G1382" s="23">
        <f>pr_tax*G1381</f>
        <v/>
      </c>
      <c r="H1382" s="23">
        <f>pr_tax*H1381</f>
        <v/>
      </c>
      <c r="I1382" s="23">
        <f>pr_tax*I1381</f>
        <v/>
      </c>
      <c r="J1382" s="23">
        <f>pr_tax*J1381</f>
        <v/>
      </c>
      <c r="K1382" s="23">
        <f>pr_tax*K1381</f>
        <v/>
      </c>
      <c r="L1382" s="23">
        <f>pr_tax*L1381</f>
        <v/>
      </c>
      <c r="M1382" s="23">
        <f>pr_tax*M1381</f>
        <v/>
      </c>
      <c r="N1382" s="23">
        <f>pr_tax*N1381</f>
        <v/>
      </c>
    </row>
    <row r="1383">
      <c r="B1383" s="3" t="inlineStr">
        <is>
          <t>Net income</t>
        </is>
      </c>
      <c r="C1383" s="5" t="inlineStr">
        <is>
          <t>$ million</t>
        </is>
      </c>
      <c r="E1383" s="23">
        <f>E1381-E1382</f>
        <v/>
      </c>
      <c r="F1383" s="23">
        <f>F1381-F1382</f>
        <v/>
      </c>
      <c r="G1383" s="23">
        <f>G1381-G1382</f>
        <v/>
      </c>
      <c r="H1383" s="23">
        <f>H1381-H1382</f>
        <v/>
      </c>
      <c r="I1383" s="23">
        <f>I1381-I1382</f>
        <v/>
      </c>
      <c r="J1383" s="23">
        <f>J1381-J1382</f>
        <v/>
      </c>
      <c r="K1383" s="23">
        <f>K1381-K1382</f>
        <v/>
      </c>
      <c r="L1383" s="23">
        <f>L1381-L1382</f>
        <v/>
      </c>
      <c r="M1383" s="23">
        <f>M1381-M1382</f>
        <v/>
      </c>
      <c r="N1383" s="23">
        <f>N1381-N1382</f>
        <v/>
      </c>
    </row>
    <row r="1385">
      <c r="B1385" s="6" t="inlineStr">
        <is>
          <t>Rate base and debt ($ million)</t>
        </is>
      </c>
      <c r="C1385" s="7" t="n"/>
      <c r="D1385" s="7" t="n"/>
      <c r="E1385" s="7" t="n"/>
      <c r="F1385" s="7" t="n"/>
      <c r="G1385" s="7" t="n"/>
      <c r="H1385" s="7" t="n"/>
      <c r="I1385" s="7" t="n"/>
      <c r="J1385" s="7" t="n"/>
      <c r="K1385" s="7" t="n"/>
      <c r="L1385" s="7" t="n"/>
      <c r="M1385" s="7" t="n"/>
      <c r="N1385" s="7" t="n"/>
    </row>
    <row r="1386">
      <c r="B1386" s="2" t="inlineStr">
        <is>
          <t>Opening rate base</t>
        </is>
      </c>
      <c r="C1386" s="5" t="inlineStr">
        <is>
          <t>$ million</t>
        </is>
      </c>
      <c r="E1386" s="23">
        <f>D1390</f>
        <v/>
      </c>
      <c r="F1386" s="23">
        <f>E1390</f>
        <v/>
      </c>
      <c r="G1386" s="23">
        <f>F1390</f>
        <v/>
      </c>
      <c r="H1386" s="23">
        <f>G1390</f>
        <v/>
      </c>
      <c r="I1386" s="23">
        <f>H1390</f>
        <v/>
      </c>
      <c r="J1386" s="23">
        <f>I1390</f>
        <v/>
      </c>
      <c r="K1386" s="23">
        <f>J1390</f>
        <v/>
      </c>
      <c r="L1386" s="23">
        <f>K1390</f>
        <v/>
      </c>
      <c r="M1386" s="23">
        <f>L1390</f>
        <v/>
      </c>
      <c r="N1386" s="23">
        <f>M1390</f>
        <v/>
      </c>
    </row>
    <row r="1387">
      <c r="B1387" s="2" t="inlineStr">
        <is>
          <t>Spending disallowed (never in rate base)</t>
        </is>
      </c>
      <c r="C1387" s="5" t="inlineStr">
        <is>
          <t>$ million</t>
        </is>
      </c>
      <c r="E1387" s="23">
        <f>pr_disallow*(E1341+E1342-E1376)</f>
        <v/>
      </c>
      <c r="F1387" s="23">
        <f>pr_disallow*(F1341+F1342-F1376)</f>
        <v/>
      </c>
      <c r="G1387" s="23">
        <f>pr_disallow*(G1341+G1342-G1376)</f>
        <v/>
      </c>
      <c r="H1387" s="23">
        <f>pr_disallow*(H1341+H1342-H1376)</f>
        <v/>
      </c>
      <c r="I1387" s="23">
        <f>pr_disallow*(I1341+I1342-I1376)</f>
        <v/>
      </c>
      <c r="J1387" s="23">
        <f>pr_disallow*(J1341+J1342-J1376)</f>
        <v/>
      </c>
      <c r="K1387" s="23">
        <f>pr_disallow*(K1341+K1342-K1376)</f>
        <v/>
      </c>
      <c r="L1387" s="23">
        <f>pr_disallow*(L1341+L1342-L1376)</f>
        <v/>
      </c>
      <c r="M1387" s="23">
        <f>pr_disallow*(M1341+M1342-M1376)</f>
        <v/>
      </c>
      <c r="N1387" s="23">
        <f>pr_disallow*(N1341+N1342-N1376)</f>
        <v/>
      </c>
    </row>
    <row r="1388">
      <c r="B1388" s="2" t="inlineStr">
        <is>
          <t>Acquisitions (Fennick at its price)</t>
        </is>
      </c>
      <c r="C1388" s="5" t="inlineStr">
        <is>
          <t>$ million</t>
        </is>
      </c>
      <c r="E1388" s="23">
        <f>IF(AND(pr_fen_on=1,E1333=pr_fen_year),pr_fen_price,0)</f>
        <v/>
      </c>
      <c r="F1388" s="23">
        <f>IF(AND(pr_fen_on=1,F1333=pr_fen_year),pr_fen_price,0)</f>
        <v/>
      </c>
      <c r="G1388" s="23">
        <f>IF(AND(pr_fen_on=1,G1333=pr_fen_year),pr_fen_price,0)</f>
        <v/>
      </c>
      <c r="H1388" s="23">
        <f>IF(AND(pr_fen_on=1,H1333=pr_fen_year),pr_fen_price,0)</f>
        <v/>
      </c>
      <c r="I1388" s="23">
        <f>IF(AND(pr_fen_on=1,I1333=pr_fen_year),pr_fen_price,0)</f>
        <v/>
      </c>
      <c r="J1388" s="23">
        <f>IF(AND(pr_fen_on=1,J1333=pr_fen_year),pr_fen_price,0)</f>
        <v/>
      </c>
      <c r="K1388" s="23">
        <f>IF(AND(pr_fen_on=1,K1333=pr_fen_year),pr_fen_price,0)</f>
        <v/>
      </c>
      <c r="L1388" s="23">
        <f>IF(AND(pr_fen_on=1,L1333=pr_fen_year),pr_fen_price,0)</f>
        <v/>
      </c>
      <c r="M1388" s="23">
        <f>IF(AND(pr_fen_on=1,M1333=pr_fen_year),pr_fen_price,0)</f>
        <v/>
      </c>
      <c r="N1388" s="23">
        <f>IF(AND(pr_fen_on=1,N1333=pr_fen_year),pr_fen_price,0)</f>
        <v/>
      </c>
    </row>
    <row r="1389">
      <c r="B1389" s="2" t="inlineStr">
        <is>
          <t>Settlement credited against rate base</t>
        </is>
      </c>
      <c r="C1389" s="5" t="inlineStr">
        <is>
          <t>$ million</t>
        </is>
      </c>
      <c r="E1389" s="23">
        <f>IF(E1333=pr_settle_y,pr_settle,0)</f>
        <v/>
      </c>
      <c r="F1389" s="23">
        <f>IF(F1333=pr_settle_y,pr_settle,0)</f>
        <v/>
      </c>
      <c r="G1389" s="23">
        <f>IF(G1333=pr_settle_y,pr_settle,0)</f>
        <v/>
      </c>
      <c r="H1389" s="23">
        <f>IF(H1333=pr_settle_y,pr_settle,0)</f>
        <v/>
      </c>
      <c r="I1389" s="23">
        <f>IF(I1333=pr_settle_y,pr_settle,0)</f>
        <v/>
      </c>
      <c r="J1389" s="23">
        <f>IF(J1333=pr_settle_y,pr_settle,0)</f>
        <v/>
      </c>
      <c r="K1389" s="23">
        <f>IF(K1333=pr_settle_y,pr_settle,0)</f>
        <v/>
      </c>
      <c r="L1389" s="23">
        <f>IF(L1333=pr_settle_y,pr_settle,0)</f>
        <v/>
      </c>
      <c r="M1389" s="23">
        <f>IF(M1333=pr_settle_y,pr_settle,0)</f>
        <v/>
      </c>
      <c r="N1389" s="23">
        <f>IF(N1333=pr_settle_y,pr_settle,0)</f>
        <v/>
      </c>
    </row>
    <row r="1390">
      <c r="B1390" s="3" t="inlineStr">
        <is>
          <t>Closing rate base</t>
        </is>
      </c>
      <c r="C1390" s="5" t="inlineStr">
        <is>
          <t>$ million</t>
        </is>
      </c>
      <c r="D1390" s="23">
        <f>pr_rb0</f>
        <v/>
      </c>
      <c r="E1390" s="23">
        <f>E1386+E1344-E1376-E1387+E1388-E1379-E1389</f>
        <v/>
      </c>
      <c r="F1390" s="23">
        <f>F1386+F1344-F1376-F1387+F1388-F1379-F1389</f>
        <v/>
      </c>
      <c r="G1390" s="23">
        <f>G1386+G1344-G1376-G1387+G1388-G1379-G1389</f>
        <v/>
      </c>
      <c r="H1390" s="23">
        <f>H1386+H1344-H1376-H1387+H1388-H1379-H1389</f>
        <v/>
      </c>
      <c r="I1390" s="23">
        <f>I1386+I1344-I1376-I1387+I1388-I1379-I1389</f>
        <v/>
      </c>
      <c r="J1390" s="23">
        <f>J1386+J1344-J1376-J1387+J1388-J1379-J1389</f>
        <v/>
      </c>
      <c r="K1390" s="23">
        <f>K1386+K1344-K1376-K1387+K1388-K1379-K1389</f>
        <v/>
      </c>
      <c r="L1390" s="23">
        <f>L1386+L1344-L1376-L1387+L1388-L1379-L1389</f>
        <v/>
      </c>
      <c r="M1390" s="23">
        <f>M1386+M1344-M1376-M1387+M1388-M1379-M1389</f>
        <v/>
      </c>
      <c r="N1390" s="23">
        <f>N1386+N1344-N1376-N1387+N1388-N1379-N1389</f>
        <v/>
      </c>
    </row>
    <row r="1391">
      <c r="B1391" s="2" t="inlineStr">
        <is>
          <t>Original bonds outstanding</t>
        </is>
      </c>
      <c r="C1391" s="5" t="inlineStr">
        <is>
          <t>$ million</t>
        </is>
      </c>
      <c r="D1391" s="23">
        <f>(1-pr_eq)*pr_rb0</f>
        <v/>
      </c>
      <c r="E1391" s="23">
        <f>MAX(0,D1391-pr_amort*(1-pr_eq)*pr_rb0)</f>
        <v/>
      </c>
      <c r="F1391" s="23">
        <f>MAX(0,E1391-pr_amort*(1-pr_eq)*pr_rb0)</f>
        <v/>
      </c>
      <c r="G1391" s="23">
        <f>MAX(0,F1391-pr_amort*(1-pr_eq)*pr_rb0)</f>
        <v/>
      </c>
      <c r="H1391" s="23">
        <f>MAX(0,G1391-pr_amort*(1-pr_eq)*pr_rb0)</f>
        <v/>
      </c>
      <c r="I1391" s="23">
        <f>MAX(0,H1391-pr_amort*(1-pr_eq)*pr_rb0)</f>
        <v/>
      </c>
      <c r="J1391" s="23">
        <f>MAX(0,I1391-pr_amort*(1-pr_eq)*pr_rb0)</f>
        <v/>
      </c>
      <c r="K1391" s="23">
        <f>MAX(0,J1391-pr_amort*(1-pr_eq)*pr_rb0)</f>
        <v/>
      </c>
      <c r="L1391" s="23">
        <f>MAX(0,K1391-pr_amort*(1-pr_eq)*pr_rb0)</f>
        <v/>
      </c>
      <c r="M1391" s="23">
        <f>MAX(0,L1391-pr_amort*(1-pr_eq)*pr_rb0)</f>
        <v/>
      </c>
      <c r="N1391" s="23">
        <f>MAX(0,M1391-pr_amort*(1-pr_eq)*pr_rb0)</f>
        <v/>
      </c>
    </row>
    <row r="1392">
      <c r="B1392" s="2" t="inlineStr">
        <is>
          <t>Operating company debt (debt share of rate base)</t>
        </is>
      </c>
      <c r="C1392" s="5" t="inlineStr">
        <is>
          <t>$ million</t>
        </is>
      </c>
      <c r="D1392" s="23">
        <f>(1-pr_eq)*D1390</f>
        <v/>
      </c>
      <c r="E1392" s="23">
        <f>(1-pr_eq)*E1390</f>
        <v/>
      </c>
      <c r="F1392" s="23">
        <f>(1-pr_eq)*F1390</f>
        <v/>
      </c>
      <c r="G1392" s="23">
        <f>(1-pr_eq)*G1390</f>
        <v/>
      </c>
      <c r="H1392" s="23">
        <f>(1-pr_eq)*H1390</f>
        <v/>
      </c>
      <c r="I1392" s="23">
        <f>(1-pr_eq)*I1390</f>
        <v/>
      </c>
      <c r="J1392" s="23">
        <f>(1-pr_eq)*J1390</f>
        <v/>
      </c>
      <c r="K1392" s="23">
        <f>(1-pr_eq)*K1390</f>
        <v/>
      </c>
      <c r="L1392" s="23">
        <f>(1-pr_eq)*L1390</f>
        <v/>
      </c>
      <c r="M1392" s="23">
        <f>(1-pr_eq)*M1390</f>
        <v/>
      </c>
      <c r="N1392" s="23">
        <f>(1-pr_eq)*N1390</f>
        <v/>
      </c>
    </row>
    <row r="1393">
      <c r="B1393" s="2" t="inlineStr">
        <is>
          <t>New bonds outstanding</t>
        </is>
      </c>
      <c r="C1393" s="5" t="inlineStr">
        <is>
          <t>$ million</t>
        </is>
      </c>
      <c r="D1393" s="23">
        <f>D1392-D1391</f>
        <v/>
      </c>
      <c r="E1393" s="23">
        <f>E1392-E1391</f>
        <v/>
      </c>
      <c r="F1393" s="23">
        <f>F1392-F1391</f>
        <v/>
      </c>
      <c r="G1393" s="23">
        <f>G1392-G1391</f>
        <v/>
      </c>
      <c r="H1393" s="23">
        <f>H1392-H1391</f>
        <v/>
      </c>
      <c r="I1393" s="23">
        <f>I1392-I1391</f>
        <v/>
      </c>
      <c r="J1393" s="23">
        <f>J1392-J1391</f>
        <v/>
      </c>
      <c r="K1393" s="23">
        <f>K1392-K1391</f>
        <v/>
      </c>
      <c r="L1393" s="23">
        <f>L1392-L1391</f>
        <v/>
      </c>
      <c r="M1393" s="23">
        <f>M1392-M1391</f>
        <v/>
      </c>
      <c r="N1393" s="23">
        <f>N1392-N1391</f>
        <v/>
      </c>
    </row>
    <row r="1394">
      <c r="B1394" s="2" t="inlineStr">
        <is>
          <t>Embedded cost of debt at year end</t>
        </is>
      </c>
      <c r="C1394" s="5" t="inlineStr">
        <is>
          <t>rate</t>
        </is>
      </c>
      <c r="D1394" s="27">
        <f>pr_kd_old</f>
        <v/>
      </c>
      <c r="E1394" s="27">
        <f>(E1391*pr_kd_old+E1393*pr_kd_new)/E1392</f>
        <v/>
      </c>
      <c r="F1394" s="27">
        <f>(F1391*pr_kd_old+F1393*pr_kd_new)/F1392</f>
        <v/>
      </c>
      <c r="G1394" s="27">
        <f>(G1391*pr_kd_old+G1393*pr_kd_new)/G1392</f>
        <v/>
      </c>
      <c r="H1394" s="27">
        <f>(H1391*pr_kd_old+H1393*pr_kd_new)/H1392</f>
        <v/>
      </c>
      <c r="I1394" s="27">
        <f>(I1391*pr_kd_old+I1393*pr_kd_new)/I1392</f>
        <v/>
      </c>
      <c r="J1394" s="27">
        <f>(J1391*pr_kd_old+J1393*pr_kd_new)/J1392</f>
        <v/>
      </c>
      <c r="K1394" s="27">
        <f>(K1391*pr_kd_old+K1393*pr_kd_new)/K1392</f>
        <v/>
      </c>
      <c r="L1394" s="27">
        <f>(L1391*pr_kd_old+L1393*pr_kd_new)/L1392</f>
        <v/>
      </c>
      <c r="M1394" s="27">
        <f>(M1391*pr_kd_old+M1393*pr_kd_new)/M1392</f>
        <v/>
      </c>
      <c r="N1394" s="27">
        <f>(N1391*pr_kd_old+N1393*pr_kd_new)/N1392</f>
        <v/>
      </c>
    </row>
    <row r="1396">
      <c r="B1396" s="6" t="inlineStr">
        <is>
          <t>Returns and cash ($ million)</t>
        </is>
      </c>
      <c r="C1396" s="7" t="n"/>
      <c r="D1396" s="7" t="n"/>
      <c r="E1396" s="7" t="n"/>
      <c r="F1396" s="7" t="n"/>
      <c r="G1396" s="7" t="n"/>
      <c r="H1396" s="7" t="n"/>
      <c r="I1396" s="7" t="n"/>
      <c r="J1396" s="7" t="n"/>
      <c r="K1396" s="7" t="n"/>
      <c r="L1396" s="7" t="n"/>
      <c r="M1396" s="7" t="n"/>
      <c r="N1396" s="7" t="n"/>
    </row>
    <row r="1397">
      <c r="B1397" s="2" t="inlineStr">
        <is>
          <t>Average equity share of rate base</t>
        </is>
      </c>
      <c r="C1397" s="5" t="inlineStr">
        <is>
          <t>$ million</t>
        </is>
      </c>
      <c r="E1397" s="23">
        <f>pr_eq*0.5*(E1386+E1390)</f>
        <v/>
      </c>
      <c r="F1397" s="23">
        <f>pr_eq*0.5*(F1386+F1390)</f>
        <v/>
      </c>
      <c r="G1397" s="23">
        <f>pr_eq*0.5*(G1386+G1390)</f>
        <v/>
      </c>
      <c r="H1397" s="23">
        <f>pr_eq*0.5*(H1386+H1390)</f>
        <v/>
      </c>
      <c r="I1397" s="23">
        <f>pr_eq*0.5*(I1386+I1390)</f>
        <v/>
      </c>
      <c r="J1397" s="23">
        <f>pr_eq*0.5*(J1386+J1390)</f>
        <v/>
      </c>
      <c r="K1397" s="23">
        <f>pr_eq*0.5*(K1386+K1390)</f>
        <v/>
      </c>
      <c r="L1397" s="23">
        <f>pr_eq*0.5*(L1386+L1390)</f>
        <v/>
      </c>
      <c r="M1397" s="23">
        <f>pr_eq*0.5*(M1386+M1390)</f>
        <v/>
      </c>
      <c r="N1397" s="23">
        <f>pr_eq*0.5*(N1386+N1390)</f>
        <v/>
      </c>
    </row>
    <row r="1398">
      <c r="B1398" s="2" t="inlineStr">
        <is>
          <t>Earned return on equity</t>
        </is>
      </c>
      <c r="C1398" s="5" t="inlineStr">
        <is>
          <t>rate</t>
        </is>
      </c>
      <c r="E1398" s="27">
        <f>E1383/E1397</f>
        <v/>
      </c>
      <c r="F1398" s="27">
        <f>F1383/F1397</f>
        <v/>
      </c>
      <c r="G1398" s="27">
        <f>G1383/G1397</f>
        <v/>
      </c>
      <c r="H1398" s="27">
        <f>H1383/H1397</f>
        <v/>
      </c>
      <c r="I1398" s="27">
        <f>I1383/I1397</f>
        <v/>
      </c>
      <c r="J1398" s="27">
        <f>J1383/J1397</f>
        <v/>
      </c>
      <c r="K1398" s="27">
        <f>K1383/K1397</f>
        <v/>
      </c>
      <c r="L1398" s="27">
        <f>L1383/L1397</f>
        <v/>
      </c>
      <c r="M1398" s="27">
        <f>M1383/M1397</f>
        <v/>
      </c>
      <c r="N1398" s="27">
        <f>N1383/N1397</f>
        <v/>
      </c>
    </row>
    <row r="1399">
      <c r="B1399" s="2" t="inlineStr">
        <is>
          <t>Authorized return on equity</t>
        </is>
      </c>
      <c r="C1399" s="5" t="inlineStr">
        <is>
          <t>rate</t>
        </is>
      </c>
      <c r="E1399" s="27">
        <f>pr_roe</f>
        <v/>
      </c>
      <c r="F1399" s="27">
        <f>pr_roe</f>
        <v/>
      </c>
      <c r="G1399" s="27">
        <f>pr_roe</f>
        <v/>
      </c>
      <c r="H1399" s="27">
        <f>pr_roe</f>
        <v/>
      </c>
      <c r="I1399" s="27">
        <f>pr_roe</f>
        <v/>
      </c>
      <c r="J1399" s="27">
        <f>pr_roe</f>
        <v/>
      </c>
      <c r="K1399" s="27">
        <f>pr_roe</f>
        <v/>
      </c>
      <c r="L1399" s="27">
        <f>pr_roe</f>
        <v/>
      </c>
      <c r="M1399" s="27">
        <f>pr_roe</f>
        <v/>
      </c>
      <c r="N1399" s="27">
        <f>pr_roe</f>
        <v/>
      </c>
    </row>
    <row r="1400">
      <c r="B1400" s="3" t="inlineStr">
        <is>
          <t>Cash to the shareholder (FCFE)</t>
        </is>
      </c>
      <c r="C1400" s="5" t="inlineStr">
        <is>
          <t>$ million</t>
        </is>
      </c>
      <c r="E1400" s="23">
        <f>E1383+E1379-E1344-E1388+E1389+E1392-D1392</f>
        <v/>
      </c>
      <c r="F1400" s="23">
        <f>F1383+F1379-F1344-F1388+F1389+F1392-E1392</f>
        <v/>
      </c>
      <c r="G1400" s="23">
        <f>G1383+G1379-G1344-G1388+G1389+G1392-F1392</f>
        <v/>
      </c>
      <c r="H1400" s="23">
        <f>H1383+H1379-H1344-H1388+H1389+H1392-G1392</f>
        <v/>
      </c>
      <c r="I1400" s="23">
        <f>I1383+I1379-I1344-I1388+I1389+I1392-H1392</f>
        <v/>
      </c>
      <c r="J1400" s="23">
        <f>J1383+J1379-J1344-J1388+J1389+J1392-I1392</f>
        <v/>
      </c>
      <c r="K1400" s="23">
        <f>K1383+K1379-K1344-K1388+K1389+K1392-J1392</f>
        <v/>
      </c>
      <c r="L1400" s="23">
        <f>L1383+L1379-L1344-L1388+L1389+L1392-K1392</f>
        <v/>
      </c>
      <c r="M1400" s="23">
        <f>M1383+M1379-M1344-M1388+M1389+M1392-L1392</f>
        <v/>
      </c>
      <c r="N1400" s="23">
        <f>N1383+N1379-N1344-N1388+N1389+N1392-M1392</f>
        <v/>
      </c>
    </row>
    <row r="1401">
      <c r="B1401" s="2" t="inlineStr">
        <is>
          <t>Funds from operations (net income + depreciation)</t>
        </is>
      </c>
      <c r="C1401" s="5" t="inlineStr">
        <is>
          <t>$ million</t>
        </is>
      </c>
      <c r="E1401" s="23">
        <f>E1383+E1379</f>
        <v/>
      </c>
      <c r="F1401" s="23">
        <f>F1383+F1379</f>
        <v/>
      </c>
      <c r="G1401" s="23">
        <f>G1383+G1379</f>
        <v/>
      </c>
      <c r="H1401" s="23">
        <f>H1383+H1379</f>
        <v/>
      </c>
      <c r="I1401" s="23">
        <f>I1383+I1379</f>
        <v/>
      </c>
      <c r="J1401" s="23">
        <f>J1383+J1379</f>
        <v/>
      </c>
      <c r="K1401" s="23">
        <f>K1383+K1379</f>
        <v/>
      </c>
      <c r="L1401" s="23">
        <f>L1383+L1379</f>
        <v/>
      </c>
      <c r="M1401" s="23">
        <f>M1383+M1379</f>
        <v/>
      </c>
      <c r="N1401" s="23">
        <f>N1383+N1379</f>
        <v/>
      </c>
    </row>
    <row r="1402">
      <c r="B1402" s="3" t="inlineStr">
        <is>
          <t>Brannock's net flows (exit at the exit multiple)</t>
        </is>
      </c>
      <c r="C1402" s="5" t="inlineStr">
        <is>
          <t>$ million</t>
        </is>
      </c>
      <c r="D1402" s="23">
        <f>-(pr_ev_mult*pr_rb0-(1-pr_eq)*pr_rb0+pr_costs-pr_holdco)</f>
        <v/>
      </c>
      <c r="E1402" s="23">
        <f>E1400-pr_holdco*pr_kd_holdco*(1-pr_tax)</f>
        <v/>
      </c>
      <c r="F1402" s="23">
        <f>F1400-pr_holdco*pr_kd_holdco*(1-pr_tax)</f>
        <v/>
      </c>
      <c r="G1402" s="23">
        <f>G1400-pr_holdco*pr_kd_holdco*(1-pr_tax)</f>
        <v/>
      </c>
      <c r="H1402" s="23">
        <f>H1400-pr_holdco*pr_kd_holdco*(1-pr_tax)</f>
        <v/>
      </c>
      <c r="I1402" s="23">
        <f>I1400-pr_holdco*pr_kd_holdco*(1-pr_tax)</f>
        <v/>
      </c>
      <c r="J1402" s="23">
        <f>J1400-pr_holdco*pr_kd_holdco*(1-pr_tax)</f>
        <v/>
      </c>
      <c r="K1402" s="23">
        <f>K1400-pr_holdco*pr_kd_holdco*(1-pr_tax)</f>
        <v/>
      </c>
      <c r="L1402" s="23">
        <f>L1400-pr_holdco*pr_kd_holdco*(1-pr_tax)</f>
        <v/>
      </c>
      <c r="M1402" s="23">
        <f>M1400-pr_holdco*pr_kd_holdco*(1-pr_tax)</f>
        <v/>
      </c>
      <c r="N1402" s="23">
        <f>N1400-pr_holdco*pr_kd_holdco*(1-pr_tax)+pr_exit_mult*N1390-N1392-pr_holdco</f>
        <v/>
      </c>
    </row>
    <row r="1403">
      <c r="B1403" s="2" t="inlineStr">
        <is>
          <t>Levered IRR</t>
        </is>
      </c>
      <c r="C1403" s="5" t="inlineStr">
        <is>
          <t>rate</t>
        </is>
      </c>
      <c r="D1403" s="27">
        <f>IRR($D$1402:N$1402,0.08)</f>
        <v/>
      </c>
    </row>
    <row r="1404">
      <c r="B1404" s="2" t="inlineStr">
        <is>
          <t>Average earned return on equity 2028 to 2037</t>
        </is>
      </c>
      <c r="C1404" s="5" t="inlineStr">
        <is>
          <t>rate</t>
        </is>
      </c>
      <c r="D1404" s="27">
        <f>AVERAGE($E$1398:N$1398)</f>
        <v/>
      </c>
    </row>
    <row r="1405">
      <c r="B1405" s="2" t="inlineStr">
        <is>
          <t>Price at the target return (enterprise value)</t>
        </is>
      </c>
      <c r="C1405" s="5" t="inlineStr">
        <is>
          <t>$ million</t>
        </is>
      </c>
      <c r="D1405" s="23">
        <f>NPV(pr_target,$E$1402:N$1402)+(1-pr_eq)*pr_rb0-pr_costs+pr_holdco</f>
        <v/>
      </c>
    </row>
    <row r="1406">
      <c r="B1406" s="2" t="inlineStr">
        <is>
          <t>Exit equity</t>
        </is>
      </c>
      <c r="C1406" s="5" t="inlineStr">
        <is>
          <t>$ million</t>
        </is>
      </c>
      <c r="D1406" s="23">
        <f>pr_exit_mult*N1390-N1392-pr_holdco</f>
        <v/>
      </c>
    </row>
    <row r="1407">
      <c r="B1407" s="2" t="inlineStr">
        <is>
          <t>Rate base at exit</t>
        </is>
      </c>
      <c r="C1407" s="5" t="inlineStr">
        <is>
          <t>$ million</t>
        </is>
      </c>
      <c r="D1407" s="23">
        <f>N1390</f>
        <v/>
      </c>
    </row>
    <row r="1410">
      <c r="B1410" s="6" t="inlineStr">
        <is>
          <t>F0: Without the Fennick purchase (Pell River, after tax)</t>
        </is>
      </c>
      <c r="C1410" s="7" t="n"/>
      <c r="D1410" s="7" t="n"/>
      <c r="E1410" s="7" t="n"/>
      <c r="F1410" s="7" t="n"/>
      <c r="G1410" s="7" t="n"/>
      <c r="H1410" s="7" t="n"/>
      <c r="I1410" s="7" t="n"/>
      <c r="J1410" s="7" t="n"/>
      <c r="K1410" s="7" t="n"/>
      <c r="L1410" s="7" t="n"/>
      <c r="M1410" s="7" t="n"/>
      <c r="N1410" s="7" t="n"/>
    </row>
    <row r="1411">
      <c r="B1411" s="2" t="inlineStr">
        <is>
          <t>Year (31 December)</t>
        </is>
      </c>
      <c r="D1411" s="26">
        <f>pr_close</f>
        <v/>
      </c>
      <c r="E1411" s="26">
        <f>D1411+1</f>
        <v/>
      </c>
      <c r="F1411" s="26">
        <f>E1411+1</f>
        <v/>
      </c>
      <c r="G1411" s="26">
        <f>F1411+1</f>
        <v/>
      </c>
      <c r="H1411" s="26">
        <f>G1411+1</f>
        <v/>
      </c>
      <c r="I1411" s="26">
        <f>H1411+1</f>
        <v/>
      </c>
      <c r="J1411" s="26">
        <f>I1411+1</f>
        <v/>
      </c>
      <c r="K1411" s="26">
        <f>J1411+1</f>
        <v/>
      </c>
      <c r="L1411" s="26">
        <f>K1411+1</f>
        <v/>
      </c>
      <c r="M1411" s="26">
        <f>L1411+1</f>
        <v/>
      </c>
      <c r="N1411" s="26">
        <f>M1411+1</f>
        <v/>
      </c>
    </row>
    <row r="1412">
      <c r="B1412" s="2" t="inlineStr">
        <is>
          <t>Years after the first year of the hold (2028 = 0)</t>
        </is>
      </c>
      <c r="D1412" s="26">
        <f>D1411-(pr_close+1)</f>
        <v/>
      </c>
      <c r="E1412" s="26">
        <f>E1411-(pr_close+1)</f>
        <v/>
      </c>
      <c r="F1412" s="26">
        <f>F1411-(pr_close+1)</f>
        <v/>
      </c>
      <c r="G1412" s="26">
        <f>G1411-(pr_close+1)</f>
        <v/>
      </c>
      <c r="H1412" s="26">
        <f>H1411-(pr_close+1)</f>
        <v/>
      </c>
      <c r="I1412" s="26">
        <f>I1411-(pr_close+1)</f>
        <v/>
      </c>
      <c r="J1412" s="26">
        <f>J1411-(pr_close+1)</f>
        <v/>
      </c>
      <c r="K1412" s="26">
        <f>K1411-(pr_close+1)</f>
        <v/>
      </c>
      <c r="L1412" s="26">
        <f>L1411-(pr_close+1)</f>
        <v/>
      </c>
      <c r="M1412" s="26">
        <f>M1411-(pr_close+1)</f>
        <v/>
      </c>
      <c r="N1412" s="26">
        <f>N1411-(pr_close+1)</f>
        <v/>
      </c>
    </row>
    <row r="1413">
      <c r="B1413" s="2" t="inlineStr">
        <is>
          <t>Connections (water and wastewater), year end</t>
        </is>
      </c>
      <c r="C1413" s="5" t="inlineStr">
        <is>
          <t>number</t>
        </is>
      </c>
      <c r="D1413" s="19">
        <f>pr_water_conn+pr_ww_conn</f>
        <v/>
      </c>
      <c r="E1413" s="19">
        <f>D1413*(1+pr_growth)+IF(AND(Inputs!$C$265=1,E1411=pr_fen_year+1),pr_fen_conn,0)</f>
        <v/>
      </c>
      <c r="F1413" s="19">
        <f>E1413*(1+pr_growth)+IF(AND(Inputs!$C$265=1,F1411=pr_fen_year+1),pr_fen_conn,0)</f>
        <v/>
      </c>
      <c r="G1413" s="19">
        <f>F1413*(1+pr_growth)+IF(AND(Inputs!$C$265=1,G1411=pr_fen_year+1),pr_fen_conn,0)</f>
        <v/>
      </c>
      <c r="H1413" s="19">
        <f>G1413*(1+pr_growth)+IF(AND(Inputs!$C$265=1,H1411=pr_fen_year+1),pr_fen_conn,0)</f>
        <v/>
      </c>
      <c r="I1413" s="19">
        <f>H1413*(1+pr_growth)+IF(AND(Inputs!$C$265=1,I1411=pr_fen_year+1),pr_fen_conn,0)</f>
        <v/>
      </c>
      <c r="J1413" s="19">
        <f>I1413*(1+pr_growth)+IF(AND(Inputs!$C$265=1,J1411=pr_fen_year+1),pr_fen_conn,0)</f>
        <v/>
      </c>
      <c r="K1413" s="19">
        <f>J1413*(1+pr_growth)+IF(AND(Inputs!$C$265=1,K1411=pr_fen_year+1),pr_fen_conn,0)</f>
        <v/>
      </c>
      <c r="L1413" s="19">
        <f>K1413*(1+pr_growth)+IF(AND(Inputs!$C$265=1,L1411=pr_fen_year+1),pr_fen_conn,0)</f>
        <v/>
      </c>
      <c r="M1413" s="19">
        <f>L1413*(1+pr_growth)+IF(AND(Inputs!$C$265=1,M1411=pr_fen_year+1),pr_fen_conn,0)</f>
        <v/>
      </c>
      <c r="N1413" s="19">
        <f>M1413*(1+pr_growth)+IF(AND(Inputs!$C$265=1,N1411=pr_fen_year+1),pr_fen_conn,0)</f>
        <v/>
      </c>
    </row>
    <row r="1415">
      <c r="B1415" s="6" t="inlineStr">
        <is>
          <t>Capital spending ($ million)</t>
        </is>
      </c>
      <c r="C1415" s="7" t="n"/>
      <c r="D1415" s="7" t="n"/>
      <c r="E1415" s="7" t="n"/>
      <c r="F1415" s="7" t="n"/>
      <c r="G1415" s="7" t="n"/>
      <c r="H1415" s="7" t="n"/>
      <c r="I1415" s="7" t="n"/>
      <c r="J1415" s="7" t="n"/>
      <c r="K1415" s="7" t="n"/>
      <c r="L1415" s="7" t="n"/>
      <c r="M1415" s="7" t="n"/>
      <c r="N1415" s="7" t="n"/>
    </row>
    <row r="1416">
      <c r="B1416" s="2" t="inlineStr">
        <is>
          <t>Cost escalation index (2028 = 1)</t>
        </is>
      </c>
      <c r="E1416" s="28">
        <f>(1+pr_capex_esc)^(E1411-(pr_close+1))</f>
        <v/>
      </c>
      <c r="F1416" s="28">
        <f>(1+pr_capex_esc)^(F1411-(pr_close+1))</f>
        <v/>
      </c>
      <c r="G1416" s="28">
        <f>(1+pr_capex_esc)^(G1411-(pr_close+1))</f>
        <v/>
      </c>
      <c r="H1416" s="28">
        <f>(1+pr_capex_esc)^(H1411-(pr_close+1))</f>
        <v/>
      </c>
      <c r="I1416" s="28">
        <f>(1+pr_capex_esc)^(I1411-(pr_close+1))</f>
        <v/>
      </c>
      <c r="J1416" s="28">
        <f>(1+pr_capex_esc)^(J1411-(pr_close+1))</f>
        <v/>
      </c>
      <c r="K1416" s="28">
        <f>(1+pr_capex_esc)^(K1411-(pr_close+1))</f>
        <v/>
      </c>
      <c r="L1416" s="28">
        <f>(1+pr_capex_esc)^(L1411-(pr_close+1))</f>
        <v/>
      </c>
      <c r="M1416" s="28">
        <f>(1+pr_capex_esc)^(M1411-(pr_close+1))</f>
        <v/>
      </c>
      <c r="N1416" s="28">
        <f>(1+pr_capex_esc)^(N1411-(pr_close+1))</f>
        <v/>
      </c>
    </row>
    <row r="1417">
      <c r="B1417" s="2" t="inlineStr">
        <is>
          <t>Main renewal</t>
        </is>
      </c>
      <c r="C1417" s="5" t="inlineStr">
        <is>
          <t>$ million</t>
        </is>
      </c>
      <c r="E1417" s="23">
        <f>pr_renewal*pr_mains_miles*pr_cost_mile*E1416*(1+pr_capex_shift)</f>
        <v/>
      </c>
      <c r="F1417" s="23">
        <f>pr_renewal*pr_mains_miles*pr_cost_mile*F1416*(1+pr_capex_shift)</f>
        <v/>
      </c>
      <c r="G1417" s="23">
        <f>pr_renewal*pr_mains_miles*pr_cost_mile*G1416*(1+pr_capex_shift)</f>
        <v/>
      </c>
      <c r="H1417" s="23">
        <f>pr_renewal*pr_mains_miles*pr_cost_mile*H1416*(1+pr_capex_shift)</f>
        <v/>
      </c>
      <c r="I1417" s="23">
        <f>pr_renewal*pr_mains_miles*pr_cost_mile*I1416*(1+pr_capex_shift)</f>
        <v/>
      </c>
      <c r="J1417" s="23">
        <f>pr_renewal*pr_mains_miles*pr_cost_mile*J1416*(1+pr_capex_shift)</f>
        <v/>
      </c>
      <c r="K1417" s="23">
        <f>pr_renewal*pr_mains_miles*pr_cost_mile*K1416*(1+pr_capex_shift)</f>
        <v/>
      </c>
      <c r="L1417" s="23">
        <f>pr_renewal*pr_mains_miles*pr_cost_mile*L1416*(1+pr_capex_shift)</f>
        <v/>
      </c>
      <c r="M1417" s="23">
        <f>pr_renewal*pr_mains_miles*pr_cost_mile*M1416*(1+pr_capex_shift)</f>
        <v/>
      </c>
      <c r="N1417" s="23">
        <f>pr_renewal*pr_mains_miles*pr_cost_mile*N1416*(1+pr_capex_shift)</f>
        <v/>
      </c>
    </row>
    <row r="1418">
      <c r="B1418" s="2" t="inlineStr">
        <is>
          <t>Treatment, storage, meters, IT and growth</t>
        </is>
      </c>
      <c r="C1418" s="5" t="inlineStr">
        <is>
          <t>$ million</t>
        </is>
      </c>
      <c r="E1418" s="23">
        <f>pr_other_capex*E1416*(1+pr_capex_shift)</f>
        <v/>
      </c>
      <c r="F1418" s="23">
        <f>pr_other_capex*F1416*(1+pr_capex_shift)</f>
        <v/>
      </c>
      <c r="G1418" s="23">
        <f>pr_other_capex*G1416*(1+pr_capex_shift)</f>
        <v/>
      </c>
      <c r="H1418" s="23">
        <f>pr_other_capex*H1416*(1+pr_capex_shift)</f>
        <v/>
      </c>
      <c r="I1418" s="23">
        <f>pr_other_capex*I1416*(1+pr_capex_shift)</f>
        <v/>
      </c>
      <c r="J1418" s="23">
        <f>pr_other_capex*J1416*(1+pr_capex_shift)</f>
        <v/>
      </c>
      <c r="K1418" s="23">
        <f>pr_other_capex*K1416*(1+pr_capex_shift)</f>
        <v/>
      </c>
      <c r="L1418" s="23">
        <f>pr_other_capex*L1416*(1+pr_capex_shift)</f>
        <v/>
      </c>
      <c r="M1418" s="23">
        <f>pr_other_capex*M1416*(1+pr_capex_shift)</f>
        <v/>
      </c>
      <c r="N1418" s="23">
        <f>pr_other_capex*N1416*(1+pr_capex_shift)</f>
        <v/>
      </c>
    </row>
    <row r="1419">
      <c r="B1419" s="2" t="inlineStr">
        <is>
          <t>PFAS treatment</t>
        </is>
      </c>
      <c r="C1419" s="5" t="inlineStr">
        <is>
          <t>$ million</t>
        </is>
      </c>
      <c r="E1419" s="23">
        <f>(IF(E1411-pr_pfas_delay=pr_pfas_y1,pr_pfas_1,0)+IF(E1411-pr_pfas_delay=pr_pfas_y1+1,pr_pfas_2,0)+IF(E1411-pr_pfas_delay=pr_pfas_y1+2,pr_pfas_3,0))*(1+pr_capex_esc)^pr_pfas_delay*(1+pr_capex_shift)</f>
        <v/>
      </c>
      <c r="F1419" s="23">
        <f>(IF(F1411-pr_pfas_delay=pr_pfas_y1,pr_pfas_1,0)+IF(F1411-pr_pfas_delay=pr_pfas_y1+1,pr_pfas_2,0)+IF(F1411-pr_pfas_delay=pr_pfas_y1+2,pr_pfas_3,0))*(1+pr_capex_esc)^pr_pfas_delay*(1+pr_capex_shift)</f>
        <v/>
      </c>
      <c r="G1419" s="23">
        <f>(IF(G1411-pr_pfas_delay=pr_pfas_y1,pr_pfas_1,0)+IF(G1411-pr_pfas_delay=pr_pfas_y1+1,pr_pfas_2,0)+IF(G1411-pr_pfas_delay=pr_pfas_y1+2,pr_pfas_3,0))*(1+pr_capex_esc)^pr_pfas_delay*(1+pr_capex_shift)</f>
        <v/>
      </c>
      <c r="H1419" s="23">
        <f>(IF(H1411-pr_pfas_delay=pr_pfas_y1,pr_pfas_1,0)+IF(H1411-pr_pfas_delay=pr_pfas_y1+1,pr_pfas_2,0)+IF(H1411-pr_pfas_delay=pr_pfas_y1+2,pr_pfas_3,0))*(1+pr_capex_esc)^pr_pfas_delay*(1+pr_capex_shift)</f>
        <v/>
      </c>
      <c r="I1419" s="23">
        <f>(IF(I1411-pr_pfas_delay=pr_pfas_y1,pr_pfas_1,0)+IF(I1411-pr_pfas_delay=pr_pfas_y1+1,pr_pfas_2,0)+IF(I1411-pr_pfas_delay=pr_pfas_y1+2,pr_pfas_3,0))*(1+pr_capex_esc)^pr_pfas_delay*(1+pr_capex_shift)</f>
        <v/>
      </c>
      <c r="J1419" s="23">
        <f>(IF(J1411-pr_pfas_delay=pr_pfas_y1,pr_pfas_1,0)+IF(J1411-pr_pfas_delay=pr_pfas_y1+1,pr_pfas_2,0)+IF(J1411-pr_pfas_delay=pr_pfas_y1+2,pr_pfas_3,0))*(1+pr_capex_esc)^pr_pfas_delay*(1+pr_capex_shift)</f>
        <v/>
      </c>
      <c r="K1419" s="23">
        <f>(IF(K1411-pr_pfas_delay=pr_pfas_y1,pr_pfas_1,0)+IF(K1411-pr_pfas_delay=pr_pfas_y1+1,pr_pfas_2,0)+IF(K1411-pr_pfas_delay=pr_pfas_y1+2,pr_pfas_3,0))*(1+pr_capex_esc)^pr_pfas_delay*(1+pr_capex_shift)</f>
        <v/>
      </c>
      <c r="L1419" s="23">
        <f>(IF(L1411-pr_pfas_delay=pr_pfas_y1,pr_pfas_1,0)+IF(L1411-pr_pfas_delay=pr_pfas_y1+1,pr_pfas_2,0)+IF(L1411-pr_pfas_delay=pr_pfas_y1+2,pr_pfas_3,0))*(1+pr_capex_esc)^pr_pfas_delay*(1+pr_capex_shift)</f>
        <v/>
      </c>
      <c r="M1419" s="23">
        <f>(IF(M1411-pr_pfas_delay=pr_pfas_y1,pr_pfas_1,0)+IF(M1411-pr_pfas_delay=pr_pfas_y1+1,pr_pfas_2,0)+IF(M1411-pr_pfas_delay=pr_pfas_y1+2,pr_pfas_3,0))*(1+pr_capex_esc)^pr_pfas_delay*(1+pr_capex_shift)</f>
        <v/>
      </c>
      <c r="N1419" s="23">
        <f>(IF(N1411-pr_pfas_delay=pr_pfas_y1,pr_pfas_1,0)+IF(N1411-pr_pfas_delay=pr_pfas_y1+1,pr_pfas_2,0)+IF(N1411-pr_pfas_delay=pr_pfas_y1+2,pr_pfas_3,0))*(1+pr_capex_esc)^pr_pfas_delay*(1+pr_capex_shift)</f>
        <v/>
      </c>
    </row>
    <row r="1420">
      <c r="B1420" s="2" t="inlineStr">
        <is>
          <t>Lead service lines</t>
        </is>
      </c>
      <c r="C1420" s="5" t="inlineStr">
        <is>
          <t>$ million</t>
        </is>
      </c>
      <c r="E1420" s="23">
        <f>IF(AND(E1411&gt;=(pr_close+1),E1411&lt;(pr_close+1)+pr_lead_years),pr_lead_lines/pr_lead_years*pr_lead_cost/1000000*E1416,0)*(1+pr_capex_shift)</f>
        <v/>
      </c>
      <c r="F1420" s="23">
        <f>IF(AND(F1411&gt;=(pr_close+1),F1411&lt;(pr_close+1)+pr_lead_years),pr_lead_lines/pr_lead_years*pr_lead_cost/1000000*F1416,0)*(1+pr_capex_shift)</f>
        <v/>
      </c>
      <c r="G1420" s="23">
        <f>IF(AND(G1411&gt;=(pr_close+1),G1411&lt;(pr_close+1)+pr_lead_years),pr_lead_lines/pr_lead_years*pr_lead_cost/1000000*G1416,0)*(1+pr_capex_shift)</f>
        <v/>
      </c>
      <c r="H1420" s="23">
        <f>IF(AND(H1411&gt;=(pr_close+1),H1411&lt;(pr_close+1)+pr_lead_years),pr_lead_lines/pr_lead_years*pr_lead_cost/1000000*H1416,0)*(1+pr_capex_shift)</f>
        <v/>
      </c>
      <c r="I1420" s="23">
        <f>IF(AND(I1411&gt;=(pr_close+1),I1411&lt;(pr_close+1)+pr_lead_years),pr_lead_lines/pr_lead_years*pr_lead_cost/1000000*I1416,0)*(1+pr_capex_shift)</f>
        <v/>
      </c>
      <c r="J1420" s="23">
        <f>IF(AND(J1411&gt;=(pr_close+1),J1411&lt;(pr_close+1)+pr_lead_years),pr_lead_lines/pr_lead_years*pr_lead_cost/1000000*J1416,0)*(1+pr_capex_shift)</f>
        <v/>
      </c>
      <c r="K1420" s="23">
        <f>IF(AND(K1411&gt;=(pr_close+1),K1411&lt;(pr_close+1)+pr_lead_years),pr_lead_lines/pr_lead_years*pr_lead_cost/1000000*K1416,0)*(1+pr_capex_shift)</f>
        <v/>
      </c>
      <c r="L1420" s="23">
        <f>IF(AND(L1411&gt;=(pr_close+1),L1411&lt;(pr_close+1)+pr_lead_years),pr_lead_lines/pr_lead_years*pr_lead_cost/1000000*L1416,0)*(1+pr_capex_shift)</f>
        <v/>
      </c>
      <c r="M1420" s="23">
        <f>IF(AND(M1411&gt;=(pr_close+1),M1411&lt;(pr_close+1)+pr_lead_years),pr_lead_lines/pr_lead_years*pr_lead_cost/1000000*M1416,0)*(1+pr_capex_shift)</f>
        <v/>
      </c>
      <c r="N1420" s="23">
        <f>IF(AND(N1411&gt;=(pr_close+1),N1411&lt;(pr_close+1)+pr_lead_years),pr_lead_lines/pr_lead_years*pr_lead_cost/1000000*N1416,0)*(1+pr_capex_shift)</f>
        <v/>
      </c>
    </row>
    <row r="1421">
      <c r="B1421" s="2" t="inlineStr">
        <is>
          <t>Fennick system</t>
        </is>
      </c>
      <c r="C1421" s="5" t="inlineStr">
        <is>
          <t>$ million</t>
        </is>
      </c>
      <c r="E1421" s="23">
        <f>IF(AND(Inputs!$C$265=1,E1411&gt;pr_fen_year),pr_fen_capex*(1+pr_capex_esc)^(E1411-pr_fen_year-1),0)*(1+pr_capex_shift)</f>
        <v/>
      </c>
      <c r="F1421" s="23">
        <f>IF(AND(Inputs!$C$265=1,F1411&gt;pr_fen_year),pr_fen_capex*(1+pr_capex_esc)^(F1411-pr_fen_year-1),0)*(1+pr_capex_shift)</f>
        <v/>
      </c>
      <c r="G1421" s="23">
        <f>IF(AND(Inputs!$C$265=1,G1411&gt;pr_fen_year),pr_fen_capex*(1+pr_capex_esc)^(G1411-pr_fen_year-1),0)*(1+pr_capex_shift)</f>
        <v/>
      </c>
      <c r="H1421" s="23">
        <f>IF(AND(Inputs!$C$265=1,H1411&gt;pr_fen_year),pr_fen_capex*(1+pr_capex_esc)^(H1411-pr_fen_year-1),0)*(1+pr_capex_shift)</f>
        <v/>
      </c>
      <c r="I1421" s="23">
        <f>IF(AND(Inputs!$C$265=1,I1411&gt;pr_fen_year),pr_fen_capex*(1+pr_capex_esc)^(I1411-pr_fen_year-1),0)*(1+pr_capex_shift)</f>
        <v/>
      </c>
      <c r="J1421" s="23">
        <f>IF(AND(Inputs!$C$265=1,J1411&gt;pr_fen_year),pr_fen_capex*(1+pr_capex_esc)^(J1411-pr_fen_year-1),0)*(1+pr_capex_shift)</f>
        <v/>
      </c>
      <c r="K1421" s="23">
        <f>IF(AND(Inputs!$C$265=1,K1411&gt;pr_fen_year),pr_fen_capex*(1+pr_capex_esc)^(K1411-pr_fen_year-1),0)*(1+pr_capex_shift)</f>
        <v/>
      </c>
      <c r="L1421" s="23">
        <f>IF(AND(Inputs!$C$265=1,L1411&gt;pr_fen_year),pr_fen_capex*(1+pr_capex_esc)^(L1411-pr_fen_year-1),0)*(1+pr_capex_shift)</f>
        <v/>
      </c>
      <c r="M1421" s="23">
        <f>IF(AND(Inputs!$C$265=1,M1411&gt;pr_fen_year),pr_fen_capex*(1+pr_capex_esc)^(M1411-pr_fen_year-1),0)*(1+pr_capex_shift)</f>
        <v/>
      </c>
      <c r="N1421" s="23">
        <f>IF(AND(Inputs!$C$265=1,N1411&gt;pr_fen_year),pr_fen_capex*(1+pr_capex_esc)^(N1411-pr_fen_year-1),0)*(1+pr_capex_shift)</f>
        <v/>
      </c>
    </row>
    <row r="1422">
      <c r="B1422" s="2" t="inlineStr">
        <is>
          <t>Total capital spending</t>
        </is>
      </c>
      <c r="C1422" s="5" t="inlineStr">
        <is>
          <t>$ million</t>
        </is>
      </c>
      <c r="E1422" s="23">
        <f>SUM(E1417:E1421)</f>
        <v/>
      </c>
      <c r="F1422" s="23">
        <f>SUM(F1417:F1421)</f>
        <v/>
      </c>
      <c r="G1422" s="23">
        <f>SUM(G1417:G1421)</f>
        <v/>
      </c>
      <c r="H1422" s="23">
        <f>SUM(H1417:H1421)</f>
        <v/>
      </c>
      <c r="I1422" s="23">
        <f>SUM(I1417:I1421)</f>
        <v/>
      </c>
      <c r="J1422" s="23">
        <f>SUM(J1417:J1421)</f>
        <v/>
      </c>
      <c r="K1422" s="23">
        <f>SUM(K1417:K1421)</f>
        <v/>
      </c>
      <c r="L1422" s="23">
        <f>SUM(L1417:L1421)</f>
        <v/>
      </c>
      <c r="M1422" s="23">
        <f>SUM(M1417:M1421)</f>
        <v/>
      </c>
      <c r="N1422" s="23">
        <f>SUM(N1417:N1421)</f>
        <v/>
      </c>
    </row>
    <row r="1423">
      <c r="B1423" s="2" t="inlineStr">
        <is>
          <t>DSIC-eligible (mains and lead lines)</t>
        </is>
      </c>
      <c r="C1423" s="5" t="inlineStr">
        <is>
          <t>$ million</t>
        </is>
      </c>
      <c r="E1423" s="23">
        <f>E1417+E1420</f>
        <v/>
      </c>
      <c r="F1423" s="23">
        <f>F1417+F1420</f>
        <v/>
      </c>
      <c r="G1423" s="23">
        <f>G1417+G1420</f>
        <v/>
      </c>
      <c r="H1423" s="23">
        <f>H1417+H1420</f>
        <v/>
      </c>
      <c r="I1423" s="23">
        <f>I1417+I1420</f>
        <v/>
      </c>
      <c r="J1423" s="23">
        <f>J1417+J1420</f>
        <v/>
      </c>
      <c r="K1423" s="23">
        <f>K1417+K1420</f>
        <v/>
      </c>
      <c r="L1423" s="23">
        <f>L1417+L1420</f>
        <v/>
      </c>
      <c r="M1423" s="23">
        <f>M1417+M1420</f>
        <v/>
      </c>
      <c r="N1423" s="23">
        <f>N1417+N1420</f>
        <v/>
      </c>
    </row>
    <row r="1425">
      <c r="B1425" s="6" t="inlineStr">
        <is>
          <t>Rate case (rates effective 1 January of the year; test-year values looked up to the left)</t>
        </is>
      </c>
      <c r="C1425" s="7" t="n"/>
      <c r="D1425" s="7" t="n"/>
      <c r="E1425" s="7" t="n"/>
      <c r="F1425" s="7" t="n"/>
      <c r="G1425" s="7" t="n"/>
      <c r="H1425" s="7" t="n"/>
      <c r="I1425" s="7" t="n"/>
      <c r="J1425" s="7" t="n"/>
      <c r="K1425" s="7" t="n"/>
      <c r="L1425" s="7" t="n"/>
      <c r="M1425" s="7" t="n"/>
      <c r="N1425" s="7" t="n"/>
    </row>
    <row r="1426">
      <c r="B1426" s="2" t="inlineStr">
        <is>
          <t>Rate case this year (1 = yes)</t>
        </is>
      </c>
      <c r="E1426" s="26">
        <f>IF(AND(E1411&gt;=pr_rc_first,MOD(E1411-pr_rc_first,pr_rc_cycle)=0),1,0)</f>
        <v/>
      </c>
      <c r="F1426" s="26">
        <f>IF(AND(F1411&gt;=pr_rc_first,MOD(F1411-pr_rc_first,pr_rc_cycle)=0),1,0)</f>
        <v/>
      </c>
      <c r="G1426" s="26">
        <f>IF(AND(G1411&gt;=pr_rc_first,MOD(G1411-pr_rc_first,pr_rc_cycle)=0),1,0)</f>
        <v/>
      </c>
      <c r="H1426" s="26">
        <f>IF(AND(H1411&gt;=pr_rc_first,MOD(H1411-pr_rc_first,pr_rc_cycle)=0),1,0)</f>
        <v/>
      </c>
      <c r="I1426" s="26">
        <f>IF(AND(I1411&gt;=pr_rc_first,MOD(I1411-pr_rc_first,pr_rc_cycle)=0),1,0)</f>
        <v/>
      </c>
      <c r="J1426" s="26">
        <f>IF(AND(J1411&gt;=pr_rc_first,MOD(J1411-pr_rc_first,pr_rc_cycle)=0),1,0)</f>
        <v/>
      </c>
      <c r="K1426" s="26">
        <f>IF(AND(K1411&gt;=pr_rc_first,MOD(K1411-pr_rc_first,pr_rc_cycle)=0),1,0)</f>
        <v/>
      </c>
      <c r="L1426" s="26">
        <f>IF(AND(L1411&gt;=pr_rc_first,MOD(L1411-pr_rc_first,pr_rc_cycle)=0),1,0)</f>
        <v/>
      </c>
      <c r="M1426" s="26">
        <f>IF(AND(M1411&gt;=pr_rc_first,MOD(M1411-pr_rc_first,pr_rc_cycle)=0),1,0)</f>
        <v/>
      </c>
      <c r="N1426" s="26">
        <f>IF(AND(N1411&gt;=pr_rc_first,MOD(N1411-pr_rc_first,pr_rc_cycle)=0),1,0)</f>
        <v/>
      </c>
    </row>
    <row r="1427">
      <c r="B1427" s="2" t="inlineStr">
        <is>
          <t>Test year</t>
        </is>
      </c>
      <c r="E1427" s="26">
        <f>E1411-pr_test_lag</f>
        <v/>
      </c>
      <c r="F1427" s="26">
        <f>F1411-pr_test_lag</f>
        <v/>
      </c>
      <c r="G1427" s="26">
        <f>G1411-pr_test_lag</f>
        <v/>
      </c>
      <c r="H1427" s="26">
        <f>H1411-pr_test_lag</f>
        <v/>
      </c>
      <c r="I1427" s="26">
        <f>I1411-pr_test_lag</f>
        <v/>
      </c>
      <c r="J1427" s="26">
        <f>J1411-pr_test_lag</f>
        <v/>
      </c>
      <c r="K1427" s="26">
        <f>K1411-pr_test_lag</f>
        <v/>
      </c>
      <c r="L1427" s="26">
        <f>L1411-pr_test_lag</f>
        <v/>
      </c>
      <c r="M1427" s="26">
        <f>M1411-pr_test_lag</f>
        <v/>
      </c>
      <c r="N1427" s="26">
        <f>N1411-pr_test_lag</f>
        <v/>
      </c>
    </row>
    <row r="1428">
      <c r="B1428" s="2" t="inlineStr">
        <is>
          <t>Test year of the latest rate case</t>
        </is>
      </c>
      <c r="D1428" s="26">
        <f>pr_close</f>
        <v/>
      </c>
      <c r="E1428" s="26">
        <f>IF(E1426=1,E1427,D1428)</f>
        <v/>
      </c>
      <c r="F1428" s="26">
        <f>IF(F1426=1,F1427,E1428)</f>
        <v/>
      </c>
      <c r="G1428" s="26">
        <f>IF(G1426=1,G1427,F1428)</f>
        <v/>
      </c>
      <c r="H1428" s="26">
        <f>IF(H1426=1,H1427,G1428)</f>
        <v/>
      </c>
      <c r="I1428" s="26">
        <f>IF(I1426=1,I1427,H1428)</f>
        <v/>
      </c>
      <c r="J1428" s="26">
        <f>IF(J1426=1,J1427,I1428)</f>
        <v/>
      </c>
      <c r="K1428" s="26">
        <f>IF(K1426=1,K1427,J1428)</f>
        <v/>
      </c>
      <c r="L1428" s="26">
        <f>IF(L1426=1,L1427,K1428)</f>
        <v/>
      </c>
      <c r="M1428" s="26">
        <f>IF(M1426=1,M1427,L1428)</f>
        <v/>
      </c>
      <c r="N1428" s="26">
        <f>IF(N1426=1,N1427,M1428)</f>
        <v/>
      </c>
    </row>
    <row r="1429">
      <c r="B1429" s="2" t="inlineStr">
        <is>
          <t>Rate base at the end of the test year</t>
        </is>
      </c>
      <c r="C1429" s="5" t="inlineStr">
        <is>
          <t>$ million</t>
        </is>
      </c>
      <c r="E1429" s="23">
        <f>INDEX($D$1468:D$1468,MATCH(MAX(E1427,pr_close),$D$1411:D$1411,0))</f>
        <v/>
      </c>
      <c r="F1429" s="23">
        <f>INDEX($D$1468:E$1468,MATCH(MAX(F1427,pr_close),$D$1411:E$1411,0))</f>
        <v/>
      </c>
      <c r="G1429" s="23">
        <f>INDEX($D$1468:F$1468,MATCH(MAX(G1427,pr_close),$D$1411:F$1411,0))</f>
        <v/>
      </c>
      <c r="H1429" s="23">
        <f>INDEX($D$1468:G$1468,MATCH(MAX(H1427,pr_close),$D$1411:G$1411,0))</f>
        <v/>
      </c>
      <c r="I1429" s="23">
        <f>INDEX($D$1468:H$1468,MATCH(MAX(I1427,pr_close),$D$1411:H$1411,0))</f>
        <v/>
      </c>
      <c r="J1429" s="23">
        <f>INDEX($D$1468:I$1468,MATCH(MAX(J1427,pr_close),$D$1411:I$1411,0))</f>
        <v/>
      </c>
      <c r="K1429" s="23">
        <f>INDEX($D$1468:J$1468,MATCH(MAX(K1427,pr_close),$D$1411:J$1411,0))</f>
        <v/>
      </c>
      <c r="L1429" s="23">
        <f>INDEX($D$1468:K$1468,MATCH(MAX(L1427,pr_close),$D$1411:K$1411,0))</f>
        <v/>
      </c>
      <c r="M1429" s="23">
        <f>INDEX($D$1468:L$1468,MATCH(MAX(M1427,pr_close),$D$1411:L$1411,0))</f>
        <v/>
      </c>
      <c r="N1429" s="23">
        <f>INDEX($D$1468:M$1468,MATCH(MAX(N1427,pr_close),$D$1411:M$1411,0))</f>
        <v/>
      </c>
    </row>
    <row r="1430">
      <c r="B1430" s="2" t="inlineStr">
        <is>
          <t>Embedded cost of debt in the test year</t>
        </is>
      </c>
      <c r="C1430" s="5" t="inlineStr">
        <is>
          <t>rate</t>
        </is>
      </c>
      <c r="E1430" s="27">
        <f>INDEX($D$1472:D$1472,MATCH(MAX(E1427,pr_close),$D$1411:D$1411,0))</f>
        <v/>
      </c>
      <c r="F1430" s="27">
        <f>INDEX($D$1472:E$1472,MATCH(MAX(F1427,pr_close),$D$1411:E$1411,0))</f>
        <v/>
      </c>
      <c r="G1430" s="27">
        <f>INDEX($D$1472:F$1472,MATCH(MAX(G1427,pr_close),$D$1411:F$1411,0))</f>
        <v/>
      </c>
      <c r="H1430" s="27">
        <f>INDEX($D$1472:G$1472,MATCH(MAX(H1427,pr_close),$D$1411:G$1411,0))</f>
        <v/>
      </c>
      <c r="I1430" s="27">
        <f>INDEX($D$1472:H$1472,MATCH(MAX(I1427,pr_close),$D$1411:H$1411,0))</f>
        <v/>
      </c>
      <c r="J1430" s="27">
        <f>INDEX($D$1472:I$1472,MATCH(MAX(J1427,pr_close),$D$1411:I$1411,0))</f>
        <v/>
      </c>
      <c r="K1430" s="27">
        <f>INDEX($D$1472:J$1472,MATCH(MAX(K1427,pr_close),$D$1411:J$1411,0))</f>
        <v/>
      </c>
      <c r="L1430" s="27">
        <f>INDEX($D$1472:K$1472,MATCH(MAX(L1427,pr_close),$D$1411:K$1411,0))</f>
        <v/>
      </c>
      <c r="M1430" s="27">
        <f>INDEX($D$1472:L$1472,MATCH(MAX(M1427,pr_close),$D$1411:L$1411,0))</f>
        <v/>
      </c>
      <c r="N1430" s="27">
        <f>INDEX($D$1472:M$1472,MATCH(MAX(N1427,pr_close),$D$1411:M$1411,0))</f>
        <v/>
      </c>
    </row>
    <row r="1431">
      <c r="B1431" s="2" t="inlineStr">
        <is>
          <t>O&amp;M in the test year</t>
        </is>
      </c>
      <c r="C1431" s="5" t="inlineStr">
        <is>
          <t>$ million</t>
        </is>
      </c>
      <c r="E1431" s="23">
        <f>INDEX($D$1453:D$1453,MATCH(MAX(E1427,pr_close),$D$1411:D$1411,0))</f>
        <v/>
      </c>
      <c r="F1431" s="23">
        <f>INDEX($D$1453:E$1453,MATCH(MAX(F1427,pr_close),$D$1411:E$1411,0))</f>
        <v/>
      </c>
      <c r="G1431" s="23">
        <f>INDEX($D$1453:F$1453,MATCH(MAX(G1427,pr_close),$D$1411:F$1411,0))</f>
        <v/>
      </c>
      <c r="H1431" s="23">
        <f>INDEX($D$1453:G$1453,MATCH(MAX(H1427,pr_close),$D$1411:G$1411,0))</f>
        <v/>
      </c>
      <c r="I1431" s="23">
        <f>INDEX($D$1453:H$1453,MATCH(MAX(I1427,pr_close),$D$1411:H$1411,0))</f>
        <v/>
      </c>
      <c r="J1431" s="23">
        <f>INDEX($D$1453:I$1453,MATCH(MAX(J1427,pr_close),$D$1411:I$1411,0))</f>
        <v/>
      </c>
      <c r="K1431" s="23">
        <f>INDEX($D$1453:J$1453,MATCH(MAX(K1427,pr_close),$D$1411:J$1411,0))</f>
        <v/>
      </c>
      <c r="L1431" s="23">
        <f>INDEX($D$1453:K$1453,MATCH(MAX(L1427,pr_close),$D$1411:K$1411,0))</f>
        <v/>
      </c>
      <c r="M1431" s="23">
        <f>INDEX($D$1453:L$1453,MATCH(MAX(M1427,pr_close),$D$1411:L$1411,0))</f>
        <v/>
      </c>
      <c r="N1431" s="23">
        <f>INDEX($D$1453:M$1453,MATCH(MAX(N1427,pr_close),$D$1411:M$1411,0))</f>
        <v/>
      </c>
    </row>
    <row r="1432">
      <c r="B1432" s="2" t="inlineStr">
        <is>
          <t>Authorized return on rate base</t>
        </is>
      </c>
      <c r="C1432" s="5" t="inlineStr">
        <is>
          <t>rate</t>
        </is>
      </c>
      <c r="E1432" s="27">
        <f>(pr_eq*pr_roe+(1-pr_eq)*E1430)</f>
        <v/>
      </c>
      <c r="F1432" s="27">
        <f>(pr_eq*pr_roe+(1-pr_eq)*F1430)</f>
        <v/>
      </c>
      <c r="G1432" s="27">
        <f>(pr_eq*pr_roe+(1-pr_eq)*G1430)</f>
        <v/>
      </c>
      <c r="H1432" s="27">
        <f>(pr_eq*pr_roe+(1-pr_eq)*H1430)</f>
        <v/>
      </c>
      <c r="I1432" s="27">
        <f>(pr_eq*pr_roe+(1-pr_eq)*I1430)</f>
        <v/>
      </c>
      <c r="J1432" s="27">
        <f>(pr_eq*pr_roe+(1-pr_eq)*J1430)</f>
        <v/>
      </c>
      <c r="K1432" s="27">
        <f>(pr_eq*pr_roe+(1-pr_eq)*K1430)</f>
        <v/>
      </c>
      <c r="L1432" s="27">
        <f>(pr_eq*pr_roe+(1-pr_eq)*L1430)</f>
        <v/>
      </c>
      <c r="M1432" s="27">
        <f>(pr_eq*pr_roe+(1-pr_eq)*M1430)</f>
        <v/>
      </c>
      <c r="N1432" s="27">
        <f>(pr_eq*pr_roe+(1-pr_eq)*N1430)</f>
        <v/>
      </c>
    </row>
    <row r="1433">
      <c r="B1433" s="2" t="inlineStr">
        <is>
          <t>Return</t>
        </is>
      </c>
      <c r="C1433" s="5" t="inlineStr">
        <is>
          <t>$ million</t>
        </is>
      </c>
      <c r="E1433" s="23">
        <f>E1432*E1429</f>
        <v/>
      </c>
      <c r="F1433" s="23">
        <f>F1432*F1429</f>
        <v/>
      </c>
      <c r="G1433" s="23">
        <f>G1432*G1429</f>
        <v/>
      </c>
      <c r="H1433" s="23">
        <f>H1432*H1429</f>
        <v/>
      </c>
      <c r="I1433" s="23">
        <f>I1432*I1429</f>
        <v/>
      </c>
      <c r="J1433" s="23">
        <f>J1432*J1429</f>
        <v/>
      </c>
      <c r="K1433" s="23">
        <f>K1432*K1429</f>
        <v/>
      </c>
      <c r="L1433" s="23">
        <f>L1432*L1429</f>
        <v/>
      </c>
      <c r="M1433" s="23">
        <f>M1432*M1429</f>
        <v/>
      </c>
      <c r="N1433" s="23">
        <f>N1432*N1429</f>
        <v/>
      </c>
    </row>
    <row r="1434">
      <c r="B1434" s="2" t="inlineStr">
        <is>
          <t>Income tax gross-up</t>
        </is>
      </c>
      <c r="C1434" s="5" t="inlineStr">
        <is>
          <t>$ million</t>
        </is>
      </c>
      <c r="E1434" s="23">
        <f>(pr_eq*pr_roe*pr_tax/(1-pr_tax))*E1429</f>
        <v/>
      </c>
      <c r="F1434" s="23">
        <f>(pr_eq*pr_roe*pr_tax/(1-pr_tax))*F1429</f>
        <v/>
      </c>
      <c r="G1434" s="23">
        <f>(pr_eq*pr_roe*pr_tax/(1-pr_tax))*G1429</f>
        <v/>
      </c>
      <c r="H1434" s="23">
        <f>(pr_eq*pr_roe*pr_tax/(1-pr_tax))*H1429</f>
        <v/>
      </c>
      <c r="I1434" s="23">
        <f>(pr_eq*pr_roe*pr_tax/(1-pr_tax))*I1429</f>
        <v/>
      </c>
      <c r="J1434" s="23">
        <f>(pr_eq*pr_roe*pr_tax/(1-pr_tax))*J1429</f>
        <v/>
      </c>
      <c r="K1434" s="23">
        <f>(pr_eq*pr_roe*pr_tax/(1-pr_tax))*K1429</f>
        <v/>
      </c>
      <c r="L1434" s="23">
        <f>(pr_eq*pr_roe*pr_tax/(1-pr_tax))*L1429</f>
        <v/>
      </c>
      <c r="M1434" s="23">
        <f>(pr_eq*pr_roe*pr_tax/(1-pr_tax))*M1429</f>
        <v/>
      </c>
      <c r="N1434" s="23">
        <f>(pr_eq*pr_roe*pr_tax/(1-pr_tax))*N1429</f>
        <v/>
      </c>
    </row>
    <row r="1435">
      <c r="B1435" s="2" t="inlineStr">
        <is>
          <t>Depreciation</t>
        </is>
      </c>
      <c r="C1435" s="5" t="inlineStr">
        <is>
          <t>$ million</t>
        </is>
      </c>
      <c r="E1435" s="23">
        <f>pr_dep*E1429</f>
        <v/>
      </c>
      <c r="F1435" s="23">
        <f>pr_dep*F1429</f>
        <v/>
      </c>
      <c r="G1435" s="23">
        <f>pr_dep*G1429</f>
        <v/>
      </c>
      <c r="H1435" s="23">
        <f>pr_dep*H1429</f>
        <v/>
      </c>
      <c r="I1435" s="23">
        <f>pr_dep*I1429</f>
        <v/>
      </c>
      <c r="J1435" s="23">
        <f>pr_dep*J1429</f>
        <v/>
      </c>
      <c r="K1435" s="23">
        <f>pr_dep*K1429</f>
        <v/>
      </c>
      <c r="L1435" s="23">
        <f>pr_dep*L1429</f>
        <v/>
      </c>
      <c r="M1435" s="23">
        <f>pr_dep*M1429</f>
        <v/>
      </c>
      <c r="N1435" s="23">
        <f>pr_dep*N1429</f>
        <v/>
      </c>
    </row>
    <row r="1436">
      <c r="B1436" s="2" t="inlineStr">
        <is>
          <t>Other taxes</t>
        </is>
      </c>
      <c r="C1436" s="5" t="inlineStr">
        <is>
          <t>$ million</t>
        </is>
      </c>
      <c r="E1436" s="23">
        <f>pr_ptax*E1429</f>
        <v/>
      </c>
      <c r="F1436" s="23">
        <f>pr_ptax*F1429</f>
        <v/>
      </c>
      <c r="G1436" s="23">
        <f>pr_ptax*G1429</f>
        <v/>
      </c>
      <c r="H1436" s="23">
        <f>pr_ptax*H1429</f>
        <v/>
      </c>
      <c r="I1436" s="23">
        <f>pr_ptax*I1429</f>
        <v/>
      </c>
      <c r="J1436" s="23">
        <f>pr_ptax*J1429</f>
        <v/>
      </c>
      <c r="K1436" s="23">
        <f>pr_ptax*K1429</f>
        <v/>
      </c>
      <c r="L1436" s="23">
        <f>pr_ptax*L1429</f>
        <v/>
      </c>
      <c r="M1436" s="23">
        <f>pr_ptax*M1429</f>
        <v/>
      </c>
      <c r="N1436" s="23">
        <f>pr_ptax*N1429</f>
        <v/>
      </c>
    </row>
    <row r="1437">
      <c r="B1437" s="2" t="inlineStr">
        <is>
          <t>O&amp;M (test year, known and measurable)</t>
        </is>
      </c>
      <c r="C1437" s="5" t="inlineStr">
        <is>
          <t>$ million</t>
        </is>
      </c>
      <c r="E1437" s="23">
        <f>E1431*(1+pr_om_infl)*(1+pr_growth)</f>
        <v/>
      </c>
      <c r="F1437" s="23">
        <f>F1431*(1+pr_om_infl)*(1+pr_growth)</f>
        <v/>
      </c>
      <c r="G1437" s="23">
        <f>G1431*(1+pr_om_infl)*(1+pr_growth)</f>
        <v/>
      </c>
      <c r="H1437" s="23">
        <f>H1431*(1+pr_om_infl)*(1+pr_growth)</f>
        <v/>
      </c>
      <c r="I1437" s="23">
        <f>I1431*(1+pr_om_infl)*(1+pr_growth)</f>
        <v/>
      </c>
      <c r="J1437" s="23">
        <f>J1431*(1+pr_om_infl)*(1+pr_growth)</f>
        <v/>
      </c>
      <c r="K1437" s="23">
        <f>K1431*(1+pr_om_infl)*(1+pr_growth)</f>
        <v/>
      </c>
      <c r="L1437" s="23">
        <f>L1431*(1+pr_om_infl)*(1+pr_growth)</f>
        <v/>
      </c>
      <c r="M1437" s="23">
        <f>M1431*(1+pr_om_infl)*(1+pr_growth)</f>
        <v/>
      </c>
      <c r="N1437" s="23">
        <f>N1431*(1+pr_om_infl)*(1+pr_growth)</f>
        <v/>
      </c>
    </row>
    <row r="1438">
      <c r="B1438" s="2" t="inlineStr">
        <is>
          <t>Revenue requirement (test-year connections)</t>
        </is>
      </c>
      <c r="C1438" s="5" t="inlineStr">
        <is>
          <t>$ million</t>
        </is>
      </c>
      <c r="E1438" s="23">
        <f>SUM(E1433:E1437)</f>
        <v/>
      </c>
      <c r="F1438" s="23">
        <f>SUM(F1433:F1437)</f>
        <v/>
      </c>
      <c r="G1438" s="23">
        <f>SUM(G1433:G1437)</f>
        <v/>
      </c>
      <c r="H1438" s="23">
        <f>SUM(H1433:H1437)</f>
        <v/>
      </c>
      <c r="I1438" s="23">
        <f>SUM(I1433:I1437)</f>
        <v/>
      </c>
      <c r="J1438" s="23">
        <f>SUM(J1433:J1437)</f>
        <v/>
      </c>
      <c r="K1438" s="23">
        <f>SUM(K1433:K1437)</f>
        <v/>
      </c>
      <c r="L1438" s="23">
        <f>SUM(L1433:L1437)</f>
        <v/>
      </c>
      <c r="M1438" s="23">
        <f>SUM(M1433:M1437)</f>
        <v/>
      </c>
      <c r="N1438" s="23">
        <f>SUM(N1433:N1437)</f>
        <v/>
      </c>
    </row>
    <row r="1439">
      <c r="B1439" s="2" t="inlineStr">
        <is>
          <t>Revenue requirement on effective-year connections</t>
        </is>
      </c>
      <c r="C1439" s="5" t="inlineStr">
        <is>
          <t>$ million</t>
        </is>
      </c>
      <c r="E1439" s="23">
        <f>E1438*(1+pr_growth)</f>
        <v/>
      </c>
      <c r="F1439" s="23">
        <f>F1438*(1+pr_growth)</f>
        <v/>
      </c>
      <c r="G1439" s="23">
        <f>G1438*(1+pr_growth)</f>
        <v/>
      </c>
      <c r="H1439" s="23">
        <f>H1438*(1+pr_growth)</f>
        <v/>
      </c>
      <c r="I1439" s="23">
        <f>I1438*(1+pr_growth)</f>
        <v/>
      </c>
      <c r="J1439" s="23">
        <f>J1438*(1+pr_growth)</f>
        <v/>
      </c>
      <c r="K1439" s="23">
        <f>K1438*(1+pr_growth)</f>
        <v/>
      </c>
      <c r="L1439" s="23">
        <f>L1438*(1+pr_growth)</f>
        <v/>
      </c>
      <c r="M1439" s="23">
        <f>M1438*(1+pr_growth)</f>
        <v/>
      </c>
      <c r="N1439" s="23">
        <f>N1438*(1+pr_growth)</f>
        <v/>
      </c>
    </row>
    <row r="1440">
      <c r="B1440" s="2" t="inlineStr">
        <is>
          <t>Revenue at existing rates</t>
        </is>
      </c>
      <c r="C1440" s="5" t="inlineStr">
        <is>
          <t>$ million</t>
        </is>
      </c>
      <c r="E1440" s="23">
        <f>IF(E1411=(pr_close+1),D1446,D1446*(1+pr_growth)*(1-pr_vol_share*IF(pr_decoupling=1,0,pr_usage))+D1447+D1449)</f>
        <v/>
      </c>
      <c r="F1440" s="23">
        <f>IF(F1411=(pr_close+1),E1446,E1446*(1+pr_growth)*(1-pr_vol_share*IF(pr_decoupling=1,0,pr_usage))+E1447+E1449)</f>
        <v/>
      </c>
      <c r="G1440" s="23">
        <f>IF(G1411=(pr_close+1),F1446,F1446*(1+pr_growth)*(1-pr_vol_share*IF(pr_decoupling=1,0,pr_usage))+F1447+F1449)</f>
        <v/>
      </c>
      <c r="H1440" s="23">
        <f>IF(H1411=(pr_close+1),G1446,G1446*(1+pr_growth)*(1-pr_vol_share*IF(pr_decoupling=1,0,pr_usage))+G1447+G1449)</f>
        <v/>
      </c>
      <c r="I1440" s="23">
        <f>IF(I1411=(pr_close+1),H1446,H1446*(1+pr_growth)*(1-pr_vol_share*IF(pr_decoupling=1,0,pr_usage))+H1447+H1449)</f>
        <v/>
      </c>
      <c r="J1440" s="23">
        <f>IF(J1411=(pr_close+1),I1446,I1446*(1+pr_growth)*(1-pr_vol_share*IF(pr_decoupling=1,0,pr_usage))+I1447+I1449)</f>
        <v/>
      </c>
      <c r="K1440" s="23">
        <f>IF(K1411=(pr_close+1),J1446,J1446*(1+pr_growth)*(1-pr_vol_share*IF(pr_decoupling=1,0,pr_usage))+J1447+J1449)</f>
        <v/>
      </c>
      <c r="L1440" s="23">
        <f>IF(L1411=(pr_close+1),K1446,K1446*(1+pr_growth)*(1-pr_vol_share*IF(pr_decoupling=1,0,pr_usage))+K1447+K1449)</f>
        <v/>
      </c>
      <c r="M1440" s="23">
        <f>IF(M1411=(pr_close+1),L1446,L1446*(1+pr_growth)*(1-pr_vol_share*IF(pr_decoupling=1,0,pr_usage))+L1447+L1449)</f>
        <v/>
      </c>
      <c r="N1440" s="23">
        <f>IF(N1411=(pr_close+1),M1446,M1446*(1+pr_growth)*(1-pr_vol_share*IF(pr_decoupling=1,0,pr_usage))+M1447+M1449)</f>
        <v/>
      </c>
    </row>
    <row r="1441">
      <c r="B1441" s="2" t="inlineStr">
        <is>
          <t>Increase granted</t>
        </is>
      </c>
      <c r="C1441" s="5" t="inlineStr">
        <is>
          <t>share</t>
        </is>
      </c>
      <c r="E1441" s="20">
        <f>E1439/E1440-1</f>
        <v/>
      </c>
      <c r="F1441" s="20">
        <f>F1439/F1440-1</f>
        <v/>
      </c>
      <c r="G1441" s="20">
        <f>G1439/G1440-1</f>
        <v/>
      </c>
      <c r="H1441" s="20">
        <f>H1439/H1440-1</f>
        <v/>
      </c>
      <c r="I1441" s="20">
        <f>I1439/I1440-1</f>
        <v/>
      </c>
      <c r="J1441" s="20">
        <f>J1439/J1440-1</f>
        <v/>
      </c>
      <c r="K1441" s="20">
        <f>K1439/K1440-1</f>
        <v/>
      </c>
      <c r="L1441" s="20">
        <f>L1439/L1440-1</f>
        <v/>
      </c>
      <c r="M1441" s="20">
        <f>M1439/M1440-1</f>
        <v/>
      </c>
      <c r="N1441" s="20">
        <f>N1439/N1440-1</f>
        <v/>
      </c>
    </row>
    <row r="1442">
      <c r="B1442" s="2" t="inlineStr">
        <is>
          <t>Revenue requirement requested (at the requested ROE)</t>
        </is>
      </c>
      <c r="C1442" s="5" t="inlineStr">
        <is>
          <t>$ million</t>
        </is>
      </c>
      <c r="E1442" s="23">
        <f>(pr_eq*pr_roe_ask+(1-pr_eq)*E1430)*E1429+pr_eq*pr_roe_ask*E1429*pr_tax/(1-pr_tax)+E1435+E1436+E1437</f>
        <v/>
      </c>
      <c r="F1442" s="23">
        <f>(pr_eq*pr_roe_ask+(1-pr_eq)*F1430)*F1429+pr_eq*pr_roe_ask*F1429*pr_tax/(1-pr_tax)+F1435+F1436+F1437</f>
        <v/>
      </c>
      <c r="G1442" s="23">
        <f>(pr_eq*pr_roe_ask+(1-pr_eq)*G1430)*G1429+pr_eq*pr_roe_ask*G1429*pr_tax/(1-pr_tax)+G1435+G1436+G1437</f>
        <v/>
      </c>
      <c r="H1442" s="23">
        <f>(pr_eq*pr_roe_ask+(1-pr_eq)*H1430)*H1429+pr_eq*pr_roe_ask*H1429*pr_tax/(1-pr_tax)+H1435+H1436+H1437</f>
        <v/>
      </c>
      <c r="I1442" s="23">
        <f>(pr_eq*pr_roe_ask+(1-pr_eq)*I1430)*I1429+pr_eq*pr_roe_ask*I1429*pr_tax/(1-pr_tax)+I1435+I1436+I1437</f>
        <v/>
      </c>
      <c r="J1442" s="23">
        <f>(pr_eq*pr_roe_ask+(1-pr_eq)*J1430)*J1429+pr_eq*pr_roe_ask*J1429*pr_tax/(1-pr_tax)+J1435+J1436+J1437</f>
        <v/>
      </c>
      <c r="K1442" s="23">
        <f>(pr_eq*pr_roe_ask+(1-pr_eq)*K1430)*K1429+pr_eq*pr_roe_ask*K1429*pr_tax/(1-pr_tax)+K1435+K1436+K1437</f>
        <v/>
      </c>
      <c r="L1442" s="23">
        <f>(pr_eq*pr_roe_ask+(1-pr_eq)*L1430)*L1429+pr_eq*pr_roe_ask*L1429*pr_tax/(1-pr_tax)+L1435+L1436+L1437</f>
        <v/>
      </c>
      <c r="M1442" s="23">
        <f>(pr_eq*pr_roe_ask+(1-pr_eq)*M1430)*M1429+pr_eq*pr_roe_ask*M1429*pr_tax/(1-pr_tax)+M1435+M1436+M1437</f>
        <v/>
      </c>
      <c r="N1442" s="23">
        <f>(pr_eq*pr_roe_ask+(1-pr_eq)*N1430)*N1429+pr_eq*pr_roe_ask*N1429*pr_tax/(1-pr_tax)+N1435+N1436+N1437</f>
        <v/>
      </c>
    </row>
    <row r="1443">
      <c r="B1443" s="2" t="inlineStr">
        <is>
          <t>Increase requested</t>
        </is>
      </c>
      <c r="C1443" s="5" t="inlineStr">
        <is>
          <t>share</t>
        </is>
      </c>
      <c r="E1443" s="20">
        <f>E1442*(1+pr_growth)/E1440-1</f>
        <v/>
      </c>
      <c r="F1443" s="20">
        <f>F1442*(1+pr_growth)/F1440-1</f>
        <v/>
      </c>
      <c r="G1443" s="20">
        <f>G1442*(1+pr_growth)/G1440-1</f>
        <v/>
      </c>
      <c r="H1443" s="20">
        <f>H1442*(1+pr_growth)/H1440-1</f>
        <v/>
      </c>
      <c r="I1443" s="20">
        <f>I1442*(1+pr_growth)/I1440-1</f>
        <v/>
      </c>
      <c r="J1443" s="20">
        <f>J1442*(1+pr_growth)/J1440-1</f>
        <v/>
      </c>
      <c r="K1443" s="20">
        <f>K1442*(1+pr_growth)/K1440-1</f>
        <v/>
      </c>
      <c r="L1443" s="20">
        <f>L1442*(1+pr_growth)/L1440-1</f>
        <v/>
      </c>
      <c r="M1443" s="20">
        <f>M1442*(1+pr_growth)/M1440-1</f>
        <v/>
      </c>
      <c r="N1443" s="20">
        <f>N1442*(1+pr_growth)/N1440-1</f>
        <v/>
      </c>
    </row>
    <row r="1445">
      <c r="B1445" s="6" t="inlineStr">
        <is>
          <t>Revenue ($ million)</t>
        </is>
      </c>
      <c r="C1445" s="7" t="n"/>
      <c r="D1445" s="7" t="n"/>
      <c r="E1445" s="7" t="n"/>
      <c r="F1445" s="7" t="n"/>
      <c r="G1445" s="7" t="n"/>
      <c r="H1445" s="7" t="n"/>
      <c r="I1445" s="7" t="n"/>
      <c r="J1445" s="7" t="n"/>
      <c r="K1445" s="7" t="n"/>
      <c r="L1445" s="7" t="n"/>
      <c r="M1445" s="7" t="n"/>
      <c r="N1445" s="7" t="n"/>
    </row>
    <row r="1446">
      <c r="B1446" s="2" t="inlineStr">
        <is>
          <t>Base revenue (rate case, or prior year x growth x volume erosion)</t>
        </is>
      </c>
      <c r="C1446" s="5" t="inlineStr">
        <is>
          <t>$ million</t>
        </is>
      </c>
      <c r="D1446" s="23">
        <f>pr_rev_2028/((1+pr_growth)*(1-pr_vol_share*IF(pr_decoupling=1,0,pr_usage)))</f>
        <v/>
      </c>
      <c r="E1446" s="23">
        <f>IF(E1426=1,E1439,D1446*(1+pr_growth)*(1-pr_vol_share*IF(pr_decoupling=1,0,pr_usage)))</f>
        <v/>
      </c>
      <c r="F1446" s="23">
        <f>IF(F1426=1,F1439,E1446*(1+pr_growth)*(1-pr_vol_share*IF(pr_decoupling=1,0,pr_usage)))</f>
        <v/>
      </c>
      <c r="G1446" s="23">
        <f>IF(G1426=1,G1439,F1446*(1+pr_growth)*(1-pr_vol_share*IF(pr_decoupling=1,0,pr_usage)))</f>
        <v/>
      </c>
      <c r="H1446" s="23">
        <f>IF(H1426=1,H1439,G1446*(1+pr_growth)*(1-pr_vol_share*IF(pr_decoupling=1,0,pr_usage)))</f>
        <v/>
      </c>
      <c r="I1446" s="23">
        <f>IF(I1426=1,I1439,H1446*(1+pr_growth)*(1-pr_vol_share*IF(pr_decoupling=1,0,pr_usage)))</f>
        <v/>
      </c>
      <c r="J1446" s="23">
        <f>IF(J1426=1,J1439,I1446*(1+pr_growth)*(1-pr_vol_share*IF(pr_decoupling=1,0,pr_usage)))</f>
        <v/>
      </c>
      <c r="K1446" s="23">
        <f>IF(K1426=1,K1439,J1446*(1+pr_growth)*(1-pr_vol_share*IF(pr_decoupling=1,0,pr_usage)))</f>
        <v/>
      </c>
      <c r="L1446" s="23">
        <f>IF(L1426=1,L1439,K1446*(1+pr_growth)*(1-pr_vol_share*IF(pr_decoupling=1,0,pr_usage)))</f>
        <v/>
      </c>
      <c r="M1446" s="23">
        <f>IF(M1426=1,M1439,L1446*(1+pr_growth)*(1-pr_vol_share*IF(pr_decoupling=1,0,pr_usage)))</f>
        <v/>
      </c>
      <c r="N1446" s="23">
        <f>IF(N1426=1,N1439,M1446*(1+pr_growth)*(1-pr_vol_share*IF(pr_decoupling=1,0,pr_usage)))</f>
        <v/>
      </c>
    </row>
    <row r="1447">
      <c r="B1447" s="2" t="inlineStr">
        <is>
          <t>Fennick revenue at its old rates (until the next rate case)</t>
        </is>
      </c>
      <c r="C1447" s="5" t="inlineStr">
        <is>
          <t>$ million</t>
        </is>
      </c>
      <c r="E1447" s="23">
        <f>IF(AND(Inputs!$C$265=1,E1411&gt;pr_fen_year,SUMIFS($D$1426:E$1426,$D$1411:E$1411,"&gt;"&amp;pr_fen_year)=0),pr_fen_rev,0)</f>
        <v/>
      </c>
      <c r="F1447" s="23">
        <f>IF(AND(Inputs!$C$265=1,F1411&gt;pr_fen_year,SUMIFS($D$1426:F$1426,$D$1411:F$1411,"&gt;"&amp;pr_fen_year)=0),pr_fen_rev,0)</f>
        <v/>
      </c>
      <c r="G1447" s="23">
        <f>IF(AND(Inputs!$C$265=1,G1411&gt;pr_fen_year,SUMIFS($D$1426:G$1426,$D$1411:G$1411,"&gt;"&amp;pr_fen_year)=0),pr_fen_rev,0)</f>
        <v/>
      </c>
      <c r="H1447" s="23">
        <f>IF(AND(Inputs!$C$265=1,H1411&gt;pr_fen_year,SUMIFS($D$1426:H$1426,$D$1411:H$1411,"&gt;"&amp;pr_fen_year)=0),pr_fen_rev,0)</f>
        <v/>
      </c>
      <c r="I1447" s="23">
        <f>IF(AND(Inputs!$C$265=1,I1411&gt;pr_fen_year,SUMIFS($D$1426:I$1426,$D$1411:I$1411,"&gt;"&amp;pr_fen_year)=0),pr_fen_rev,0)</f>
        <v/>
      </c>
      <c r="J1447" s="23">
        <f>IF(AND(Inputs!$C$265=1,J1411&gt;pr_fen_year,SUMIFS($D$1426:J$1426,$D$1411:J$1411,"&gt;"&amp;pr_fen_year)=0),pr_fen_rev,0)</f>
        <v/>
      </c>
      <c r="K1447" s="23">
        <f>IF(AND(Inputs!$C$265=1,K1411&gt;pr_fen_year,SUMIFS($D$1426:K$1426,$D$1411:K$1411,"&gt;"&amp;pr_fen_year)=0),pr_fen_rev,0)</f>
        <v/>
      </c>
      <c r="L1447" s="23">
        <f>IF(AND(Inputs!$C$265=1,L1411&gt;pr_fen_year,SUMIFS($D$1426:L$1426,$D$1411:L$1411,"&gt;"&amp;pr_fen_year)=0),pr_fen_rev,0)</f>
        <v/>
      </c>
      <c r="M1447" s="23">
        <f>IF(AND(Inputs!$C$265=1,M1411&gt;pr_fen_year,SUMIFS($D$1426:M$1426,$D$1411:M$1411,"&gt;"&amp;pr_fen_year)=0),pr_fen_rev,0)</f>
        <v/>
      </c>
      <c r="N1447" s="23">
        <f>IF(AND(Inputs!$C$265=1,N1411&gt;pr_fen_year,SUMIFS($D$1426:N$1426,$D$1411:N$1411,"&gt;"&amp;pr_fen_year)=0),pr_fen_rev,0)</f>
        <v/>
      </c>
    </row>
    <row r="1448">
      <c r="B1448" s="2" t="inlineStr">
        <is>
          <t>DSIC pool: eligible plant since the latest test year</t>
        </is>
      </c>
      <c r="C1448" s="5" t="inlineStr">
        <is>
          <t>$ million</t>
        </is>
      </c>
      <c r="E1448" s="23">
        <f>IF(E1411=(pr_close+1),0,SUMIFS($D$1423:D$1423,$D$1411:D$1411,"&gt;"&amp;E1428))</f>
        <v/>
      </c>
      <c r="F1448" s="23">
        <f>IF(F1411=(pr_close+1),0,SUMIFS($D$1423:E$1423,$D$1411:E$1411,"&gt;"&amp;F1428))</f>
        <v/>
      </c>
      <c r="G1448" s="23">
        <f>IF(G1411=(pr_close+1),0,SUMIFS($D$1423:F$1423,$D$1411:F$1411,"&gt;"&amp;G1428))</f>
        <v/>
      </c>
      <c r="H1448" s="23">
        <f>IF(H1411=(pr_close+1),0,SUMIFS($D$1423:G$1423,$D$1411:G$1411,"&gt;"&amp;H1428))</f>
        <v/>
      </c>
      <c r="I1448" s="23">
        <f>IF(I1411=(pr_close+1),0,SUMIFS($D$1423:H$1423,$D$1411:H$1411,"&gt;"&amp;I1428))</f>
        <v/>
      </c>
      <c r="J1448" s="23">
        <f>IF(J1411=(pr_close+1),0,SUMIFS($D$1423:I$1423,$D$1411:I$1411,"&gt;"&amp;J1428))</f>
        <v/>
      </c>
      <c r="K1448" s="23">
        <f>IF(K1411=(pr_close+1),0,SUMIFS($D$1423:J$1423,$D$1411:J$1411,"&gt;"&amp;K1428))</f>
        <v/>
      </c>
      <c r="L1448" s="23">
        <f>IF(L1411=(pr_close+1),0,SUMIFS($D$1423:K$1423,$D$1411:K$1411,"&gt;"&amp;L1428))</f>
        <v/>
      </c>
      <c r="M1448" s="23">
        <f>IF(M1411=(pr_close+1),0,SUMIFS($D$1423:L$1423,$D$1411:L$1411,"&gt;"&amp;M1428))</f>
        <v/>
      </c>
      <c r="N1448" s="23">
        <f>IF(N1411=(pr_close+1),0,SUMIFS($D$1423:M$1423,$D$1411:M$1411,"&gt;"&amp;N1428))</f>
        <v/>
      </c>
    </row>
    <row r="1449">
      <c r="B1449" s="2" t="inlineStr">
        <is>
          <t>DSIC surcharge (capped)</t>
        </is>
      </c>
      <c r="C1449" s="5" t="inlineStr">
        <is>
          <t>$ million</t>
        </is>
      </c>
      <c r="E1449" s="23">
        <f>IF(AND(pr_dsic=1,E1411&gt;(pr_close+1)),MIN(pr_dsic_cap*E1446,E1448*((pr_eq*pr_roe+(1-pr_eq)*D1472)+(pr_eq*pr_roe*pr_tax/(1-pr_tax))+pr_dep)),0)</f>
        <v/>
      </c>
      <c r="F1449" s="23">
        <f>IF(AND(pr_dsic=1,F1411&gt;(pr_close+1)),MIN(pr_dsic_cap*F1446,F1448*((pr_eq*pr_roe+(1-pr_eq)*E1472)+(pr_eq*pr_roe*pr_tax/(1-pr_tax))+pr_dep)),0)</f>
        <v/>
      </c>
      <c r="G1449" s="23">
        <f>IF(AND(pr_dsic=1,G1411&gt;(pr_close+1)),MIN(pr_dsic_cap*G1446,G1448*((pr_eq*pr_roe+(1-pr_eq)*F1472)+(pr_eq*pr_roe*pr_tax/(1-pr_tax))+pr_dep)),0)</f>
        <v/>
      </c>
      <c r="H1449" s="23">
        <f>IF(AND(pr_dsic=1,H1411&gt;(pr_close+1)),MIN(pr_dsic_cap*H1446,H1448*((pr_eq*pr_roe+(1-pr_eq)*G1472)+(pr_eq*pr_roe*pr_tax/(1-pr_tax))+pr_dep)),0)</f>
        <v/>
      </c>
      <c r="I1449" s="23">
        <f>IF(AND(pr_dsic=1,I1411&gt;(pr_close+1)),MIN(pr_dsic_cap*I1446,I1448*((pr_eq*pr_roe+(1-pr_eq)*H1472)+(pr_eq*pr_roe*pr_tax/(1-pr_tax))+pr_dep)),0)</f>
        <v/>
      </c>
      <c r="J1449" s="23">
        <f>IF(AND(pr_dsic=1,J1411&gt;(pr_close+1)),MIN(pr_dsic_cap*J1446,J1448*((pr_eq*pr_roe+(1-pr_eq)*I1472)+(pr_eq*pr_roe*pr_tax/(1-pr_tax))+pr_dep)),0)</f>
        <v/>
      </c>
      <c r="K1449" s="23">
        <f>IF(AND(pr_dsic=1,K1411&gt;(pr_close+1)),MIN(pr_dsic_cap*K1446,K1448*((pr_eq*pr_roe+(1-pr_eq)*J1472)+(pr_eq*pr_roe*pr_tax/(1-pr_tax))+pr_dep)),0)</f>
        <v/>
      </c>
      <c r="L1449" s="23">
        <f>IF(AND(pr_dsic=1,L1411&gt;(pr_close+1)),MIN(pr_dsic_cap*L1446,L1448*((pr_eq*pr_roe+(1-pr_eq)*K1472)+(pr_eq*pr_roe*pr_tax/(1-pr_tax))+pr_dep)),0)</f>
        <v/>
      </c>
      <c r="M1449" s="23">
        <f>IF(AND(pr_dsic=1,M1411&gt;(pr_close+1)),MIN(pr_dsic_cap*M1446,M1448*((pr_eq*pr_roe+(1-pr_eq)*L1472)+(pr_eq*pr_roe*pr_tax/(1-pr_tax))+pr_dep)),0)</f>
        <v/>
      </c>
      <c r="N1449" s="23">
        <f>IF(AND(pr_dsic=1,N1411&gt;(pr_close+1)),MIN(pr_dsic_cap*N1446,N1448*((pr_eq*pr_roe+(1-pr_eq)*M1472)+(pr_eq*pr_roe*pr_tax/(1-pr_tax))+pr_dep)),0)</f>
        <v/>
      </c>
    </row>
    <row r="1450">
      <c r="B1450" s="3" t="inlineStr">
        <is>
          <t>Revenue</t>
        </is>
      </c>
      <c r="C1450" s="5" t="inlineStr">
        <is>
          <t>$ million</t>
        </is>
      </c>
      <c r="E1450" s="23">
        <f>E1446+E1447+E1449</f>
        <v/>
      </c>
      <c r="F1450" s="23">
        <f>F1446+F1447+F1449</f>
        <v/>
      </c>
      <c r="G1450" s="23">
        <f>G1446+G1447+G1449</f>
        <v/>
      </c>
      <c r="H1450" s="23">
        <f>H1446+H1447+H1449</f>
        <v/>
      </c>
      <c r="I1450" s="23">
        <f>I1446+I1447+I1449</f>
        <v/>
      </c>
      <c r="J1450" s="23">
        <f>J1446+J1447+J1449</f>
        <v/>
      </c>
      <c r="K1450" s="23">
        <f>K1446+K1447+K1449</f>
        <v/>
      </c>
      <c r="L1450" s="23">
        <f>L1446+L1447+L1449</f>
        <v/>
      </c>
      <c r="M1450" s="23">
        <f>M1446+M1447+M1449</f>
        <v/>
      </c>
      <c r="N1450" s="23">
        <f>N1446+N1447+N1449</f>
        <v/>
      </c>
    </row>
    <row r="1452">
      <c r="B1452" s="6" t="inlineStr">
        <is>
          <t>Costs and income ($ million)</t>
        </is>
      </c>
      <c r="C1452" s="7" t="n"/>
      <c r="D1452" s="7" t="n"/>
      <c r="E1452" s="7" t="n"/>
      <c r="F1452" s="7" t="n"/>
      <c r="G1452" s="7" t="n"/>
      <c r="H1452" s="7" t="n"/>
      <c r="I1452" s="7" t="n"/>
      <c r="J1452" s="7" t="n"/>
      <c r="K1452" s="7" t="n"/>
      <c r="L1452" s="7" t="n"/>
      <c r="M1452" s="7" t="n"/>
      <c r="N1452" s="7" t="n"/>
    </row>
    <row r="1453">
      <c r="B1453" s="2" t="inlineStr">
        <is>
          <t>Operation and maintenance (with PFAS and Fennick)</t>
        </is>
      </c>
      <c r="C1453" s="5" t="inlineStr">
        <is>
          <t>$ million</t>
        </is>
      </c>
      <c r="D1453" s="23">
        <f>pr_om_2028/((1+pr_om_infl)*(1+pr_growth))</f>
        <v/>
      </c>
      <c r="E1453" s="23">
        <f>pr_om_2028*((1+pr_om_infl)*(1+pr_growth))^E1412+IF(E1411&gt;=pr_pfas_om_y+pr_pfas_delay,pr_pfas_om*(1+pr_pfas_om_esc)^(E1411-pr_pfas_om_y),0)+IF(AND(Inputs!$C$265=1,E1411&gt;pr_fen_year),pr_fen_om*(1+pr_fen_esc)^(E1411-pr_fen_year-1),0)</f>
        <v/>
      </c>
      <c r="F1453" s="23">
        <f>pr_om_2028*((1+pr_om_infl)*(1+pr_growth))^F1412+IF(F1411&gt;=pr_pfas_om_y+pr_pfas_delay,pr_pfas_om*(1+pr_pfas_om_esc)^(F1411-pr_pfas_om_y),0)+IF(AND(Inputs!$C$265=1,F1411&gt;pr_fen_year),pr_fen_om*(1+pr_fen_esc)^(F1411-pr_fen_year-1),0)</f>
        <v/>
      </c>
      <c r="G1453" s="23">
        <f>pr_om_2028*((1+pr_om_infl)*(1+pr_growth))^G1412+IF(G1411&gt;=pr_pfas_om_y+pr_pfas_delay,pr_pfas_om*(1+pr_pfas_om_esc)^(G1411-pr_pfas_om_y),0)+IF(AND(Inputs!$C$265=1,G1411&gt;pr_fen_year),pr_fen_om*(1+pr_fen_esc)^(G1411-pr_fen_year-1),0)</f>
        <v/>
      </c>
      <c r="H1453" s="23">
        <f>pr_om_2028*((1+pr_om_infl)*(1+pr_growth))^H1412+IF(H1411&gt;=pr_pfas_om_y+pr_pfas_delay,pr_pfas_om*(1+pr_pfas_om_esc)^(H1411-pr_pfas_om_y),0)+IF(AND(Inputs!$C$265=1,H1411&gt;pr_fen_year),pr_fen_om*(1+pr_fen_esc)^(H1411-pr_fen_year-1),0)</f>
        <v/>
      </c>
      <c r="I1453" s="23">
        <f>pr_om_2028*((1+pr_om_infl)*(1+pr_growth))^I1412+IF(I1411&gt;=pr_pfas_om_y+pr_pfas_delay,pr_pfas_om*(1+pr_pfas_om_esc)^(I1411-pr_pfas_om_y),0)+IF(AND(Inputs!$C$265=1,I1411&gt;pr_fen_year),pr_fen_om*(1+pr_fen_esc)^(I1411-pr_fen_year-1),0)</f>
        <v/>
      </c>
      <c r="J1453" s="23">
        <f>pr_om_2028*((1+pr_om_infl)*(1+pr_growth))^J1412+IF(J1411&gt;=pr_pfas_om_y+pr_pfas_delay,pr_pfas_om*(1+pr_pfas_om_esc)^(J1411-pr_pfas_om_y),0)+IF(AND(Inputs!$C$265=1,J1411&gt;pr_fen_year),pr_fen_om*(1+pr_fen_esc)^(J1411-pr_fen_year-1),0)</f>
        <v/>
      </c>
      <c r="K1453" s="23">
        <f>pr_om_2028*((1+pr_om_infl)*(1+pr_growth))^K1412+IF(K1411&gt;=pr_pfas_om_y+pr_pfas_delay,pr_pfas_om*(1+pr_pfas_om_esc)^(K1411-pr_pfas_om_y),0)+IF(AND(Inputs!$C$265=1,K1411&gt;pr_fen_year),pr_fen_om*(1+pr_fen_esc)^(K1411-pr_fen_year-1),0)</f>
        <v/>
      </c>
      <c r="L1453" s="23">
        <f>pr_om_2028*((1+pr_om_infl)*(1+pr_growth))^L1412+IF(L1411&gt;=pr_pfas_om_y+pr_pfas_delay,pr_pfas_om*(1+pr_pfas_om_esc)^(L1411-pr_pfas_om_y),0)+IF(AND(Inputs!$C$265=1,L1411&gt;pr_fen_year),pr_fen_om*(1+pr_fen_esc)^(L1411-pr_fen_year-1),0)</f>
        <v/>
      </c>
      <c r="M1453" s="23">
        <f>pr_om_2028*((1+pr_om_infl)*(1+pr_growth))^M1412+IF(M1411&gt;=pr_pfas_om_y+pr_pfas_delay,pr_pfas_om*(1+pr_pfas_om_esc)^(M1411-pr_pfas_om_y),0)+IF(AND(Inputs!$C$265=1,M1411&gt;pr_fen_year),pr_fen_om*(1+pr_fen_esc)^(M1411-pr_fen_year-1),0)</f>
        <v/>
      </c>
      <c r="N1453" s="23">
        <f>pr_om_2028*((1+pr_om_infl)*(1+pr_growth))^N1412+IF(N1411&gt;=pr_pfas_om_y+pr_pfas_delay,pr_pfas_om*(1+pr_pfas_om_esc)^(N1411-pr_pfas_om_y),0)+IF(AND(Inputs!$C$265=1,N1411&gt;pr_fen_year),pr_fen_om*(1+pr_fen_esc)^(N1411-pr_fen_year-1),0)</f>
        <v/>
      </c>
    </row>
    <row r="1454">
      <c r="B1454" s="2" t="inlineStr">
        <is>
          <t>Customer-side lead cost expensed</t>
        </is>
      </c>
      <c r="C1454" s="5" t="inlineStr">
        <is>
          <t>$ million</t>
        </is>
      </c>
      <c r="E1454" s="23">
        <f>pr_lead_exp*E1420*pr_lead_cust</f>
        <v/>
      </c>
      <c r="F1454" s="23">
        <f>pr_lead_exp*F1420*pr_lead_cust</f>
        <v/>
      </c>
      <c r="G1454" s="23">
        <f>pr_lead_exp*G1420*pr_lead_cust</f>
        <v/>
      </c>
      <c r="H1454" s="23">
        <f>pr_lead_exp*H1420*pr_lead_cust</f>
        <v/>
      </c>
      <c r="I1454" s="23">
        <f>pr_lead_exp*I1420*pr_lead_cust</f>
        <v/>
      </c>
      <c r="J1454" s="23">
        <f>pr_lead_exp*J1420*pr_lead_cust</f>
        <v/>
      </c>
      <c r="K1454" s="23">
        <f>pr_lead_exp*K1420*pr_lead_cust</f>
        <v/>
      </c>
      <c r="L1454" s="23">
        <f>pr_lead_exp*L1420*pr_lead_cust</f>
        <v/>
      </c>
      <c r="M1454" s="23">
        <f>pr_lead_exp*M1420*pr_lead_cust</f>
        <v/>
      </c>
      <c r="N1454" s="23">
        <f>pr_lead_exp*N1420*pr_lead_cust</f>
        <v/>
      </c>
    </row>
    <row r="1455">
      <c r="B1455" s="2" t="inlineStr">
        <is>
          <t>Other taxes</t>
        </is>
      </c>
      <c r="C1455" s="5" t="inlineStr">
        <is>
          <t>$ million</t>
        </is>
      </c>
      <c r="E1455" s="23">
        <f>pr_ptax*E1464</f>
        <v/>
      </c>
      <c r="F1455" s="23">
        <f>pr_ptax*F1464</f>
        <v/>
      </c>
      <c r="G1455" s="23">
        <f>pr_ptax*G1464</f>
        <v/>
      </c>
      <c r="H1455" s="23">
        <f>pr_ptax*H1464</f>
        <v/>
      </c>
      <c r="I1455" s="23">
        <f>pr_ptax*I1464</f>
        <v/>
      </c>
      <c r="J1455" s="23">
        <f>pr_ptax*J1464</f>
        <v/>
      </c>
      <c r="K1455" s="23">
        <f>pr_ptax*K1464</f>
        <v/>
      </c>
      <c r="L1455" s="23">
        <f>pr_ptax*L1464</f>
        <v/>
      </c>
      <c r="M1455" s="23">
        <f>pr_ptax*M1464</f>
        <v/>
      </c>
      <c r="N1455" s="23">
        <f>pr_ptax*N1464</f>
        <v/>
      </c>
    </row>
    <row r="1456">
      <c r="B1456" s="2" t="inlineStr">
        <is>
          <t>EBITDA</t>
        </is>
      </c>
      <c r="C1456" s="5" t="inlineStr">
        <is>
          <t>$ million</t>
        </is>
      </c>
      <c r="E1456" s="23">
        <f>E1450-E1453-E1455-E1454</f>
        <v/>
      </c>
      <c r="F1456" s="23">
        <f>F1450-F1453-F1455-F1454</f>
        <v/>
      </c>
      <c r="G1456" s="23">
        <f>G1450-G1453-G1455-G1454</f>
        <v/>
      </c>
      <c r="H1456" s="23">
        <f>H1450-H1453-H1455-H1454</f>
        <v/>
      </c>
      <c r="I1456" s="23">
        <f>I1450-I1453-I1455-I1454</f>
        <v/>
      </c>
      <c r="J1456" s="23">
        <f>J1450-J1453-J1455-J1454</f>
        <v/>
      </c>
      <c r="K1456" s="23">
        <f>K1450-K1453-K1455-K1454</f>
        <v/>
      </c>
      <c r="L1456" s="23">
        <f>L1450-L1453-L1455-L1454</f>
        <v/>
      </c>
      <c r="M1456" s="23">
        <f>M1450-M1453-M1455-M1454</f>
        <v/>
      </c>
      <c r="N1456" s="23">
        <f>N1450-N1453-N1455-N1454</f>
        <v/>
      </c>
    </row>
    <row r="1457">
      <c r="B1457" s="2" t="inlineStr">
        <is>
          <t>Depreciation</t>
        </is>
      </c>
      <c r="C1457" s="5" t="inlineStr">
        <is>
          <t>$ million</t>
        </is>
      </c>
      <c r="E1457" s="23">
        <f>pr_dep*E1464</f>
        <v/>
      </c>
      <c r="F1457" s="23">
        <f>pr_dep*F1464</f>
        <v/>
      </c>
      <c r="G1457" s="23">
        <f>pr_dep*G1464</f>
        <v/>
      </c>
      <c r="H1457" s="23">
        <f>pr_dep*H1464</f>
        <v/>
      </c>
      <c r="I1457" s="23">
        <f>pr_dep*I1464</f>
        <v/>
      </c>
      <c r="J1457" s="23">
        <f>pr_dep*J1464</f>
        <v/>
      </c>
      <c r="K1457" s="23">
        <f>pr_dep*K1464</f>
        <v/>
      </c>
      <c r="L1457" s="23">
        <f>pr_dep*L1464</f>
        <v/>
      </c>
      <c r="M1457" s="23">
        <f>pr_dep*M1464</f>
        <v/>
      </c>
      <c r="N1457" s="23">
        <f>pr_dep*N1464</f>
        <v/>
      </c>
    </row>
    <row r="1458">
      <c r="B1458" s="2" t="inlineStr">
        <is>
          <t>Interest (average of opening and closing debt)</t>
        </is>
      </c>
      <c r="C1458" s="5" t="inlineStr">
        <is>
          <t>$ million</t>
        </is>
      </c>
      <c r="E1458" s="23">
        <f>0.5*(D1470*D1472+E1470*E1472)</f>
        <v/>
      </c>
      <c r="F1458" s="23">
        <f>0.5*(E1470*E1472+F1470*F1472)</f>
        <v/>
      </c>
      <c r="G1458" s="23">
        <f>0.5*(F1470*F1472+G1470*G1472)</f>
        <v/>
      </c>
      <c r="H1458" s="23">
        <f>0.5*(G1470*G1472+H1470*H1472)</f>
        <v/>
      </c>
      <c r="I1458" s="23">
        <f>0.5*(H1470*H1472+I1470*I1472)</f>
        <v/>
      </c>
      <c r="J1458" s="23">
        <f>0.5*(I1470*I1472+J1470*J1472)</f>
        <v/>
      </c>
      <c r="K1458" s="23">
        <f>0.5*(J1470*J1472+K1470*K1472)</f>
        <v/>
      </c>
      <c r="L1458" s="23">
        <f>0.5*(K1470*K1472+L1470*L1472)</f>
        <v/>
      </c>
      <c r="M1458" s="23">
        <f>0.5*(L1470*L1472+M1470*M1472)</f>
        <v/>
      </c>
      <c r="N1458" s="23">
        <f>0.5*(M1470*M1472+N1470*N1472)</f>
        <v/>
      </c>
    </row>
    <row r="1459">
      <c r="B1459" s="2" t="inlineStr">
        <is>
          <t>Income before tax</t>
        </is>
      </c>
      <c r="C1459" s="5" t="inlineStr">
        <is>
          <t>$ million</t>
        </is>
      </c>
      <c r="E1459" s="23">
        <f>E1456-E1457-E1458</f>
        <v/>
      </c>
      <c r="F1459" s="23">
        <f>F1456-F1457-F1458</f>
        <v/>
      </c>
      <c r="G1459" s="23">
        <f>G1456-G1457-G1458</f>
        <v/>
      </c>
      <c r="H1459" s="23">
        <f>H1456-H1457-H1458</f>
        <v/>
      </c>
      <c r="I1459" s="23">
        <f>I1456-I1457-I1458</f>
        <v/>
      </c>
      <c r="J1459" s="23">
        <f>J1456-J1457-J1458</f>
        <v/>
      </c>
      <c r="K1459" s="23">
        <f>K1456-K1457-K1458</f>
        <v/>
      </c>
      <c r="L1459" s="23">
        <f>L1456-L1457-L1458</f>
        <v/>
      </c>
      <c r="M1459" s="23">
        <f>M1456-M1457-M1458</f>
        <v/>
      </c>
      <c r="N1459" s="23">
        <f>N1456-N1457-N1458</f>
        <v/>
      </c>
    </row>
    <row r="1460">
      <c r="B1460" s="2" t="inlineStr">
        <is>
          <t>Income tax</t>
        </is>
      </c>
      <c r="C1460" s="5" t="inlineStr">
        <is>
          <t>$ million</t>
        </is>
      </c>
      <c r="E1460" s="23">
        <f>pr_tax*E1459</f>
        <v/>
      </c>
      <c r="F1460" s="23">
        <f>pr_tax*F1459</f>
        <v/>
      </c>
      <c r="G1460" s="23">
        <f>pr_tax*G1459</f>
        <v/>
      </c>
      <c r="H1460" s="23">
        <f>pr_tax*H1459</f>
        <v/>
      </c>
      <c r="I1460" s="23">
        <f>pr_tax*I1459</f>
        <v/>
      </c>
      <c r="J1460" s="23">
        <f>pr_tax*J1459</f>
        <v/>
      </c>
      <c r="K1460" s="23">
        <f>pr_tax*K1459</f>
        <v/>
      </c>
      <c r="L1460" s="23">
        <f>pr_tax*L1459</f>
        <v/>
      </c>
      <c r="M1460" s="23">
        <f>pr_tax*M1459</f>
        <v/>
      </c>
      <c r="N1460" s="23">
        <f>pr_tax*N1459</f>
        <v/>
      </c>
    </row>
    <row r="1461">
      <c r="B1461" s="3" t="inlineStr">
        <is>
          <t>Net income</t>
        </is>
      </c>
      <c r="C1461" s="5" t="inlineStr">
        <is>
          <t>$ million</t>
        </is>
      </c>
      <c r="E1461" s="23">
        <f>E1459-E1460</f>
        <v/>
      </c>
      <c r="F1461" s="23">
        <f>F1459-F1460</f>
        <v/>
      </c>
      <c r="G1461" s="23">
        <f>G1459-G1460</f>
        <v/>
      </c>
      <c r="H1461" s="23">
        <f>H1459-H1460</f>
        <v/>
      </c>
      <c r="I1461" s="23">
        <f>I1459-I1460</f>
        <v/>
      </c>
      <c r="J1461" s="23">
        <f>J1459-J1460</f>
        <v/>
      </c>
      <c r="K1461" s="23">
        <f>K1459-K1460</f>
        <v/>
      </c>
      <c r="L1461" s="23">
        <f>L1459-L1460</f>
        <v/>
      </c>
      <c r="M1461" s="23">
        <f>M1459-M1460</f>
        <v/>
      </c>
      <c r="N1461" s="23">
        <f>N1459-N1460</f>
        <v/>
      </c>
    </row>
    <row r="1463">
      <c r="B1463" s="6" t="inlineStr">
        <is>
          <t>Rate base and debt ($ million)</t>
        </is>
      </c>
      <c r="C1463" s="7" t="n"/>
      <c r="D1463" s="7" t="n"/>
      <c r="E1463" s="7" t="n"/>
      <c r="F1463" s="7" t="n"/>
      <c r="G1463" s="7" t="n"/>
      <c r="H1463" s="7" t="n"/>
      <c r="I1463" s="7" t="n"/>
      <c r="J1463" s="7" t="n"/>
      <c r="K1463" s="7" t="n"/>
      <c r="L1463" s="7" t="n"/>
      <c r="M1463" s="7" t="n"/>
      <c r="N1463" s="7" t="n"/>
    </row>
    <row r="1464">
      <c r="B1464" s="2" t="inlineStr">
        <is>
          <t>Opening rate base</t>
        </is>
      </c>
      <c r="C1464" s="5" t="inlineStr">
        <is>
          <t>$ million</t>
        </is>
      </c>
      <c r="E1464" s="23">
        <f>D1468</f>
        <v/>
      </c>
      <c r="F1464" s="23">
        <f>E1468</f>
        <v/>
      </c>
      <c r="G1464" s="23">
        <f>F1468</f>
        <v/>
      </c>
      <c r="H1464" s="23">
        <f>G1468</f>
        <v/>
      </c>
      <c r="I1464" s="23">
        <f>H1468</f>
        <v/>
      </c>
      <c r="J1464" s="23">
        <f>I1468</f>
        <v/>
      </c>
      <c r="K1464" s="23">
        <f>J1468</f>
        <v/>
      </c>
      <c r="L1464" s="23">
        <f>K1468</f>
        <v/>
      </c>
      <c r="M1464" s="23">
        <f>L1468</f>
        <v/>
      </c>
      <c r="N1464" s="23">
        <f>M1468</f>
        <v/>
      </c>
    </row>
    <row r="1465">
      <c r="B1465" s="2" t="inlineStr">
        <is>
          <t>Spending disallowed (never in rate base)</t>
        </is>
      </c>
      <c r="C1465" s="5" t="inlineStr">
        <is>
          <t>$ million</t>
        </is>
      </c>
      <c r="E1465" s="23">
        <f>pr_disallow*(E1419+E1420-E1454)</f>
        <v/>
      </c>
      <c r="F1465" s="23">
        <f>pr_disallow*(F1419+F1420-F1454)</f>
        <v/>
      </c>
      <c r="G1465" s="23">
        <f>pr_disallow*(G1419+G1420-G1454)</f>
        <v/>
      </c>
      <c r="H1465" s="23">
        <f>pr_disallow*(H1419+H1420-H1454)</f>
        <v/>
      </c>
      <c r="I1465" s="23">
        <f>pr_disallow*(I1419+I1420-I1454)</f>
        <v/>
      </c>
      <c r="J1465" s="23">
        <f>pr_disallow*(J1419+J1420-J1454)</f>
        <v/>
      </c>
      <c r="K1465" s="23">
        <f>pr_disallow*(K1419+K1420-K1454)</f>
        <v/>
      </c>
      <c r="L1465" s="23">
        <f>pr_disallow*(L1419+L1420-L1454)</f>
        <v/>
      </c>
      <c r="M1465" s="23">
        <f>pr_disallow*(M1419+M1420-M1454)</f>
        <v/>
      </c>
      <c r="N1465" s="23">
        <f>pr_disallow*(N1419+N1420-N1454)</f>
        <v/>
      </c>
    </row>
    <row r="1466">
      <c r="B1466" s="2" t="inlineStr">
        <is>
          <t>Acquisitions (Fennick at its price)</t>
        </is>
      </c>
      <c r="C1466" s="5" t="inlineStr">
        <is>
          <t>$ million</t>
        </is>
      </c>
      <c r="E1466" s="23">
        <f>IF(AND(Inputs!$C$265=1,E1411=pr_fen_year),pr_fen_price,0)</f>
        <v/>
      </c>
      <c r="F1466" s="23">
        <f>IF(AND(Inputs!$C$265=1,F1411=pr_fen_year),pr_fen_price,0)</f>
        <v/>
      </c>
      <c r="G1466" s="23">
        <f>IF(AND(Inputs!$C$265=1,G1411=pr_fen_year),pr_fen_price,0)</f>
        <v/>
      </c>
      <c r="H1466" s="23">
        <f>IF(AND(Inputs!$C$265=1,H1411=pr_fen_year),pr_fen_price,0)</f>
        <v/>
      </c>
      <c r="I1466" s="23">
        <f>IF(AND(Inputs!$C$265=1,I1411=pr_fen_year),pr_fen_price,0)</f>
        <v/>
      </c>
      <c r="J1466" s="23">
        <f>IF(AND(Inputs!$C$265=1,J1411=pr_fen_year),pr_fen_price,0)</f>
        <v/>
      </c>
      <c r="K1466" s="23">
        <f>IF(AND(Inputs!$C$265=1,K1411=pr_fen_year),pr_fen_price,0)</f>
        <v/>
      </c>
      <c r="L1466" s="23">
        <f>IF(AND(Inputs!$C$265=1,L1411=pr_fen_year),pr_fen_price,0)</f>
        <v/>
      </c>
      <c r="M1466" s="23">
        <f>IF(AND(Inputs!$C$265=1,M1411=pr_fen_year),pr_fen_price,0)</f>
        <v/>
      </c>
      <c r="N1466" s="23">
        <f>IF(AND(Inputs!$C$265=1,N1411=pr_fen_year),pr_fen_price,0)</f>
        <v/>
      </c>
    </row>
    <row r="1467">
      <c r="B1467" s="2" t="inlineStr">
        <is>
          <t>Settlement credited against rate base</t>
        </is>
      </c>
      <c r="C1467" s="5" t="inlineStr">
        <is>
          <t>$ million</t>
        </is>
      </c>
      <c r="E1467" s="23">
        <f>IF(E1411=pr_settle_y,pr_settle,0)</f>
        <v/>
      </c>
      <c r="F1467" s="23">
        <f>IF(F1411=pr_settle_y,pr_settle,0)</f>
        <v/>
      </c>
      <c r="G1467" s="23">
        <f>IF(G1411=pr_settle_y,pr_settle,0)</f>
        <v/>
      </c>
      <c r="H1467" s="23">
        <f>IF(H1411=pr_settle_y,pr_settle,0)</f>
        <v/>
      </c>
      <c r="I1467" s="23">
        <f>IF(I1411=pr_settle_y,pr_settle,0)</f>
        <v/>
      </c>
      <c r="J1467" s="23">
        <f>IF(J1411=pr_settle_y,pr_settle,0)</f>
        <v/>
      </c>
      <c r="K1467" s="23">
        <f>IF(K1411=pr_settle_y,pr_settle,0)</f>
        <v/>
      </c>
      <c r="L1467" s="23">
        <f>IF(L1411=pr_settle_y,pr_settle,0)</f>
        <v/>
      </c>
      <c r="M1467" s="23">
        <f>IF(M1411=pr_settle_y,pr_settle,0)</f>
        <v/>
      </c>
      <c r="N1467" s="23">
        <f>IF(N1411=pr_settle_y,pr_settle,0)</f>
        <v/>
      </c>
    </row>
    <row r="1468">
      <c r="B1468" s="3" t="inlineStr">
        <is>
          <t>Closing rate base</t>
        </is>
      </c>
      <c r="C1468" s="5" t="inlineStr">
        <is>
          <t>$ million</t>
        </is>
      </c>
      <c r="D1468" s="23">
        <f>pr_rb0</f>
        <v/>
      </c>
      <c r="E1468" s="23">
        <f>E1464+E1422-E1454-E1465+E1466-E1457-E1467</f>
        <v/>
      </c>
      <c r="F1468" s="23">
        <f>F1464+F1422-F1454-F1465+F1466-F1457-F1467</f>
        <v/>
      </c>
      <c r="G1468" s="23">
        <f>G1464+G1422-G1454-G1465+G1466-G1457-G1467</f>
        <v/>
      </c>
      <c r="H1468" s="23">
        <f>H1464+H1422-H1454-H1465+H1466-H1457-H1467</f>
        <v/>
      </c>
      <c r="I1468" s="23">
        <f>I1464+I1422-I1454-I1465+I1466-I1457-I1467</f>
        <v/>
      </c>
      <c r="J1468" s="23">
        <f>J1464+J1422-J1454-J1465+J1466-J1457-J1467</f>
        <v/>
      </c>
      <c r="K1468" s="23">
        <f>K1464+K1422-K1454-K1465+K1466-K1457-K1467</f>
        <v/>
      </c>
      <c r="L1468" s="23">
        <f>L1464+L1422-L1454-L1465+L1466-L1457-L1467</f>
        <v/>
      </c>
      <c r="M1468" s="23">
        <f>M1464+M1422-M1454-M1465+M1466-M1457-M1467</f>
        <v/>
      </c>
      <c r="N1468" s="23">
        <f>N1464+N1422-N1454-N1465+N1466-N1457-N1467</f>
        <v/>
      </c>
    </row>
    <row r="1469">
      <c r="B1469" s="2" t="inlineStr">
        <is>
          <t>Original bonds outstanding</t>
        </is>
      </c>
      <c r="C1469" s="5" t="inlineStr">
        <is>
          <t>$ million</t>
        </is>
      </c>
      <c r="D1469" s="23">
        <f>(1-pr_eq)*pr_rb0</f>
        <v/>
      </c>
      <c r="E1469" s="23">
        <f>MAX(0,D1469-pr_amort*(1-pr_eq)*pr_rb0)</f>
        <v/>
      </c>
      <c r="F1469" s="23">
        <f>MAX(0,E1469-pr_amort*(1-pr_eq)*pr_rb0)</f>
        <v/>
      </c>
      <c r="G1469" s="23">
        <f>MAX(0,F1469-pr_amort*(1-pr_eq)*pr_rb0)</f>
        <v/>
      </c>
      <c r="H1469" s="23">
        <f>MAX(0,G1469-pr_amort*(1-pr_eq)*pr_rb0)</f>
        <v/>
      </c>
      <c r="I1469" s="23">
        <f>MAX(0,H1469-pr_amort*(1-pr_eq)*pr_rb0)</f>
        <v/>
      </c>
      <c r="J1469" s="23">
        <f>MAX(0,I1469-pr_amort*(1-pr_eq)*pr_rb0)</f>
        <v/>
      </c>
      <c r="K1469" s="23">
        <f>MAX(0,J1469-pr_amort*(1-pr_eq)*pr_rb0)</f>
        <v/>
      </c>
      <c r="L1469" s="23">
        <f>MAX(0,K1469-pr_amort*(1-pr_eq)*pr_rb0)</f>
        <v/>
      </c>
      <c r="M1469" s="23">
        <f>MAX(0,L1469-pr_amort*(1-pr_eq)*pr_rb0)</f>
        <v/>
      </c>
      <c r="N1469" s="23">
        <f>MAX(0,M1469-pr_amort*(1-pr_eq)*pr_rb0)</f>
        <v/>
      </c>
    </row>
    <row r="1470">
      <c r="B1470" s="2" t="inlineStr">
        <is>
          <t>Operating company debt (debt share of rate base)</t>
        </is>
      </c>
      <c r="C1470" s="5" t="inlineStr">
        <is>
          <t>$ million</t>
        </is>
      </c>
      <c r="D1470" s="23">
        <f>(1-pr_eq)*D1468</f>
        <v/>
      </c>
      <c r="E1470" s="23">
        <f>(1-pr_eq)*E1468</f>
        <v/>
      </c>
      <c r="F1470" s="23">
        <f>(1-pr_eq)*F1468</f>
        <v/>
      </c>
      <c r="G1470" s="23">
        <f>(1-pr_eq)*G1468</f>
        <v/>
      </c>
      <c r="H1470" s="23">
        <f>(1-pr_eq)*H1468</f>
        <v/>
      </c>
      <c r="I1470" s="23">
        <f>(1-pr_eq)*I1468</f>
        <v/>
      </c>
      <c r="J1470" s="23">
        <f>(1-pr_eq)*J1468</f>
        <v/>
      </c>
      <c r="K1470" s="23">
        <f>(1-pr_eq)*K1468</f>
        <v/>
      </c>
      <c r="L1470" s="23">
        <f>(1-pr_eq)*L1468</f>
        <v/>
      </c>
      <c r="M1470" s="23">
        <f>(1-pr_eq)*M1468</f>
        <v/>
      </c>
      <c r="N1470" s="23">
        <f>(1-pr_eq)*N1468</f>
        <v/>
      </c>
    </row>
    <row r="1471">
      <c r="B1471" s="2" t="inlineStr">
        <is>
          <t>New bonds outstanding</t>
        </is>
      </c>
      <c r="C1471" s="5" t="inlineStr">
        <is>
          <t>$ million</t>
        </is>
      </c>
      <c r="D1471" s="23">
        <f>D1470-D1469</f>
        <v/>
      </c>
      <c r="E1471" s="23">
        <f>E1470-E1469</f>
        <v/>
      </c>
      <c r="F1471" s="23">
        <f>F1470-F1469</f>
        <v/>
      </c>
      <c r="G1471" s="23">
        <f>G1470-G1469</f>
        <v/>
      </c>
      <c r="H1471" s="23">
        <f>H1470-H1469</f>
        <v/>
      </c>
      <c r="I1471" s="23">
        <f>I1470-I1469</f>
        <v/>
      </c>
      <c r="J1471" s="23">
        <f>J1470-J1469</f>
        <v/>
      </c>
      <c r="K1471" s="23">
        <f>K1470-K1469</f>
        <v/>
      </c>
      <c r="L1471" s="23">
        <f>L1470-L1469</f>
        <v/>
      </c>
      <c r="M1471" s="23">
        <f>M1470-M1469</f>
        <v/>
      </c>
      <c r="N1471" s="23">
        <f>N1470-N1469</f>
        <v/>
      </c>
    </row>
    <row r="1472">
      <c r="B1472" s="2" t="inlineStr">
        <is>
          <t>Embedded cost of debt at year end</t>
        </is>
      </c>
      <c r="C1472" s="5" t="inlineStr">
        <is>
          <t>rate</t>
        </is>
      </c>
      <c r="D1472" s="27">
        <f>pr_kd_old</f>
        <v/>
      </c>
      <c r="E1472" s="27">
        <f>(E1469*pr_kd_old+E1471*pr_kd_new)/E1470</f>
        <v/>
      </c>
      <c r="F1472" s="27">
        <f>(F1469*pr_kd_old+F1471*pr_kd_new)/F1470</f>
        <v/>
      </c>
      <c r="G1472" s="27">
        <f>(G1469*pr_kd_old+G1471*pr_kd_new)/G1470</f>
        <v/>
      </c>
      <c r="H1472" s="27">
        <f>(H1469*pr_kd_old+H1471*pr_kd_new)/H1470</f>
        <v/>
      </c>
      <c r="I1472" s="27">
        <f>(I1469*pr_kd_old+I1471*pr_kd_new)/I1470</f>
        <v/>
      </c>
      <c r="J1472" s="27">
        <f>(J1469*pr_kd_old+J1471*pr_kd_new)/J1470</f>
        <v/>
      </c>
      <c r="K1472" s="27">
        <f>(K1469*pr_kd_old+K1471*pr_kd_new)/K1470</f>
        <v/>
      </c>
      <c r="L1472" s="27">
        <f>(L1469*pr_kd_old+L1471*pr_kd_new)/L1470</f>
        <v/>
      </c>
      <c r="M1472" s="27">
        <f>(M1469*pr_kd_old+M1471*pr_kd_new)/M1470</f>
        <v/>
      </c>
      <c r="N1472" s="27">
        <f>(N1469*pr_kd_old+N1471*pr_kd_new)/N1470</f>
        <v/>
      </c>
    </row>
    <row r="1474">
      <c r="B1474" s="6" t="inlineStr">
        <is>
          <t>Returns and cash ($ million)</t>
        </is>
      </c>
      <c r="C1474" s="7" t="n"/>
      <c r="D1474" s="7" t="n"/>
      <c r="E1474" s="7" t="n"/>
      <c r="F1474" s="7" t="n"/>
      <c r="G1474" s="7" t="n"/>
      <c r="H1474" s="7" t="n"/>
      <c r="I1474" s="7" t="n"/>
      <c r="J1474" s="7" t="n"/>
      <c r="K1474" s="7" t="n"/>
      <c r="L1474" s="7" t="n"/>
      <c r="M1474" s="7" t="n"/>
      <c r="N1474" s="7" t="n"/>
    </row>
    <row r="1475">
      <c r="B1475" s="2" t="inlineStr">
        <is>
          <t>Average equity share of rate base</t>
        </is>
      </c>
      <c r="C1475" s="5" t="inlineStr">
        <is>
          <t>$ million</t>
        </is>
      </c>
      <c r="E1475" s="23">
        <f>pr_eq*0.5*(E1464+E1468)</f>
        <v/>
      </c>
      <c r="F1475" s="23">
        <f>pr_eq*0.5*(F1464+F1468)</f>
        <v/>
      </c>
      <c r="G1475" s="23">
        <f>pr_eq*0.5*(G1464+G1468)</f>
        <v/>
      </c>
      <c r="H1475" s="23">
        <f>pr_eq*0.5*(H1464+H1468)</f>
        <v/>
      </c>
      <c r="I1475" s="23">
        <f>pr_eq*0.5*(I1464+I1468)</f>
        <v/>
      </c>
      <c r="J1475" s="23">
        <f>pr_eq*0.5*(J1464+J1468)</f>
        <v/>
      </c>
      <c r="K1475" s="23">
        <f>pr_eq*0.5*(K1464+K1468)</f>
        <v/>
      </c>
      <c r="L1475" s="23">
        <f>pr_eq*0.5*(L1464+L1468)</f>
        <v/>
      </c>
      <c r="M1475" s="23">
        <f>pr_eq*0.5*(M1464+M1468)</f>
        <v/>
      </c>
      <c r="N1475" s="23">
        <f>pr_eq*0.5*(N1464+N1468)</f>
        <v/>
      </c>
    </row>
    <row r="1476">
      <c r="B1476" s="2" t="inlineStr">
        <is>
          <t>Earned return on equity</t>
        </is>
      </c>
      <c r="C1476" s="5" t="inlineStr">
        <is>
          <t>rate</t>
        </is>
      </c>
      <c r="E1476" s="27">
        <f>E1461/E1475</f>
        <v/>
      </c>
      <c r="F1476" s="27">
        <f>F1461/F1475</f>
        <v/>
      </c>
      <c r="G1476" s="27">
        <f>G1461/G1475</f>
        <v/>
      </c>
      <c r="H1476" s="27">
        <f>H1461/H1475</f>
        <v/>
      </c>
      <c r="I1476" s="27">
        <f>I1461/I1475</f>
        <v/>
      </c>
      <c r="J1476" s="27">
        <f>J1461/J1475</f>
        <v/>
      </c>
      <c r="K1476" s="27">
        <f>K1461/K1475</f>
        <v/>
      </c>
      <c r="L1476" s="27">
        <f>L1461/L1475</f>
        <v/>
      </c>
      <c r="M1476" s="27">
        <f>M1461/M1475</f>
        <v/>
      </c>
      <c r="N1476" s="27">
        <f>N1461/N1475</f>
        <v/>
      </c>
    </row>
    <row r="1477">
      <c r="B1477" s="2" t="inlineStr">
        <is>
          <t>Authorized return on equity</t>
        </is>
      </c>
      <c r="C1477" s="5" t="inlineStr">
        <is>
          <t>rate</t>
        </is>
      </c>
      <c r="E1477" s="27">
        <f>pr_roe</f>
        <v/>
      </c>
      <c r="F1477" s="27">
        <f>pr_roe</f>
        <v/>
      </c>
      <c r="G1477" s="27">
        <f>pr_roe</f>
        <v/>
      </c>
      <c r="H1477" s="27">
        <f>pr_roe</f>
        <v/>
      </c>
      <c r="I1477" s="27">
        <f>pr_roe</f>
        <v/>
      </c>
      <c r="J1477" s="27">
        <f>pr_roe</f>
        <v/>
      </c>
      <c r="K1477" s="27">
        <f>pr_roe</f>
        <v/>
      </c>
      <c r="L1477" s="27">
        <f>pr_roe</f>
        <v/>
      </c>
      <c r="M1477" s="27">
        <f>pr_roe</f>
        <v/>
      </c>
      <c r="N1477" s="27">
        <f>pr_roe</f>
        <v/>
      </c>
    </row>
    <row r="1478">
      <c r="B1478" s="3" t="inlineStr">
        <is>
          <t>Cash to the shareholder (FCFE)</t>
        </is>
      </c>
      <c r="C1478" s="5" t="inlineStr">
        <is>
          <t>$ million</t>
        </is>
      </c>
      <c r="E1478" s="23">
        <f>E1461+E1457-E1422-E1466+E1467+E1470-D1470</f>
        <v/>
      </c>
      <c r="F1478" s="23">
        <f>F1461+F1457-F1422-F1466+F1467+F1470-E1470</f>
        <v/>
      </c>
      <c r="G1478" s="23">
        <f>G1461+G1457-G1422-G1466+G1467+G1470-F1470</f>
        <v/>
      </c>
      <c r="H1478" s="23">
        <f>H1461+H1457-H1422-H1466+H1467+H1470-G1470</f>
        <v/>
      </c>
      <c r="I1478" s="23">
        <f>I1461+I1457-I1422-I1466+I1467+I1470-H1470</f>
        <v/>
      </c>
      <c r="J1478" s="23">
        <f>J1461+J1457-J1422-J1466+J1467+J1470-I1470</f>
        <v/>
      </c>
      <c r="K1478" s="23">
        <f>K1461+K1457-K1422-K1466+K1467+K1470-J1470</f>
        <v/>
      </c>
      <c r="L1478" s="23">
        <f>L1461+L1457-L1422-L1466+L1467+L1470-K1470</f>
        <v/>
      </c>
      <c r="M1478" s="23">
        <f>M1461+M1457-M1422-M1466+M1467+M1470-L1470</f>
        <v/>
      </c>
      <c r="N1478" s="23">
        <f>N1461+N1457-N1422-N1466+N1467+N1470-M1470</f>
        <v/>
      </c>
    </row>
    <row r="1479">
      <c r="B1479" s="2" t="inlineStr">
        <is>
          <t>Funds from operations (net income + depreciation)</t>
        </is>
      </c>
      <c r="C1479" s="5" t="inlineStr">
        <is>
          <t>$ million</t>
        </is>
      </c>
      <c r="E1479" s="23">
        <f>E1461+E1457</f>
        <v/>
      </c>
      <c r="F1479" s="23">
        <f>F1461+F1457</f>
        <v/>
      </c>
      <c r="G1479" s="23">
        <f>G1461+G1457</f>
        <v/>
      </c>
      <c r="H1479" s="23">
        <f>H1461+H1457</f>
        <v/>
      </c>
      <c r="I1479" s="23">
        <f>I1461+I1457</f>
        <v/>
      </c>
      <c r="J1479" s="23">
        <f>J1461+J1457</f>
        <v/>
      </c>
      <c r="K1479" s="23">
        <f>K1461+K1457</f>
        <v/>
      </c>
      <c r="L1479" s="23">
        <f>L1461+L1457</f>
        <v/>
      </c>
      <c r="M1479" s="23">
        <f>M1461+M1457</f>
        <v/>
      </c>
      <c r="N1479" s="23">
        <f>N1461+N1457</f>
        <v/>
      </c>
    </row>
    <row r="1480">
      <c r="B1480" s="3" t="inlineStr">
        <is>
          <t>Brannock's net flows (exit at the exit multiple)</t>
        </is>
      </c>
      <c r="C1480" s="5" t="inlineStr">
        <is>
          <t>$ million</t>
        </is>
      </c>
      <c r="D1480" s="23">
        <f>-(pr_ev_mult*pr_rb0-(1-pr_eq)*pr_rb0+pr_costs-pr_holdco)</f>
        <v/>
      </c>
      <c r="E1480" s="23">
        <f>E1478-pr_holdco*pr_kd_holdco*(1-pr_tax)</f>
        <v/>
      </c>
      <c r="F1480" s="23">
        <f>F1478-pr_holdco*pr_kd_holdco*(1-pr_tax)</f>
        <v/>
      </c>
      <c r="G1480" s="23">
        <f>G1478-pr_holdco*pr_kd_holdco*(1-pr_tax)</f>
        <v/>
      </c>
      <c r="H1480" s="23">
        <f>H1478-pr_holdco*pr_kd_holdco*(1-pr_tax)</f>
        <v/>
      </c>
      <c r="I1480" s="23">
        <f>I1478-pr_holdco*pr_kd_holdco*(1-pr_tax)</f>
        <v/>
      </c>
      <c r="J1480" s="23">
        <f>J1478-pr_holdco*pr_kd_holdco*(1-pr_tax)</f>
        <v/>
      </c>
      <c r="K1480" s="23">
        <f>K1478-pr_holdco*pr_kd_holdco*(1-pr_tax)</f>
        <v/>
      </c>
      <c r="L1480" s="23">
        <f>L1478-pr_holdco*pr_kd_holdco*(1-pr_tax)</f>
        <v/>
      </c>
      <c r="M1480" s="23">
        <f>M1478-pr_holdco*pr_kd_holdco*(1-pr_tax)</f>
        <v/>
      </c>
      <c r="N1480" s="23">
        <f>N1478-pr_holdco*pr_kd_holdco*(1-pr_tax)+pr_exit_mult*N1468-N1470-pr_holdco</f>
        <v/>
      </c>
    </row>
    <row r="1481">
      <c r="B1481" s="2" t="inlineStr">
        <is>
          <t>Levered IRR</t>
        </is>
      </c>
      <c r="C1481" s="5" t="inlineStr">
        <is>
          <t>rate</t>
        </is>
      </c>
      <c r="D1481" s="27">
        <f>IRR($D$1480:N$1480,0.08)</f>
        <v/>
      </c>
    </row>
    <row r="1482">
      <c r="B1482" s="2" t="inlineStr">
        <is>
          <t>Average earned return on equity 2028 to 2037</t>
        </is>
      </c>
      <c r="C1482" s="5" t="inlineStr">
        <is>
          <t>rate</t>
        </is>
      </c>
      <c r="D1482" s="27">
        <f>AVERAGE($E$1476:N$1476)</f>
        <v/>
      </c>
    </row>
    <row r="1483">
      <c r="B1483" s="2" t="inlineStr">
        <is>
          <t>Price at the target return (enterprise value)</t>
        </is>
      </c>
      <c r="C1483" s="5" t="inlineStr">
        <is>
          <t>$ million</t>
        </is>
      </c>
      <c r="D1483" s="23">
        <f>NPV(pr_target,$E$1480:N$1480)+(1-pr_eq)*pr_rb0-pr_costs+pr_holdco</f>
        <v/>
      </c>
    </row>
    <row r="1484">
      <c r="B1484" s="2" t="inlineStr">
        <is>
          <t>Exit equity</t>
        </is>
      </c>
      <c r="C1484" s="5" t="inlineStr">
        <is>
          <t>$ million</t>
        </is>
      </c>
      <c r="D1484" s="23">
        <f>pr_exit_mult*N1468-N1470-pr_holdco</f>
        <v/>
      </c>
    </row>
    <row r="1485">
      <c r="B1485" s="2" t="inlineStr">
        <is>
          <t>Rate base at exit</t>
        </is>
      </c>
      <c r="C1485" s="5" t="inlineStr">
        <is>
          <t>$ million</t>
        </is>
      </c>
      <c r="D1485" s="23">
        <f>N1468</f>
        <v/>
      </c>
    </row>
    <row r="1488">
      <c r="B1488" s="6" t="inlineStr">
        <is>
          <t>C1: Capital cost +10 percent (same tariff) (Sorrel Bay, pre-tax, at the bid capacity charge)</t>
        </is>
      </c>
      <c r="C1488" s="7" t="n"/>
      <c r="D1488" s="7" t="n"/>
      <c r="E1488" s="7" t="n"/>
      <c r="F1488" s="7" t="n"/>
      <c r="G1488" s="7" t="n"/>
      <c r="H1488" s="7" t="n"/>
      <c r="I1488" s="7" t="n"/>
      <c r="J1488" s="7" t="n"/>
      <c r="K1488" s="7" t="n"/>
      <c r="L1488" s="7" t="n"/>
      <c r="M1488" s="7" t="n"/>
      <c r="N1488" s="7" t="n"/>
      <c r="O1488" s="7" t="n"/>
      <c r="P1488" s="7" t="n"/>
      <c r="Q1488" s="7" t="n"/>
      <c r="R1488" s="7" t="n"/>
      <c r="S1488" s="7" t="n"/>
      <c r="T1488" s="7" t="n"/>
      <c r="U1488" s="7" t="n"/>
      <c r="V1488" s="7" t="n"/>
      <c r="W1488" s="7" t="n"/>
      <c r="X1488" s="7" t="n"/>
      <c r="Y1488" s="7" t="n"/>
      <c r="Z1488" s="7" t="n"/>
      <c r="AA1488" s="7" t="n"/>
      <c r="AB1488" s="7" t="n"/>
      <c r="AC1488" s="7" t="n"/>
      <c r="AD1488" s="7" t="n"/>
      <c r="AE1488" s="7" t="n"/>
      <c r="AF1488" s="7" t="n"/>
      <c r="AG1488" s="7" t="n"/>
      <c r="AH1488" s="7" t="n"/>
      <c r="AI1488" s="7" t="n"/>
      <c r="AJ1488" s="7" t="n"/>
    </row>
    <row r="1489">
      <c r="B1489" s="2" t="inlineStr">
        <is>
          <t>Year (31 December)</t>
        </is>
      </c>
      <c r="D1489" s="26">
        <f>sb_start</f>
        <v/>
      </c>
      <c r="E1489" s="26">
        <f>D1489+1</f>
        <v/>
      </c>
      <c r="F1489" s="26">
        <f>E1489+1</f>
        <v/>
      </c>
      <c r="G1489" s="26">
        <f>F1489+1</f>
        <v/>
      </c>
      <c r="H1489" s="26">
        <f>G1489+1</f>
        <v/>
      </c>
      <c r="I1489" s="26">
        <f>H1489+1</f>
        <v/>
      </c>
      <c r="J1489" s="26">
        <f>I1489+1</f>
        <v/>
      </c>
      <c r="K1489" s="26">
        <f>J1489+1</f>
        <v/>
      </c>
      <c r="L1489" s="26">
        <f>K1489+1</f>
        <v/>
      </c>
      <c r="M1489" s="26">
        <f>L1489+1</f>
        <v/>
      </c>
      <c r="N1489" s="26">
        <f>M1489+1</f>
        <v/>
      </c>
      <c r="O1489" s="26">
        <f>N1489+1</f>
        <v/>
      </c>
      <c r="P1489" s="26">
        <f>O1489+1</f>
        <v/>
      </c>
      <c r="Q1489" s="26">
        <f>P1489+1</f>
        <v/>
      </c>
      <c r="R1489" s="26">
        <f>Q1489+1</f>
        <v/>
      </c>
      <c r="S1489" s="26">
        <f>R1489+1</f>
        <v/>
      </c>
      <c r="T1489" s="26">
        <f>S1489+1</f>
        <v/>
      </c>
      <c r="U1489" s="26">
        <f>T1489+1</f>
        <v/>
      </c>
      <c r="V1489" s="26">
        <f>U1489+1</f>
        <v/>
      </c>
      <c r="W1489" s="26">
        <f>V1489+1</f>
        <v/>
      </c>
      <c r="X1489" s="26">
        <f>W1489+1</f>
        <v/>
      </c>
      <c r="Y1489" s="26">
        <f>X1489+1</f>
        <v/>
      </c>
      <c r="Z1489" s="26">
        <f>Y1489+1</f>
        <v/>
      </c>
      <c r="AA1489" s="26">
        <f>Z1489+1</f>
        <v/>
      </c>
      <c r="AB1489" s="26">
        <f>AA1489+1</f>
        <v/>
      </c>
      <c r="AC1489" s="26">
        <f>AB1489+1</f>
        <v/>
      </c>
      <c r="AD1489" s="26">
        <f>AC1489+1</f>
        <v/>
      </c>
      <c r="AE1489" s="26">
        <f>AD1489+1</f>
        <v/>
      </c>
      <c r="AF1489" s="26">
        <f>AE1489+1</f>
        <v/>
      </c>
      <c r="AG1489" s="26">
        <f>AF1489+1</f>
        <v/>
      </c>
      <c r="AH1489" s="26">
        <f>AG1489+1</f>
        <v/>
      </c>
      <c r="AI1489" s="26">
        <f>AH1489+1</f>
        <v/>
      </c>
      <c r="AJ1489" s="26">
        <f>AI1489+1</f>
        <v/>
      </c>
    </row>
    <row r="1490">
      <c r="B1490" s="2" t="inlineStr">
        <is>
          <t>Operating year (1 = yes)</t>
        </is>
      </c>
      <c r="D1490" s="26">
        <f>IF(AND(D1489&gt;=sb_cod,D1489&lt;sb_cod+sb_term),1,0)</f>
        <v/>
      </c>
      <c r="E1490" s="26">
        <f>IF(AND(E1489&gt;=sb_cod,E1489&lt;sb_cod+sb_term),1,0)</f>
        <v/>
      </c>
      <c r="F1490" s="26">
        <f>IF(AND(F1489&gt;=sb_cod,F1489&lt;sb_cod+sb_term),1,0)</f>
        <v/>
      </c>
      <c r="G1490" s="26">
        <f>IF(AND(G1489&gt;=sb_cod,G1489&lt;sb_cod+sb_term),1,0)</f>
        <v/>
      </c>
      <c r="H1490" s="26">
        <f>IF(AND(H1489&gt;=sb_cod,H1489&lt;sb_cod+sb_term),1,0)</f>
        <v/>
      </c>
      <c r="I1490" s="26">
        <f>IF(AND(I1489&gt;=sb_cod,I1489&lt;sb_cod+sb_term),1,0)</f>
        <v/>
      </c>
      <c r="J1490" s="26">
        <f>IF(AND(J1489&gt;=sb_cod,J1489&lt;sb_cod+sb_term),1,0)</f>
        <v/>
      </c>
      <c r="K1490" s="26">
        <f>IF(AND(K1489&gt;=sb_cod,K1489&lt;sb_cod+sb_term),1,0)</f>
        <v/>
      </c>
      <c r="L1490" s="26">
        <f>IF(AND(L1489&gt;=sb_cod,L1489&lt;sb_cod+sb_term),1,0)</f>
        <v/>
      </c>
      <c r="M1490" s="26">
        <f>IF(AND(M1489&gt;=sb_cod,M1489&lt;sb_cod+sb_term),1,0)</f>
        <v/>
      </c>
      <c r="N1490" s="26">
        <f>IF(AND(N1489&gt;=sb_cod,N1489&lt;sb_cod+sb_term),1,0)</f>
        <v/>
      </c>
      <c r="O1490" s="26">
        <f>IF(AND(O1489&gt;=sb_cod,O1489&lt;sb_cod+sb_term),1,0)</f>
        <v/>
      </c>
      <c r="P1490" s="26">
        <f>IF(AND(P1489&gt;=sb_cod,P1489&lt;sb_cod+sb_term),1,0)</f>
        <v/>
      </c>
      <c r="Q1490" s="26">
        <f>IF(AND(Q1489&gt;=sb_cod,Q1489&lt;sb_cod+sb_term),1,0)</f>
        <v/>
      </c>
      <c r="R1490" s="26">
        <f>IF(AND(R1489&gt;=sb_cod,R1489&lt;sb_cod+sb_term),1,0)</f>
        <v/>
      </c>
      <c r="S1490" s="26">
        <f>IF(AND(S1489&gt;=sb_cod,S1489&lt;sb_cod+sb_term),1,0)</f>
        <v/>
      </c>
      <c r="T1490" s="26">
        <f>IF(AND(T1489&gt;=sb_cod,T1489&lt;sb_cod+sb_term),1,0)</f>
        <v/>
      </c>
      <c r="U1490" s="26">
        <f>IF(AND(U1489&gt;=sb_cod,U1489&lt;sb_cod+sb_term),1,0)</f>
        <v/>
      </c>
      <c r="V1490" s="26">
        <f>IF(AND(V1489&gt;=sb_cod,V1489&lt;sb_cod+sb_term),1,0)</f>
        <v/>
      </c>
      <c r="W1490" s="26">
        <f>IF(AND(W1489&gt;=sb_cod,W1489&lt;sb_cod+sb_term),1,0)</f>
        <v/>
      </c>
      <c r="X1490" s="26">
        <f>IF(AND(X1489&gt;=sb_cod,X1489&lt;sb_cod+sb_term),1,0)</f>
        <v/>
      </c>
      <c r="Y1490" s="26">
        <f>IF(AND(Y1489&gt;=sb_cod,Y1489&lt;sb_cod+sb_term),1,0)</f>
        <v/>
      </c>
      <c r="Z1490" s="26">
        <f>IF(AND(Z1489&gt;=sb_cod,Z1489&lt;sb_cod+sb_term),1,0)</f>
        <v/>
      </c>
      <c r="AA1490" s="26">
        <f>IF(AND(AA1489&gt;=sb_cod,AA1489&lt;sb_cod+sb_term),1,0)</f>
        <v/>
      </c>
      <c r="AB1490" s="26">
        <f>IF(AND(AB1489&gt;=sb_cod,AB1489&lt;sb_cod+sb_term),1,0)</f>
        <v/>
      </c>
      <c r="AC1490" s="26">
        <f>IF(AND(AC1489&gt;=sb_cod,AC1489&lt;sb_cod+sb_term),1,0)</f>
        <v/>
      </c>
      <c r="AD1490" s="26">
        <f>IF(AND(AD1489&gt;=sb_cod,AD1489&lt;sb_cod+sb_term),1,0)</f>
        <v/>
      </c>
      <c r="AE1490" s="26">
        <f>IF(AND(AE1489&gt;=sb_cod,AE1489&lt;sb_cod+sb_term),1,0)</f>
        <v/>
      </c>
      <c r="AF1490" s="26">
        <f>IF(AND(AF1489&gt;=sb_cod,AF1489&lt;sb_cod+sb_term),1,0)</f>
        <v/>
      </c>
      <c r="AG1490" s="26">
        <f>IF(AND(AG1489&gt;=sb_cod,AG1489&lt;sb_cod+sb_term),1,0)</f>
        <v/>
      </c>
      <c r="AH1490" s="26">
        <f>IF(AND(AH1489&gt;=sb_cod,AH1489&lt;sb_cod+sb_term),1,0)</f>
        <v/>
      </c>
      <c r="AI1490" s="26">
        <f>IF(AND(AI1489&gt;=sb_cod,AI1489&lt;sb_cod+sb_term),1,0)</f>
        <v/>
      </c>
      <c r="AJ1490" s="26">
        <f>IF(AND(AJ1489&gt;=sb_cod,AJ1489&lt;sb_cod+sb_term),1,0)</f>
        <v/>
      </c>
    </row>
    <row r="1491">
      <c r="B1491" s="2" t="inlineStr">
        <is>
          <t>Years since operation began</t>
        </is>
      </c>
      <c r="D1491" s="26">
        <f>D1489-sb_cod</f>
        <v/>
      </c>
      <c r="E1491" s="26">
        <f>E1489-sb_cod</f>
        <v/>
      </c>
      <c r="F1491" s="26">
        <f>F1489-sb_cod</f>
        <v/>
      </c>
      <c r="G1491" s="26">
        <f>G1489-sb_cod</f>
        <v/>
      </c>
      <c r="H1491" s="26">
        <f>H1489-sb_cod</f>
        <v/>
      </c>
      <c r="I1491" s="26">
        <f>I1489-sb_cod</f>
        <v/>
      </c>
      <c r="J1491" s="26">
        <f>J1489-sb_cod</f>
        <v/>
      </c>
      <c r="K1491" s="26">
        <f>K1489-sb_cod</f>
        <v/>
      </c>
      <c r="L1491" s="26">
        <f>L1489-sb_cod</f>
        <v/>
      </c>
      <c r="M1491" s="26">
        <f>M1489-sb_cod</f>
        <v/>
      </c>
      <c r="N1491" s="26">
        <f>N1489-sb_cod</f>
        <v/>
      </c>
      <c r="O1491" s="26">
        <f>O1489-sb_cod</f>
        <v/>
      </c>
      <c r="P1491" s="26">
        <f>P1489-sb_cod</f>
        <v/>
      </c>
      <c r="Q1491" s="26">
        <f>Q1489-sb_cod</f>
        <v/>
      </c>
      <c r="R1491" s="26">
        <f>R1489-sb_cod</f>
        <v/>
      </c>
      <c r="S1491" s="26">
        <f>S1489-sb_cod</f>
        <v/>
      </c>
      <c r="T1491" s="26">
        <f>T1489-sb_cod</f>
        <v/>
      </c>
      <c r="U1491" s="26">
        <f>U1489-sb_cod</f>
        <v/>
      </c>
      <c r="V1491" s="26">
        <f>V1489-sb_cod</f>
        <v/>
      </c>
      <c r="W1491" s="26">
        <f>W1489-sb_cod</f>
        <v/>
      </c>
      <c r="X1491" s="26">
        <f>X1489-sb_cod</f>
        <v/>
      </c>
      <c r="Y1491" s="26">
        <f>Y1489-sb_cod</f>
        <v/>
      </c>
      <c r="Z1491" s="26">
        <f>Z1489-sb_cod</f>
        <v/>
      </c>
      <c r="AA1491" s="26">
        <f>AA1489-sb_cod</f>
        <v/>
      </c>
      <c r="AB1491" s="26">
        <f>AB1489-sb_cod</f>
        <v/>
      </c>
      <c r="AC1491" s="26">
        <f>AC1489-sb_cod</f>
        <v/>
      </c>
      <c r="AD1491" s="26">
        <f>AD1489-sb_cod</f>
        <v/>
      </c>
      <c r="AE1491" s="26">
        <f>AE1489-sb_cod</f>
        <v/>
      </c>
      <c r="AF1491" s="26">
        <f>AF1489-sb_cod</f>
        <v/>
      </c>
      <c r="AG1491" s="26">
        <f>AG1489-sb_cod</f>
        <v/>
      </c>
      <c r="AH1491" s="26">
        <f>AH1489-sb_cod</f>
        <v/>
      </c>
      <c r="AI1491" s="26">
        <f>AI1489-sb_cod</f>
        <v/>
      </c>
      <c r="AJ1491" s="26">
        <f>AJ1489-sb_cod</f>
        <v/>
      </c>
    </row>
    <row r="1492">
      <c r="B1492" s="2" t="inlineStr">
        <is>
          <t>Indexation factor</t>
        </is>
      </c>
      <c r="D1492" s="28">
        <f>(1+sb_cpi)^D1491</f>
        <v/>
      </c>
      <c r="E1492" s="28">
        <f>(1+sb_cpi)^E1491</f>
        <v/>
      </c>
      <c r="F1492" s="28">
        <f>(1+sb_cpi)^F1491</f>
        <v/>
      </c>
      <c r="G1492" s="28">
        <f>(1+sb_cpi)^G1491</f>
        <v/>
      </c>
      <c r="H1492" s="28">
        <f>(1+sb_cpi)^H1491</f>
        <v/>
      </c>
      <c r="I1492" s="28">
        <f>(1+sb_cpi)^I1491</f>
        <v/>
      </c>
      <c r="J1492" s="28">
        <f>(1+sb_cpi)^J1491</f>
        <v/>
      </c>
      <c r="K1492" s="28">
        <f>(1+sb_cpi)^K1491</f>
        <v/>
      </c>
      <c r="L1492" s="28">
        <f>(1+sb_cpi)^L1491</f>
        <v/>
      </c>
      <c r="M1492" s="28">
        <f>(1+sb_cpi)^M1491</f>
        <v/>
      </c>
      <c r="N1492" s="28">
        <f>(1+sb_cpi)^N1491</f>
        <v/>
      </c>
      <c r="O1492" s="28">
        <f>(1+sb_cpi)^O1491</f>
        <v/>
      </c>
      <c r="P1492" s="28">
        <f>(1+sb_cpi)^P1491</f>
        <v/>
      </c>
      <c r="Q1492" s="28">
        <f>(1+sb_cpi)^Q1491</f>
        <v/>
      </c>
      <c r="R1492" s="28">
        <f>(1+sb_cpi)^R1491</f>
        <v/>
      </c>
      <c r="S1492" s="28">
        <f>(1+sb_cpi)^S1491</f>
        <v/>
      </c>
      <c r="T1492" s="28">
        <f>(1+sb_cpi)^T1491</f>
        <v/>
      </c>
      <c r="U1492" s="28">
        <f>(1+sb_cpi)^U1491</f>
        <v/>
      </c>
      <c r="V1492" s="28">
        <f>(1+sb_cpi)^V1491</f>
        <v/>
      </c>
      <c r="W1492" s="28">
        <f>(1+sb_cpi)^W1491</f>
        <v/>
      </c>
      <c r="X1492" s="28">
        <f>(1+sb_cpi)^X1491</f>
        <v/>
      </c>
      <c r="Y1492" s="28">
        <f>(1+sb_cpi)^Y1491</f>
        <v/>
      </c>
      <c r="Z1492" s="28">
        <f>(1+sb_cpi)^Z1491</f>
        <v/>
      </c>
      <c r="AA1492" s="28">
        <f>(1+sb_cpi)^AA1491</f>
        <v/>
      </c>
      <c r="AB1492" s="28">
        <f>(1+sb_cpi)^AB1491</f>
        <v/>
      </c>
      <c r="AC1492" s="28">
        <f>(1+sb_cpi)^AC1491</f>
        <v/>
      </c>
      <c r="AD1492" s="28">
        <f>(1+sb_cpi)^AD1491</f>
        <v/>
      </c>
      <c r="AE1492" s="28">
        <f>(1+sb_cpi)^AE1491</f>
        <v/>
      </c>
      <c r="AF1492" s="28">
        <f>(1+sb_cpi)^AF1491</f>
        <v/>
      </c>
      <c r="AG1492" s="28">
        <f>(1+sb_cpi)^AG1491</f>
        <v/>
      </c>
      <c r="AH1492" s="28">
        <f>(1+sb_cpi)^AH1491</f>
        <v/>
      </c>
      <c r="AI1492" s="28">
        <f>(1+sb_cpi)^AI1491</f>
        <v/>
      </c>
      <c r="AJ1492" s="28">
        <f>(1+sb_cpi)^AJ1491</f>
        <v/>
      </c>
    </row>
    <row r="1494">
      <c r="B1494" s="6" t="inlineStr">
        <is>
          <t>Plant scalars</t>
        </is>
      </c>
      <c r="C1494" s="7" t="n"/>
      <c r="D1494" s="7" t="n"/>
      <c r="E1494" s="7" t="n"/>
      <c r="F1494" s="7" t="n"/>
      <c r="G1494" s="7" t="n"/>
      <c r="H1494" s="7" t="n"/>
      <c r="I1494" s="7" t="n"/>
      <c r="J1494" s="7" t="n"/>
      <c r="K1494" s="7" t="n"/>
      <c r="L1494" s="7" t="n"/>
      <c r="M1494" s="7" t="n"/>
      <c r="N1494" s="7" t="n"/>
      <c r="O1494" s="7" t="n"/>
      <c r="P1494" s="7" t="n"/>
      <c r="Q1494" s="7" t="n"/>
      <c r="R1494" s="7" t="n"/>
      <c r="S1494" s="7" t="n"/>
      <c r="T1494" s="7" t="n"/>
      <c r="U1494" s="7" t="n"/>
      <c r="V1494" s="7" t="n"/>
      <c r="W1494" s="7" t="n"/>
      <c r="X1494" s="7" t="n"/>
      <c r="Y1494" s="7" t="n"/>
      <c r="Z1494" s="7" t="n"/>
      <c r="AA1494" s="7" t="n"/>
      <c r="AB1494" s="7" t="n"/>
      <c r="AC1494" s="7" t="n"/>
      <c r="AD1494" s="7" t="n"/>
      <c r="AE1494" s="7" t="n"/>
      <c r="AF1494" s="7" t="n"/>
      <c r="AG1494" s="7" t="n"/>
      <c r="AH1494" s="7" t="n"/>
      <c r="AI1494" s="7" t="n"/>
      <c r="AJ1494" s="7" t="n"/>
    </row>
    <row r="1495">
      <c r="B1495" s="2" t="inlineStr">
        <is>
          <t>Payment factor at expected availability</t>
        </is>
      </c>
      <c r="D1495" s="28">
        <f>IF(sb_avail&gt;=sb_guar,MIN(1,sb_avail/sb_guar),sb_avail/sb_guar-(sb_guar-sb_avail)/sb_guar)</f>
        <v/>
      </c>
    </row>
    <row r="1496">
      <c r="B1496" s="2" t="inlineStr">
        <is>
          <t>Paid capacity a year (m3)</t>
        </is>
      </c>
      <c r="C1496" s="5" t="inlineStr">
        <is>
          <t>m3</t>
        </is>
      </c>
      <c r="D1496" s="19">
        <f>sb_cap*365*sb_guar*$D$1495</f>
        <v/>
      </c>
    </row>
    <row r="1497">
      <c r="B1497" s="2" t="inlineStr">
        <is>
          <t>Water delivered a year (m3)</t>
        </is>
      </c>
      <c r="C1497" s="5" t="inlineStr">
        <is>
          <t>m3</t>
        </is>
      </c>
      <c r="D1497" s="19">
        <f>sb_cap*365*sb_avail*sb_dispatch</f>
        <v/>
      </c>
    </row>
    <row r="1498">
      <c r="B1498" s="2" t="inlineStr">
        <is>
          <t>Fixed O&amp;M charge, 2030 ($ per m3 of available capacity)</t>
        </is>
      </c>
      <c r="C1498" s="5" t="inlineStr">
        <is>
          <t>$ per m3</t>
        </is>
      </c>
      <c r="D1498" s="38">
        <f>sb_fom*1000000/(sb_cap*365*sb_guar)</f>
        <v/>
      </c>
    </row>
    <row r="1499">
      <c r="B1499" s="2" t="inlineStr">
        <is>
          <t>Capital cost</t>
        </is>
      </c>
      <c r="C1499" s="5" t="inlineStr">
        <is>
          <t>$ million</t>
        </is>
      </c>
      <c r="D1499" s="23">
        <f>(sb_cx_plant+sb_cx_marine+sb_cx_conv+sb_cx_grid+sb_cx_dev+sb_cx_fin)*(1+Inputs!$C$266)</f>
        <v/>
      </c>
    </row>
    <row r="1500">
      <c r="B1500" s="2" t="inlineStr">
        <is>
          <t>Capacity charge used</t>
        </is>
      </c>
      <c r="C1500" s="5" t="inlineStr">
        <is>
          <t>$ per m3</t>
        </is>
      </c>
      <c r="D1500" s="38">
        <f>'SB_Finance'!$C$6</f>
        <v/>
      </c>
    </row>
    <row r="1502">
      <c r="B1502" s="6" t="inlineStr">
        <is>
          <t>Operations</t>
        </is>
      </c>
      <c r="C1502" s="7" t="n"/>
      <c r="D1502" s="7" t="n"/>
      <c r="E1502" s="7" t="n"/>
      <c r="F1502" s="7" t="n"/>
      <c r="G1502" s="7" t="n"/>
      <c r="H1502" s="7" t="n"/>
      <c r="I1502" s="7" t="n"/>
      <c r="J1502" s="7" t="n"/>
      <c r="K1502" s="7" t="n"/>
      <c r="L1502" s="7" t="n"/>
      <c r="M1502" s="7" t="n"/>
      <c r="N1502" s="7" t="n"/>
      <c r="O1502" s="7" t="n"/>
      <c r="P1502" s="7" t="n"/>
      <c r="Q1502" s="7" t="n"/>
      <c r="R1502" s="7" t="n"/>
      <c r="S1502" s="7" t="n"/>
      <c r="T1502" s="7" t="n"/>
      <c r="U1502" s="7" t="n"/>
      <c r="V1502" s="7" t="n"/>
      <c r="W1502" s="7" t="n"/>
      <c r="X1502" s="7" t="n"/>
      <c r="Y1502" s="7" t="n"/>
      <c r="Z1502" s="7" t="n"/>
      <c r="AA1502" s="7" t="n"/>
      <c r="AB1502" s="7" t="n"/>
      <c r="AC1502" s="7" t="n"/>
      <c r="AD1502" s="7" t="n"/>
      <c r="AE1502" s="7" t="n"/>
      <c r="AF1502" s="7" t="n"/>
      <c r="AG1502" s="7" t="n"/>
      <c r="AH1502" s="7" t="n"/>
      <c r="AI1502" s="7" t="n"/>
      <c r="AJ1502" s="7" t="n"/>
    </row>
    <row r="1503">
      <c r="B1503" s="2" t="inlineStr">
        <is>
          <t>Paid capacity (m3)</t>
        </is>
      </c>
      <c r="C1503" s="5" t="inlineStr">
        <is>
          <t>m3</t>
        </is>
      </c>
      <c r="D1503" s="19">
        <f>D1490*$D$1496</f>
        <v/>
      </c>
      <c r="E1503" s="19">
        <f>E1490*$D$1496</f>
        <v/>
      </c>
      <c r="F1503" s="19">
        <f>F1490*$D$1496</f>
        <v/>
      </c>
      <c r="G1503" s="19">
        <f>G1490*$D$1496</f>
        <v/>
      </c>
      <c r="H1503" s="19">
        <f>H1490*$D$1496</f>
        <v/>
      </c>
      <c r="I1503" s="19">
        <f>I1490*$D$1496</f>
        <v/>
      </c>
      <c r="J1503" s="19">
        <f>J1490*$D$1496</f>
        <v/>
      </c>
      <c r="K1503" s="19">
        <f>K1490*$D$1496</f>
        <v/>
      </c>
      <c r="L1503" s="19">
        <f>L1490*$D$1496</f>
        <v/>
      </c>
      <c r="M1503" s="19">
        <f>M1490*$D$1496</f>
        <v/>
      </c>
      <c r="N1503" s="19">
        <f>N1490*$D$1496</f>
        <v/>
      </c>
      <c r="O1503" s="19">
        <f>O1490*$D$1496</f>
        <v/>
      </c>
      <c r="P1503" s="19">
        <f>P1490*$D$1496</f>
        <v/>
      </c>
      <c r="Q1503" s="19">
        <f>Q1490*$D$1496</f>
        <v/>
      </c>
      <c r="R1503" s="19">
        <f>R1490*$D$1496</f>
        <v/>
      </c>
      <c r="S1503" s="19">
        <f>S1490*$D$1496</f>
        <v/>
      </c>
      <c r="T1503" s="19">
        <f>T1490*$D$1496</f>
        <v/>
      </c>
      <c r="U1503" s="19">
        <f>U1490*$D$1496</f>
        <v/>
      </c>
      <c r="V1503" s="19">
        <f>V1490*$D$1496</f>
        <v/>
      </c>
      <c r="W1503" s="19">
        <f>W1490*$D$1496</f>
        <v/>
      </c>
      <c r="X1503" s="19">
        <f>X1490*$D$1496</f>
        <v/>
      </c>
      <c r="Y1503" s="19">
        <f>Y1490*$D$1496</f>
        <v/>
      </c>
      <c r="Z1503" s="19">
        <f>Z1490*$D$1496</f>
        <v/>
      </c>
      <c r="AA1503" s="19">
        <f>AA1490*$D$1496</f>
        <v/>
      </c>
      <c r="AB1503" s="19">
        <f>AB1490*$D$1496</f>
        <v/>
      </c>
      <c r="AC1503" s="19">
        <f>AC1490*$D$1496</f>
        <v/>
      </c>
      <c r="AD1503" s="19">
        <f>AD1490*$D$1496</f>
        <v/>
      </c>
      <c r="AE1503" s="19">
        <f>AE1490*$D$1496</f>
        <v/>
      </c>
      <c r="AF1503" s="19">
        <f>AF1490*$D$1496</f>
        <v/>
      </c>
      <c r="AG1503" s="19">
        <f>AG1490*$D$1496</f>
        <v/>
      </c>
      <c r="AH1503" s="19">
        <f>AH1490*$D$1496</f>
        <v/>
      </c>
      <c r="AI1503" s="19">
        <f>AI1490*$D$1496</f>
        <v/>
      </c>
      <c r="AJ1503" s="19">
        <f>AJ1490*$D$1496</f>
        <v/>
      </c>
    </row>
    <row r="1504">
      <c r="B1504" s="2" t="inlineStr">
        <is>
          <t>Water delivered (m3)</t>
        </is>
      </c>
      <c r="C1504" s="5" t="inlineStr">
        <is>
          <t>m3</t>
        </is>
      </c>
      <c r="D1504" s="19">
        <f>D1490*$D$1497</f>
        <v/>
      </c>
      <c r="E1504" s="19">
        <f>E1490*$D$1497</f>
        <v/>
      </c>
      <c r="F1504" s="19">
        <f>F1490*$D$1497</f>
        <v/>
      </c>
      <c r="G1504" s="19">
        <f>G1490*$D$1497</f>
        <v/>
      </c>
      <c r="H1504" s="19">
        <f>H1490*$D$1497</f>
        <v/>
      </c>
      <c r="I1504" s="19">
        <f>I1490*$D$1497</f>
        <v/>
      </c>
      <c r="J1504" s="19">
        <f>J1490*$D$1497</f>
        <v/>
      </c>
      <c r="K1504" s="19">
        <f>K1490*$D$1497</f>
        <v/>
      </c>
      <c r="L1504" s="19">
        <f>L1490*$D$1497</f>
        <v/>
      </c>
      <c r="M1504" s="19">
        <f>M1490*$D$1497</f>
        <v/>
      </c>
      <c r="N1504" s="19">
        <f>N1490*$D$1497</f>
        <v/>
      </c>
      <c r="O1504" s="19">
        <f>O1490*$D$1497</f>
        <v/>
      </c>
      <c r="P1504" s="19">
        <f>P1490*$D$1497</f>
        <v/>
      </c>
      <c r="Q1504" s="19">
        <f>Q1490*$D$1497</f>
        <v/>
      </c>
      <c r="R1504" s="19">
        <f>R1490*$D$1497</f>
        <v/>
      </c>
      <c r="S1504" s="19">
        <f>S1490*$D$1497</f>
        <v/>
      </c>
      <c r="T1504" s="19">
        <f>T1490*$D$1497</f>
        <v/>
      </c>
      <c r="U1504" s="19">
        <f>U1490*$D$1497</f>
        <v/>
      </c>
      <c r="V1504" s="19">
        <f>V1490*$D$1497</f>
        <v/>
      </c>
      <c r="W1504" s="19">
        <f>W1490*$D$1497</f>
        <v/>
      </c>
      <c r="X1504" s="19">
        <f>X1490*$D$1497</f>
        <v/>
      </c>
      <c r="Y1504" s="19">
        <f>Y1490*$D$1497</f>
        <v/>
      </c>
      <c r="Z1504" s="19">
        <f>Z1490*$D$1497</f>
        <v/>
      </c>
      <c r="AA1504" s="19">
        <f>AA1490*$D$1497</f>
        <v/>
      </c>
      <c r="AB1504" s="19">
        <f>AB1490*$D$1497</f>
        <v/>
      </c>
      <c r="AC1504" s="19">
        <f>AC1490*$D$1497</f>
        <v/>
      </c>
      <c r="AD1504" s="19">
        <f>AD1490*$D$1497</f>
        <v/>
      </c>
      <c r="AE1504" s="19">
        <f>AE1490*$D$1497</f>
        <v/>
      </c>
      <c r="AF1504" s="19">
        <f>AF1490*$D$1497</f>
        <v/>
      </c>
      <c r="AG1504" s="19">
        <f>AG1490*$D$1497</f>
        <v/>
      </c>
      <c r="AH1504" s="19">
        <f>AH1490*$D$1497</f>
        <v/>
      </c>
      <c r="AI1504" s="19">
        <f>AI1490*$D$1497</f>
        <v/>
      </c>
      <c r="AJ1504" s="19">
        <f>AJ1490*$D$1497</f>
        <v/>
      </c>
    </row>
    <row r="1505">
      <c r="B1505" s="2" t="inlineStr">
        <is>
          <t>Power price paid</t>
        </is>
      </c>
      <c r="C1505" s="5" t="inlineStr">
        <is>
          <t>$ per MWh</t>
        </is>
      </c>
      <c r="D1505" s="22">
        <f>D1490*(sb_power*(1+sb_power_esc)^D1491+sb_power_shift)</f>
        <v/>
      </c>
      <c r="E1505" s="22">
        <f>E1490*(sb_power*(1+sb_power_esc)^E1491+sb_power_shift)</f>
        <v/>
      </c>
      <c r="F1505" s="22">
        <f>F1490*(sb_power*(1+sb_power_esc)^F1491+sb_power_shift)</f>
        <v/>
      </c>
      <c r="G1505" s="22">
        <f>G1490*(sb_power*(1+sb_power_esc)^G1491+sb_power_shift)</f>
        <v/>
      </c>
      <c r="H1505" s="22">
        <f>H1490*(sb_power*(1+sb_power_esc)^H1491+sb_power_shift)</f>
        <v/>
      </c>
      <c r="I1505" s="22">
        <f>I1490*(sb_power*(1+sb_power_esc)^I1491+sb_power_shift)</f>
        <v/>
      </c>
      <c r="J1505" s="22">
        <f>J1490*(sb_power*(1+sb_power_esc)^J1491+sb_power_shift)</f>
        <v/>
      </c>
      <c r="K1505" s="22">
        <f>K1490*(sb_power*(1+sb_power_esc)^K1491+sb_power_shift)</f>
        <v/>
      </c>
      <c r="L1505" s="22">
        <f>L1490*(sb_power*(1+sb_power_esc)^L1491+sb_power_shift)</f>
        <v/>
      </c>
      <c r="M1505" s="22">
        <f>M1490*(sb_power*(1+sb_power_esc)^M1491+sb_power_shift)</f>
        <v/>
      </c>
      <c r="N1505" s="22">
        <f>N1490*(sb_power*(1+sb_power_esc)^N1491+sb_power_shift)</f>
        <v/>
      </c>
      <c r="O1505" s="22">
        <f>O1490*(sb_power*(1+sb_power_esc)^O1491+sb_power_shift)</f>
        <v/>
      </c>
      <c r="P1505" s="22">
        <f>P1490*(sb_power*(1+sb_power_esc)^P1491+sb_power_shift)</f>
        <v/>
      </c>
      <c r="Q1505" s="22">
        <f>Q1490*(sb_power*(1+sb_power_esc)^Q1491+sb_power_shift)</f>
        <v/>
      </c>
      <c r="R1505" s="22">
        <f>R1490*(sb_power*(1+sb_power_esc)^R1491+sb_power_shift)</f>
        <v/>
      </c>
      <c r="S1505" s="22">
        <f>S1490*(sb_power*(1+sb_power_esc)^S1491+sb_power_shift)</f>
        <v/>
      </c>
      <c r="T1505" s="22">
        <f>T1490*(sb_power*(1+sb_power_esc)^T1491+sb_power_shift)</f>
        <v/>
      </c>
      <c r="U1505" s="22">
        <f>U1490*(sb_power*(1+sb_power_esc)^U1491+sb_power_shift)</f>
        <v/>
      </c>
      <c r="V1505" s="22">
        <f>V1490*(sb_power*(1+sb_power_esc)^V1491+sb_power_shift)</f>
        <v/>
      </c>
      <c r="W1505" s="22">
        <f>W1490*(sb_power*(1+sb_power_esc)^W1491+sb_power_shift)</f>
        <v/>
      </c>
      <c r="X1505" s="22">
        <f>X1490*(sb_power*(1+sb_power_esc)^X1491+sb_power_shift)</f>
        <v/>
      </c>
      <c r="Y1505" s="22">
        <f>Y1490*(sb_power*(1+sb_power_esc)^Y1491+sb_power_shift)</f>
        <v/>
      </c>
      <c r="Z1505" s="22">
        <f>Z1490*(sb_power*(1+sb_power_esc)^Z1491+sb_power_shift)</f>
        <v/>
      </c>
      <c r="AA1505" s="22">
        <f>AA1490*(sb_power*(1+sb_power_esc)^AA1491+sb_power_shift)</f>
        <v/>
      </c>
      <c r="AB1505" s="22">
        <f>AB1490*(sb_power*(1+sb_power_esc)^AB1491+sb_power_shift)</f>
        <v/>
      </c>
      <c r="AC1505" s="22">
        <f>AC1490*(sb_power*(1+sb_power_esc)^AC1491+sb_power_shift)</f>
        <v/>
      </c>
      <c r="AD1505" s="22">
        <f>AD1490*(sb_power*(1+sb_power_esc)^AD1491+sb_power_shift)</f>
        <v/>
      </c>
      <c r="AE1505" s="22">
        <f>AE1490*(sb_power*(1+sb_power_esc)^AE1491+sb_power_shift)</f>
        <v/>
      </c>
      <c r="AF1505" s="22">
        <f>AF1490*(sb_power*(1+sb_power_esc)^AF1491+sb_power_shift)</f>
        <v/>
      </c>
      <c r="AG1505" s="22">
        <f>AG1490*(sb_power*(1+sb_power_esc)^AG1491+sb_power_shift)</f>
        <v/>
      </c>
      <c r="AH1505" s="22">
        <f>AH1490*(sb_power*(1+sb_power_esc)^AH1491+sb_power_shift)</f>
        <v/>
      </c>
      <c r="AI1505" s="22">
        <f>AI1490*(sb_power*(1+sb_power_esc)^AI1491+sb_power_shift)</f>
        <v/>
      </c>
      <c r="AJ1505" s="22">
        <f>AJ1490*(sb_power*(1+sb_power_esc)^AJ1491+sb_power_shift)</f>
        <v/>
      </c>
    </row>
    <row r="1506">
      <c r="B1506" s="2" t="inlineStr">
        <is>
          <t>Power price in the energy charge</t>
        </is>
      </c>
      <c r="C1506" s="5" t="inlineStr">
        <is>
          <t>$ per MWh</t>
        </is>
      </c>
      <c r="D1506" s="22">
        <f>D1490*(sb_power*(1+sb_power_esc)^D1491+IF(sb_pass=1,sb_power_shift,0))</f>
        <v/>
      </c>
      <c r="E1506" s="22">
        <f>E1490*(sb_power*(1+sb_power_esc)^E1491+IF(sb_pass=1,sb_power_shift,0))</f>
        <v/>
      </c>
      <c r="F1506" s="22">
        <f>F1490*(sb_power*(1+sb_power_esc)^F1491+IF(sb_pass=1,sb_power_shift,0))</f>
        <v/>
      </c>
      <c r="G1506" s="22">
        <f>G1490*(sb_power*(1+sb_power_esc)^G1491+IF(sb_pass=1,sb_power_shift,0))</f>
        <v/>
      </c>
      <c r="H1506" s="22">
        <f>H1490*(sb_power*(1+sb_power_esc)^H1491+IF(sb_pass=1,sb_power_shift,0))</f>
        <v/>
      </c>
      <c r="I1506" s="22">
        <f>I1490*(sb_power*(1+sb_power_esc)^I1491+IF(sb_pass=1,sb_power_shift,0))</f>
        <v/>
      </c>
      <c r="J1506" s="22">
        <f>J1490*(sb_power*(1+sb_power_esc)^J1491+IF(sb_pass=1,sb_power_shift,0))</f>
        <v/>
      </c>
      <c r="K1506" s="22">
        <f>K1490*(sb_power*(1+sb_power_esc)^K1491+IF(sb_pass=1,sb_power_shift,0))</f>
        <v/>
      </c>
      <c r="L1506" s="22">
        <f>L1490*(sb_power*(1+sb_power_esc)^L1491+IF(sb_pass=1,sb_power_shift,0))</f>
        <v/>
      </c>
      <c r="M1506" s="22">
        <f>M1490*(sb_power*(1+sb_power_esc)^M1491+IF(sb_pass=1,sb_power_shift,0))</f>
        <v/>
      </c>
      <c r="N1506" s="22">
        <f>N1490*(sb_power*(1+sb_power_esc)^N1491+IF(sb_pass=1,sb_power_shift,0))</f>
        <v/>
      </c>
      <c r="O1506" s="22">
        <f>O1490*(sb_power*(1+sb_power_esc)^O1491+IF(sb_pass=1,sb_power_shift,0))</f>
        <v/>
      </c>
      <c r="P1506" s="22">
        <f>P1490*(sb_power*(1+sb_power_esc)^P1491+IF(sb_pass=1,sb_power_shift,0))</f>
        <v/>
      </c>
      <c r="Q1506" s="22">
        <f>Q1490*(sb_power*(1+sb_power_esc)^Q1491+IF(sb_pass=1,sb_power_shift,0))</f>
        <v/>
      </c>
      <c r="R1506" s="22">
        <f>R1490*(sb_power*(1+sb_power_esc)^R1491+IF(sb_pass=1,sb_power_shift,0))</f>
        <v/>
      </c>
      <c r="S1506" s="22">
        <f>S1490*(sb_power*(1+sb_power_esc)^S1491+IF(sb_pass=1,sb_power_shift,0))</f>
        <v/>
      </c>
      <c r="T1506" s="22">
        <f>T1490*(sb_power*(1+sb_power_esc)^T1491+IF(sb_pass=1,sb_power_shift,0))</f>
        <v/>
      </c>
      <c r="U1506" s="22">
        <f>U1490*(sb_power*(1+sb_power_esc)^U1491+IF(sb_pass=1,sb_power_shift,0))</f>
        <v/>
      </c>
      <c r="V1506" s="22">
        <f>V1490*(sb_power*(1+sb_power_esc)^V1491+IF(sb_pass=1,sb_power_shift,0))</f>
        <v/>
      </c>
      <c r="W1506" s="22">
        <f>W1490*(sb_power*(1+sb_power_esc)^W1491+IF(sb_pass=1,sb_power_shift,0))</f>
        <v/>
      </c>
      <c r="X1506" s="22">
        <f>X1490*(sb_power*(1+sb_power_esc)^X1491+IF(sb_pass=1,sb_power_shift,0))</f>
        <v/>
      </c>
      <c r="Y1506" s="22">
        <f>Y1490*(sb_power*(1+sb_power_esc)^Y1491+IF(sb_pass=1,sb_power_shift,0))</f>
        <v/>
      </c>
      <c r="Z1506" s="22">
        <f>Z1490*(sb_power*(1+sb_power_esc)^Z1491+IF(sb_pass=1,sb_power_shift,0))</f>
        <v/>
      </c>
      <c r="AA1506" s="22">
        <f>AA1490*(sb_power*(1+sb_power_esc)^AA1491+IF(sb_pass=1,sb_power_shift,0))</f>
        <v/>
      </c>
      <c r="AB1506" s="22">
        <f>AB1490*(sb_power*(1+sb_power_esc)^AB1491+IF(sb_pass=1,sb_power_shift,0))</f>
        <v/>
      </c>
      <c r="AC1506" s="22">
        <f>AC1490*(sb_power*(1+sb_power_esc)^AC1491+IF(sb_pass=1,sb_power_shift,0))</f>
        <v/>
      </c>
      <c r="AD1506" s="22">
        <f>AD1490*(sb_power*(1+sb_power_esc)^AD1491+IF(sb_pass=1,sb_power_shift,0))</f>
        <v/>
      </c>
      <c r="AE1506" s="22">
        <f>AE1490*(sb_power*(1+sb_power_esc)^AE1491+IF(sb_pass=1,sb_power_shift,0))</f>
        <v/>
      </c>
      <c r="AF1506" s="22">
        <f>AF1490*(sb_power*(1+sb_power_esc)^AF1491+IF(sb_pass=1,sb_power_shift,0))</f>
        <v/>
      </c>
      <c r="AG1506" s="22">
        <f>AG1490*(sb_power*(1+sb_power_esc)^AG1491+IF(sb_pass=1,sb_power_shift,0))</f>
        <v/>
      </c>
      <c r="AH1506" s="22">
        <f>AH1490*(sb_power*(1+sb_power_esc)^AH1491+IF(sb_pass=1,sb_power_shift,0))</f>
        <v/>
      </c>
      <c r="AI1506" s="22">
        <f>AI1490*(sb_power*(1+sb_power_esc)^AI1491+IF(sb_pass=1,sb_power_shift,0))</f>
        <v/>
      </c>
      <c r="AJ1506" s="22">
        <f>AJ1490*(sb_power*(1+sb_power_esc)^AJ1491+IF(sb_pass=1,sb_power_shift,0))</f>
        <v/>
      </c>
    </row>
    <row r="1507">
      <c r="B1507" s="2" t="inlineStr">
        <is>
          <t>Capacity payments</t>
        </is>
      </c>
      <c r="C1507" s="5" t="inlineStr">
        <is>
          <t>$ million</t>
        </is>
      </c>
      <c r="D1507" s="23">
        <f>$D$1500*D1503/1000000</f>
        <v/>
      </c>
      <c r="E1507" s="23">
        <f>$D$1500*E1503/1000000</f>
        <v/>
      </c>
      <c r="F1507" s="23">
        <f>$D$1500*F1503/1000000</f>
        <v/>
      </c>
      <c r="G1507" s="23">
        <f>$D$1500*G1503/1000000</f>
        <v/>
      </c>
      <c r="H1507" s="23">
        <f>$D$1500*H1503/1000000</f>
        <v/>
      </c>
      <c r="I1507" s="23">
        <f>$D$1500*I1503/1000000</f>
        <v/>
      </c>
      <c r="J1507" s="23">
        <f>$D$1500*J1503/1000000</f>
        <v/>
      </c>
      <c r="K1507" s="23">
        <f>$D$1500*K1503/1000000</f>
        <v/>
      </c>
      <c r="L1507" s="23">
        <f>$D$1500*L1503/1000000</f>
        <v/>
      </c>
      <c r="M1507" s="23">
        <f>$D$1500*M1503/1000000</f>
        <v/>
      </c>
      <c r="N1507" s="23">
        <f>$D$1500*N1503/1000000</f>
        <v/>
      </c>
      <c r="O1507" s="23">
        <f>$D$1500*O1503/1000000</f>
        <v/>
      </c>
      <c r="P1507" s="23">
        <f>$D$1500*P1503/1000000</f>
        <v/>
      </c>
      <c r="Q1507" s="23">
        <f>$D$1500*Q1503/1000000</f>
        <v/>
      </c>
      <c r="R1507" s="23">
        <f>$D$1500*R1503/1000000</f>
        <v/>
      </c>
      <c r="S1507" s="23">
        <f>$D$1500*S1503/1000000</f>
        <v/>
      </c>
      <c r="T1507" s="23">
        <f>$D$1500*T1503/1000000</f>
        <v/>
      </c>
      <c r="U1507" s="23">
        <f>$D$1500*U1503/1000000</f>
        <v/>
      </c>
      <c r="V1507" s="23">
        <f>$D$1500*V1503/1000000</f>
        <v/>
      </c>
      <c r="W1507" s="23">
        <f>$D$1500*W1503/1000000</f>
        <v/>
      </c>
      <c r="X1507" s="23">
        <f>$D$1500*X1503/1000000</f>
        <v/>
      </c>
      <c r="Y1507" s="23">
        <f>$D$1500*Y1503/1000000</f>
        <v/>
      </c>
      <c r="Z1507" s="23">
        <f>$D$1500*Z1503/1000000</f>
        <v/>
      </c>
      <c r="AA1507" s="23">
        <f>$D$1500*AA1503/1000000</f>
        <v/>
      </c>
      <c r="AB1507" s="23">
        <f>$D$1500*AB1503/1000000</f>
        <v/>
      </c>
      <c r="AC1507" s="23">
        <f>$D$1500*AC1503/1000000</f>
        <v/>
      </c>
      <c r="AD1507" s="23">
        <f>$D$1500*AD1503/1000000</f>
        <v/>
      </c>
      <c r="AE1507" s="23">
        <f>$D$1500*AE1503/1000000</f>
        <v/>
      </c>
      <c r="AF1507" s="23">
        <f>$D$1500*AF1503/1000000</f>
        <v/>
      </c>
      <c r="AG1507" s="23">
        <f>$D$1500*AG1503/1000000</f>
        <v/>
      </c>
      <c r="AH1507" s="23">
        <f>$D$1500*AH1503/1000000</f>
        <v/>
      </c>
      <c r="AI1507" s="23">
        <f>$D$1500*AI1503/1000000</f>
        <v/>
      </c>
      <c r="AJ1507" s="23">
        <f>$D$1500*AJ1503/1000000</f>
        <v/>
      </c>
    </row>
    <row r="1508">
      <c r="B1508" s="2" t="inlineStr">
        <is>
          <t>Fixed O&amp;M payments (indexed)</t>
        </is>
      </c>
      <c r="C1508" s="5" t="inlineStr">
        <is>
          <t>$ million</t>
        </is>
      </c>
      <c r="D1508" s="23">
        <f>$D$1498*D1492*D1503/1000000</f>
        <v/>
      </c>
      <c r="E1508" s="23">
        <f>$D$1498*E1492*E1503/1000000</f>
        <v/>
      </c>
      <c r="F1508" s="23">
        <f>$D$1498*F1492*F1503/1000000</f>
        <v/>
      </c>
      <c r="G1508" s="23">
        <f>$D$1498*G1492*G1503/1000000</f>
        <v/>
      </c>
      <c r="H1508" s="23">
        <f>$D$1498*H1492*H1503/1000000</f>
        <v/>
      </c>
      <c r="I1508" s="23">
        <f>$D$1498*I1492*I1503/1000000</f>
        <v/>
      </c>
      <c r="J1508" s="23">
        <f>$D$1498*J1492*J1503/1000000</f>
        <v/>
      </c>
      <c r="K1508" s="23">
        <f>$D$1498*K1492*K1503/1000000</f>
        <v/>
      </c>
      <c r="L1508" s="23">
        <f>$D$1498*L1492*L1503/1000000</f>
        <v/>
      </c>
      <c r="M1508" s="23">
        <f>$D$1498*M1492*M1503/1000000</f>
        <v/>
      </c>
      <c r="N1508" s="23">
        <f>$D$1498*N1492*N1503/1000000</f>
        <v/>
      </c>
      <c r="O1508" s="23">
        <f>$D$1498*O1492*O1503/1000000</f>
        <v/>
      </c>
      <c r="P1508" s="23">
        <f>$D$1498*P1492*P1503/1000000</f>
        <v/>
      </c>
      <c r="Q1508" s="23">
        <f>$D$1498*Q1492*Q1503/1000000</f>
        <v/>
      </c>
      <c r="R1508" s="23">
        <f>$D$1498*R1492*R1503/1000000</f>
        <v/>
      </c>
      <c r="S1508" s="23">
        <f>$D$1498*S1492*S1503/1000000</f>
        <v/>
      </c>
      <c r="T1508" s="23">
        <f>$D$1498*T1492*T1503/1000000</f>
        <v/>
      </c>
      <c r="U1508" s="23">
        <f>$D$1498*U1492*U1503/1000000</f>
        <v/>
      </c>
      <c r="V1508" s="23">
        <f>$D$1498*V1492*V1503/1000000</f>
        <v/>
      </c>
      <c r="W1508" s="23">
        <f>$D$1498*W1492*W1503/1000000</f>
        <v/>
      </c>
      <c r="X1508" s="23">
        <f>$D$1498*X1492*X1503/1000000</f>
        <v/>
      </c>
      <c r="Y1508" s="23">
        <f>$D$1498*Y1492*Y1503/1000000</f>
        <v/>
      </c>
      <c r="Z1508" s="23">
        <f>$D$1498*Z1492*Z1503/1000000</f>
        <v/>
      </c>
      <c r="AA1508" s="23">
        <f>$D$1498*AA1492*AA1503/1000000</f>
        <v/>
      </c>
      <c r="AB1508" s="23">
        <f>$D$1498*AB1492*AB1503/1000000</f>
        <v/>
      </c>
      <c r="AC1508" s="23">
        <f>$D$1498*AC1492*AC1503/1000000</f>
        <v/>
      </c>
      <c r="AD1508" s="23">
        <f>$D$1498*AD1492*AD1503/1000000</f>
        <v/>
      </c>
      <c r="AE1508" s="23">
        <f>$D$1498*AE1492*AE1503/1000000</f>
        <v/>
      </c>
      <c r="AF1508" s="23">
        <f>$D$1498*AF1492*AF1503/1000000</f>
        <v/>
      </c>
      <c r="AG1508" s="23">
        <f>$D$1498*AG1492*AG1503/1000000</f>
        <v/>
      </c>
      <c r="AH1508" s="23">
        <f>$D$1498*AH1492*AH1503/1000000</f>
        <v/>
      </c>
      <c r="AI1508" s="23">
        <f>$D$1498*AI1492*AI1503/1000000</f>
        <v/>
      </c>
      <c r="AJ1508" s="23">
        <f>$D$1498*AJ1492*AJ1503/1000000</f>
        <v/>
      </c>
    </row>
    <row r="1509">
      <c r="B1509" s="2" t="inlineStr">
        <is>
          <t>Energy charge (guaranteed kWh x power price)</t>
        </is>
      </c>
      <c r="C1509" s="5" t="inlineStr">
        <is>
          <t>$ million</t>
        </is>
      </c>
      <c r="D1509" s="23">
        <f>D1504*sb_sec*D1506/1000/1000000</f>
        <v/>
      </c>
      <c r="E1509" s="23">
        <f>E1504*sb_sec*E1506/1000/1000000</f>
        <v/>
      </c>
      <c r="F1509" s="23">
        <f>F1504*sb_sec*F1506/1000/1000000</f>
        <v/>
      </c>
      <c r="G1509" s="23">
        <f>G1504*sb_sec*G1506/1000/1000000</f>
        <v/>
      </c>
      <c r="H1509" s="23">
        <f>H1504*sb_sec*H1506/1000/1000000</f>
        <v/>
      </c>
      <c r="I1509" s="23">
        <f>I1504*sb_sec*I1506/1000/1000000</f>
        <v/>
      </c>
      <c r="J1509" s="23">
        <f>J1504*sb_sec*J1506/1000/1000000</f>
        <v/>
      </c>
      <c r="K1509" s="23">
        <f>K1504*sb_sec*K1506/1000/1000000</f>
        <v/>
      </c>
      <c r="L1509" s="23">
        <f>L1504*sb_sec*L1506/1000/1000000</f>
        <v/>
      </c>
      <c r="M1509" s="23">
        <f>M1504*sb_sec*M1506/1000/1000000</f>
        <v/>
      </c>
      <c r="N1509" s="23">
        <f>N1504*sb_sec*N1506/1000/1000000</f>
        <v/>
      </c>
      <c r="O1509" s="23">
        <f>O1504*sb_sec*O1506/1000/1000000</f>
        <v/>
      </c>
      <c r="P1509" s="23">
        <f>P1504*sb_sec*P1506/1000/1000000</f>
        <v/>
      </c>
      <c r="Q1509" s="23">
        <f>Q1504*sb_sec*Q1506/1000/1000000</f>
        <v/>
      </c>
      <c r="R1509" s="23">
        <f>R1504*sb_sec*R1506/1000/1000000</f>
        <v/>
      </c>
      <c r="S1509" s="23">
        <f>S1504*sb_sec*S1506/1000/1000000</f>
        <v/>
      </c>
      <c r="T1509" s="23">
        <f>T1504*sb_sec*T1506/1000/1000000</f>
        <v/>
      </c>
      <c r="U1509" s="23">
        <f>U1504*sb_sec*U1506/1000/1000000</f>
        <v/>
      </c>
      <c r="V1509" s="23">
        <f>V1504*sb_sec*V1506/1000/1000000</f>
        <v/>
      </c>
      <c r="W1509" s="23">
        <f>W1504*sb_sec*W1506/1000/1000000</f>
        <v/>
      </c>
      <c r="X1509" s="23">
        <f>X1504*sb_sec*X1506/1000/1000000</f>
        <v/>
      </c>
      <c r="Y1509" s="23">
        <f>Y1504*sb_sec*Y1506/1000/1000000</f>
        <v/>
      </c>
      <c r="Z1509" s="23">
        <f>Z1504*sb_sec*Z1506/1000/1000000</f>
        <v/>
      </c>
      <c r="AA1509" s="23">
        <f>AA1504*sb_sec*AA1506/1000/1000000</f>
        <v/>
      </c>
      <c r="AB1509" s="23">
        <f>AB1504*sb_sec*AB1506/1000/1000000</f>
        <v/>
      </c>
      <c r="AC1509" s="23">
        <f>AC1504*sb_sec*AC1506/1000/1000000</f>
        <v/>
      </c>
      <c r="AD1509" s="23">
        <f>AD1504*sb_sec*AD1506/1000/1000000</f>
        <v/>
      </c>
      <c r="AE1509" s="23">
        <f>AE1504*sb_sec*AE1506/1000/1000000</f>
        <v/>
      </c>
      <c r="AF1509" s="23">
        <f>AF1504*sb_sec*AF1506/1000/1000000</f>
        <v/>
      </c>
      <c r="AG1509" s="23">
        <f>AG1504*sb_sec*AG1506/1000/1000000</f>
        <v/>
      </c>
      <c r="AH1509" s="23">
        <f>AH1504*sb_sec*AH1506/1000/1000000</f>
        <v/>
      </c>
      <c r="AI1509" s="23">
        <f>AI1504*sb_sec*AI1506/1000/1000000</f>
        <v/>
      </c>
      <c r="AJ1509" s="23">
        <f>AJ1504*sb_sec*AJ1506/1000/1000000</f>
        <v/>
      </c>
    </row>
    <row r="1510">
      <c r="B1510" s="2" t="inlineStr">
        <is>
          <t>Chemicals charge (indexed)</t>
        </is>
      </c>
      <c r="C1510" s="5" t="inlineStr">
        <is>
          <t>$ million</t>
        </is>
      </c>
      <c r="D1510" s="23">
        <f>D1504*sb_chem*D1492/1000000</f>
        <v/>
      </c>
      <c r="E1510" s="23">
        <f>E1504*sb_chem*E1492/1000000</f>
        <v/>
      </c>
      <c r="F1510" s="23">
        <f>F1504*sb_chem*F1492/1000000</f>
        <v/>
      </c>
      <c r="G1510" s="23">
        <f>G1504*sb_chem*G1492/1000000</f>
        <v/>
      </c>
      <c r="H1510" s="23">
        <f>H1504*sb_chem*H1492/1000000</f>
        <v/>
      </c>
      <c r="I1510" s="23">
        <f>I1504*sb_chem*I1492/1000000</f>
        <v/>
      </c>
      <c r="J1510" s="23">
        <f>J1504*sb_chem*J1492/1000000</f>
        <v/>
      </c>
      <c r="K1510" s="23">
        <f>K1504*sb_chem*K1492/1000000</f>
        <v/>
      </c>
      <c r="L1510" s="23">
        <f>L1504*sb_chem*L1492/1000000</f>
        <v/>
      </c>
      <c r="M1510" s="23">
        <f>M1504*sb_chem*M1492/1000000</f>
        <v/>
      </c>
      <c r="N1510" s="23">
        <f>N1504*sb_chem*N1492/1000000</f>
        <v/>
      </c>
      <c r="O1510" s="23">
        <f>O1504*sb_chem*O1492/1000000</f>
        <v/>
      </c>
      <c r="P1510" s="23">
        <f>P1504*sb_chem*P1492/1000000</f>
        <v/>
      </c>
      <c r="Q1510" s="23">
        <f>Q1504*sb_chem*Q1492/1000000</f>
        <v/>
      </c>
      <c r="R1510" s="23">
        <f>R1504*sb_chem*R1492/1000000</f>
        <v/>
      </c>
      <c r="S1510" s="23">
        <f>S1504*sb_chem*S1492/1000000</f>
        <v/>
      </c>
      <c r="T1510" s="23">
        <f>T1504*sb_chem*T1492/1000000</f>
        <v/>
      </c>
      <c r="U1510" s="23">
        <f>U1504*sb_chem*U1492/1000000</f>
        <v/>
      </c>
      <c r="V1510" s="23">
        <f>V1504*sb_chem*V1492/1000000</f>
        <v/>
      </c>
      <c r="W1510" s="23">
        <f>W1504*sb_chem*W1492/1000000</f>
        <v/>
      </c>
      <c r="X1510" s="23">
        <f>X1504*sb_chem*X1492/1000000</f>
        <v/>
      </c>
      <c r="Y1510" s="23">
        <f>Y1504*sb_chem*Y1492/1000000</f>
        <v/>
      </c>
      <c r="Z1510" s="23">
        <f>Z1504*sb_chem*Z1492/1000000</f>
        <v/>
      </c>
      <c r="AA1510" s="23">
        <f>AA1504*sb_chem*AA1492/1000000</f>
        <v/>
      </c>
      <c r="AB1510" s="23">
        <f>AB1504*sb_chem*AB1492/1000000</f>
        <v/>
      </c>
      <c r="AC1510" s="23">
        <f>AC1504*sb_chem*AC1492/1000000</f>
        <v/>
      </c>
      <c r="AD1510" s="23">
        <f>AD1504*sb_chem*AD1492/1000000</f>
        <v/>
      </c>
      <c r="AE1510" s="23">
        <f>AE1504*sb_chem*AE1492/1000000</f>
        <v/>
      </c>
      <c r="AF1510" s="23">
        <f>AF1504*sb_chem*AF1492/1000000</f>
        <v/>
      </c>
      <c r="AG1510" s="23">
        <f>AG1504*sb_chem*AG1492/1000000</f>
        <v/>
      </c>
      <c r="AH1510" s="23">
        <f>AH1504*sb_chem*AH1492/1000000</f>
        <v/>
      </c>
      <c r="AI1510" s="23">
        <f>AI1504*sb_chem*AI1492/1000000</f>
        <v/>
      </c>
      <c r="AJ1510" s="23">
        <f>AJ1504*sb_chem*AJ1492/1000000</f>
        <v/>
      </c>
    </row>
    <row r="1511">
      <c r="B1511" s="2" t="inlineStr">
        <is>
          <t>Capacity payments lost to delay</t>
        </is>
      </c>
      <c r="C1511" s="5" t="inlineStr">
        <is>
          <t>$ million</t>
        </is>
      </c>
      <c r="D1511" s="23">
        <f>IF(D1489=sb_cod,D1507*sb_delay,0)</f>
        <v/>
      </c>
      <c r="E1511" s="23">
        <f>IF(E1489=sb_cod,E1507*sb_delay,0)</f>
        <v/>
      </c>
      <c r="F1511" s="23">
        <f>IF(F1489=sb_cod,F1507*sb_delay,0)</f>
        <v/>
      </c>
      <c r="G1511" s="23">
        <f>IF(G1489=sb_cod,G1507*sb_delay,0)</f>
        <v/>
      </c>
      <c r="H1511" s="23">
        <f>IF(H1489=sb_cod,H1507*sb_delay,0)</f>
        <v/>
      </c>
      <c r="I1511" s="23">
        <f>IF(I1489=sb_cod,I1507*sb_delay,0)</f>
        <v/>
      </c>
      <c r="J1511" s="23">
        <f>IF(J1489=sb_cod,J1507*sb_delay,0)</f>
        <v/>
      </c>
      <c r="K1511" s="23">
        <f>IF(K1489=sb_cod,K1507*sb_delay,0)</f>
        <v/>
      </c>
      <c r="L1511" s="23">
        <f>IF(L1489=sb_cod,L1507*sb_delay,0)</f>
        <v/>
      </c>
      <c r="M1511" s="23">
        <f>IF(M1489=sb_cod,M1507*sb_delay,0)</f>
        <v/>
      </c>
      <c r="N1511" s="23">
        <f>IF(N1489=sb_cod,N1507*sb_delay,0)</f>
        <v/>
      </c>
      <c r="O1511" s="23">
        <f>IF(O1489=sb_cod,O1507*sb_delay,0)</f>
        <v/>
      </c>
      <c r="P1511" s="23">
        <f>IF(P1489=sb_cod,P1507*sb_delay,0)</f>
        <v/>
      </c>
      <c r="Q1511" s="23">
        <f>IF(Q1489=sb_cod,Q1507*sb_delay,0)</f>
        <v/>
      </c>
      <c r="R1511" s="23">
        <f>IF(R1489=sb_cod,R1507*sb_delay,0)</f>
        <v/>
      </c>
      <c r="S1511" s="23">
        <f>IF(S1489=sb_cod,S1507*sb_delay,0)</f>
        <v/>
      </c>
      <c r="T1511" s="23">
        <f>IF(T1489=sb_cod,T1507*sb_delay,0)</f>
        <v/>
      </c>
      <c r="U1511" s="23">
        <f>IF(U1489=sb_cod,U1507*sb_delay,0)</f>
        <v/>
      </c>
      <c r="V1511" s="23">
        <f>IF(V1489=sb_cod,V1507*sb_delay,0)</f>
        <v/>
      </c>
      <c r="W1511" s="23">
        <f>IF(W1489=sb_cod,W1507*sb_delay,0)</f>
        <v/>
      </c>
      <c r="X1511" s="23">
        <f>IF(X1489=sb_cod,X1507*sb_delay,0)</f>
        <v/>
      </c>
      <c r="Y1511" s="23">
        <f>IF(Y1489=sb_cod,Y1507*sb_delay,0)</f>
        <v/>
      </c>
      <c r="Z1511" s="23">
        <f>IF(Z1489=sb_cod,Z1507*sb_delay,0)</f>
        <v/>
      </c>
      <c r="AA1511" s="23">
        <f>IF(AA1489=sb_cod,AA1507*sb_delay,0)</f>
        <v/>
      </c>
      <c r="AB1511" s="23">
        <f>IF(AB1489=sb_cod,AB1507*sb_delay,0)</f>
        <v/>
      </c>
      <c r="AC1511" s="23">
        <f>IF(AC1489=sb_cod,AC1507*sb_delay,0)</f>
        <v/>
      </c>
      <c r="AD1511" s="23">
        <f>IF(AD1489=sb_cod,AD1507*sb_delay,0)</f>
        <v/>
      </c>
      <c r="AE1511" s="23">
        <f>IF(AE1489=sb_cod,AE1507*sb_delay,0)</f>
        <v/>
      </c>
      <c r="AF1511" s="23">
        <f>IF(AF1489=sb_cod,AF1507*sb_delay,0)</f>
        <v/>
      </c>
      <c r="AG1511" s="23">
        <f>IF(AG1489=sb_cod,AG1507*sb_delay,0)</f>
        <v/>
      </c>
      <c r="AH1511" s="23">
        <f>IF(AH1489=sb_cod,AH1507*sb_delay,0)</f>
        <v/>
      </c>
      <c r="AI1511" s="23">
        <f>IF(AI1489=sb_cod,AI1507*sb_delay,0)</f>
        <v/>
      </c>
      <c r="AJ1511" s="23">
        <f>IF(AJ1489=sb_cod,AJ1507*sb_delay,0)</f>
        <v/>
      </c>
    </row>
    <row r="1512">
      <c r="B1512" s="2" t="inlineStr">
        <is>
          <t>Lost payments not covered by delay damages</t>
        </is>
      </c>
      <c r="C1512" s="5" t="inlineStr">
        <is>
          <t>$ million</t>
        </is>
      </c>
      <c r="D1512" s="23">
        <f>D1511*(1-sb_ld)</f>
        <v/>
      </c>
      <c r="E1512" s="23">
        <f>E1511*(1-sb_ld)</f>
        <v/>
      </c>
      <c r="F1512" s="23">
        <f>F1511*(1-sb_ld)</f>
        <v/>
      </c>
      <c r="G1512" s="23">
        <f>G1511*(1-sb_ld)</f>
        <v/>
      </c>
      <c r="H1512" s="23">
        <f>H1511*(1-sb_ld)</f>
        <v/>
      </c>
      <c r="I1512" s="23">
        <f>I1511*(1-sb_ld)</f>
        <v/>
      </c>
      <c r="J1512" s="23">
        <f>J1511*(1-sb_ld)</f>
        <v/>
      </c>
      <c r="K1512" s="23">
        <f>K1511*(1-sb_ld)</f>
        <v/>
      </c>
      <c r="L1512" s="23">
        <f>L1511*(1-sb_ld)</f>
        <v/>
      </c>
      <c r="M1512" s="23">
        <f>M1511*(1-sb_ld)</f>
        <v/>
      </c>
      <c r="N1512" s="23">
        <f>N1511*(1-sb_ld)</f>
        <v/>
      </c>
      <c r="O1512" s="23">
        <f>O1511*(1-sb_ld)</f>
        <v/>
      </c>
      <c r="P1512" s="23">
        <f>P1511*(1-sb_ld)</f>
        <v/>
      </c>
      <c r="Q1512" s="23">
        <f>Q1511*(1-sb_ld)</f>
        <v/>
      </c>
      <c r="R1512" s="23">
        <f>R1511*(1-sb_ld)</f>
        <v/>
      </c>
      <c r="S1512" s="23">
        <f>S1511*(1-sb_ld)</f>
        <v/>
      </c>
      <c r="T1512" s="23">
        <f>T1511*(1-sb_ld)</f>
        <v/>
      </c>
      <c r="U1512" s="23">
        <f>U1511*(1-sb_ld)</f>
        <v/>
      </c>
      <c r="V1512" s="23">
        <f>V1511*(1-sb_ld)</f>
        <v/>
      </c>
      <c r="W1512" s="23">
        <f>W1511*(1-sb_ld)</f>
        <v/>
      </c>
      <c r="X1512" s="23">
        <f>X1511*(1-sb_ld)</f>
        <v/>
      </c>
      <c r="Y1512" s="23">
        <f>Y1511*(1-sb_ld)</f>
        <v/>
      </c>
      <c r="Z1512" s="23">
        <f>Z1511*(1-sb_ld)</f>
        <v/>
      </c>
      <c r="AA1512" s="23">
        <f>AA1511*(1-sb_ld)</f>
        <v/>
      </c>
      <c r="AB1512" s="23">
        <f>AB1511*(1-sb_ld)</f>
        <v/>
      </c>
      <c r="AC1512" s="23">
        <f>AC1511*(1-sb_ld)</f>
        <v/>
      </c>
      <c r="AD1512" s="23">
        <f>AD1511*(1-sb_ld)</f>
        <v/>
      </c>
      <c r="AE1512" s="23">
        <f>AE1511*(1-sb_ld)</f>
        <v/>
      </c>
      <c r="AF1512" s="23">
        <f>AF1511*(1-sb_ld)</f>
        <v/>
      </c>
      <c r="AG1512" s="23">
        <f>AG1511*(1-sb_ld)</f>
        <v/>
      </c>
      <c r="AH1512" s="23">
        <f>AH1511*(1-sb_ld)</f>
        <v/>
      </c>
      <c r="AI1512" s="23">
        <f>AI1511*(1-sb_ld)</f>
        <v/>
      </c>
      <c r="AJ1512" s="23">
        <f>AJ1511*(1-sb_ld)</f>
        <v/>
      </c>
    </row>
    <row r="1513">
      <c r="B1513" s="3" t="inlineStr">
        <is>
          <t>Revenue</t>
        </is>
      </c>
      <c r="C1513" s="5" t="inlineStr">
        <is>
          <t>$ million</t>
        </is>
      </c>
      <c r="D1513" s="23">
        <f>D1507+D1508+D1509+D1510-D1512</f>
        <v/>
      </c>
      <c r="E1513" s="23">
        <f>E1507+E1508+E1509+E1510-E1512</f>
        <v/>
      </c>
      <c r="F1513" s="23">
        <f>F1507+F1508+F1509+F1510-F1512</f>
        <v/>
      </c>
      <c r="G1513" s="23">
        <f>G1507+G1508+G1509+G1510-G1512</f>
        <v/>
      </c>
      <c r="H1513" s="23">
        <f>H1507+H1508+H1509+H1510-H1512</f>
        <v/>
      </c>
      <c r="I1513" s="23">
        <f>I1507+I1508+I1509+I1510-I1512</f>
        <v/>
      </c>
      <c r="J1513" s="23">
        <f>J1507+J1508+J1509+J1510-J1512</f>
        <v/>
      </c>
      <c r="K1513" s="23">
        <f>K1507+K1508+K1509+K1510-K1512</f>
        <v/>
      </c>
      <c r="L1513" s="23">
        <f>L1507+L1508+L1509+L1510-L1512</f>
        <v/>
      </c>
      <c r="M1513" s="23">
        <f>M1507+M1508+M1509+M1510-M1512</f>
        <v/>
      </c>
      <c r="N1513" s="23">
        <f>N1507+N1508+N1509+N1510-N1512</f>
        <v/>
      </c>
      <c r="O1513" s="23">
        <f>O1507+O1508+O1509+O1510-O1512</f>
        <v/>
      </c>
      <c r="P1513" s="23">
        <f>P1507+P1508+P1509+P1510-P1512</f>
        <v/>
      </c>
      <c r="Q1513" s="23">
        <f>Q1507+Q1508+Q1509+Q1510-Q1512</f>
        <v/>
      </c>
      <c r="R1513" s="23">
        <f>R1507+R1508+R1509+R1510-R1512</f>
        <v/>
      </c>
      <c r="S1513" s="23">
        <f>S1507+S1508+S1509+S1510-S1512</f>
        <v/>
      </c>
      <c r="T1513" s="23">
        <f>T1507+T1508+T1509+T1510-T1512</f>
        <v/>
      </c>
      <c r="U1513" s="23">
        <f>U1507+U1508+U1509+U1510-U1512</f>
        <v/>
      </c>
      <c r="V1513" s="23">
        <f>V1507+V1508+V1509+V1510-V1512</f>
        <v/>
      </c>
      <c r="W1513" s="23">
        <f>W1507+W1508+W1509+W1510-W1512</f>
        <v/>
      </c>
      <c r="X1513" s="23">
        <f>X1507+X1508+X1509+X1510-X1512</f>
        <v/>
      </c>
      <c r="Y1513" s="23">
        <f>Y1507+Y1508+Y1509+Y1510-Y1512</f>
        <v/>
      </c>
      <c r="Z1513" s="23">
        <f>Z1507+Z1508+Z1509+Z1510-Z1512</f>
        <v/>
      </c>
      <c r="AA1513" s="23">
        <f>AA1507+AA1508+AA1509+AA1510-AA1512</f>
        <v/>
      </c>
      <c r="AB1513" s="23">
        <f>AB1507+AB1508+AB1509+AB1510-AB1512</f>
        <v/>
      </c>
      <c r="AC1513" s="23">
        <f>AC1507+AC1508+AC1509+AC1510-AC1512</f>
        <v/>
      </c>
      <c r="AD1513" s="23">
        <f>AD1507+AD1508+AD1509+AD1510-AD1512</f>
        <v/>
      </c>
      <c r="AE1513" s="23">
        <f>AE1507+AE1508+AE1509+AE1510-AE1512</f>
        <v/>
      </c>
      <c r="AF1513" s="23">
        <f>AF1507+AF1508+AF1509+AF1510-AF1512</f>
        <v/>
      </c>
      <c r="AG1513" s="23">
        <f>AG1507+AG1508+AG1509+AG1510-AG1512</f>
        <v/>
      </c>
      <c r="AH1513" s="23">
        <f>AH1507+AH1508+AH1509+AH1510-AH1512</f>
        <v/>
      </c>
      <c r="AI1513" s="23">
        <f>AI1507+AI1508+AI1509+AI1510-AI1512</f>
        <v/>
      </c>
      <c r="AJ1513" s="23">
        <f>AJ1507+AJ1508+AJ1509+AJ1510-AJ1512</f>
        <v/>
      </c>
    </row>
    <row r="1514">
      <c r="B1514" s="2" t="inlineStr">
        <is>
          <t>Fixed O&amp;M</t>
        </is>
      </c>
      <c r="C1514" s="5" t="inlineStr">
        <is>
          <t>$ million</t>
        </is>
      </c>
      <c r="D1514" s="23">
        <f>D1490*sb_fom*D1492</f>
        <v/>
      </c>
      <c r="E1514" s="23">
        <f>E1490*sb_fom*E1492</f>
        <v/>
      </c>
      <c r="F1514" s="23">
        <f>F1490*sb_fom*F1492</f>
        <v/>
      </c>
      <c r="G1514" s="23">
        <f>G1490*sb_fom*G1492</f>
        <v/>
      </c>
      <c r="H1514" s="23">
        <f>H1490*sb_fom*H1492</f>
        <v/>
      </c>
      <c r="I1514" s="23">
        <f>I1490*sb_fom*I1492</f>
        <v/>
      </c>
      <c r="J1514" s="23">
        <f>J1490*sb_fom*J1492</f>
        <v/>
      </c>
      <c r="K1514" s="23">
        <f>K1490*sb_fom*K1492</f>
        <v/>
      </c>
      <c r="L1514" s="23">
        <f>L1490*sb_fom*L1492</f>
        <v/>
      </c>
      <c r="M1514" s="23">
        <f>M1490*sb_fom*M1492</f>
        <v/>
      </c>
      <c r="N1514" s="23">
        <f>N1490*sb_fom*N1492</f>
        <v/>
      </c>
      <c r="O1514" s="23">
        <f>O1490*sb_fom*O1492</f>
        <v/>
      </c>
      <c r="P1514" s="23">
        <f>P1490*sb_fom*P1492</f>
        <v/>
      </c>
      <c r="Q1514" s="23">
        <f>Q1490*sb_fom*Q1492</f>
        <v/>
      </c>
      <c r="R1514" s="23">
        <f>R1490*sb_fom*R1492</f>
        <v/>
      </c>
      <c r="S1514" s="23">
        <f>S1490*sb_fom*S1492</f>
        <v/>
      </c>
      <c r="T1514" s="23">
        <f>T1490*sb_fom*T1492</f>
        <v/>
      </c>
      <c r="U1514" s="23">
        <f>U1490*sb_fom*U1492</f>
        <v/>
      </c>
      <c r="V1514" s="23">
        <f>V1490*sb_fom*V1492</f>
        <v/>
      </c>
      <c r="W1514" s="23">
        <f>W1490*sb_fom*W1492</f>
        <v/>
      </c>
      <c r="X1514" s="23">
        <f>X1490*sb_fom*X1492</f>
        <v/>
      </c>
      <c r="Y1514" s="23">
        <f>Y1490*sb_fom*Y1492</f>
        <v/>
      </c>
      <c r="Z1514" s="23">
        <f>Z1490*sb_fom*Z1492</f>
        <v/>
      </c>
      <c r="AA1514" s="23">
        <f>AA1490*sb_fom*AA1492</f>
        <v/>
      </c>
      <c r="AB1514" s="23">
        <f>AB1490*sb_fom*AB1492</f>
        <v/>
      </c>
      <c r="AC1514" s="23">
        <f>AC1490*sb_fom*AC1492</f>
        <v/>
      </c>
      <c r="AD1514" s="23">
        <f>AD1490*sb_fom*AD1492</f>
        <v/>
      </c>
      <c r="AE1514" s="23">
        <f>AE1490*sb_fom*AE1492</f>
        <v/>
      </c>
      <c r="AF1514" s="23">
        <f>AF1490*sb_fom*AF1492</f>
        <v/>
      </c>
      <c r="AG1514" s="23">
        <f>AG1490*sb_fom*AG1492</f>
        <v/>
      </c>
      <c r="AH1514" s="23">
        <f>AH1490*sb_fom*AH1492</f>
        <v/>
      </c>
      <c r="AI1514" s="23">
        <f>AI1490*sb_fom*AI1492</f>
        <v/>
      </c>
      <c r="AJ1514" s="23">
        <f>AJ1490*sb_fom*AJ1492</f>
        <v/>
      </c>
    </row>
    <row r="1515">
      <c r="B1515" s="2" t="inlineStr">
        <is>
          <t>Energy cost (actual kWh x power price)</t>
        </is>
      </c>
      <c r="C1515" s="5" t="inlineStr">
        <is>
          <t>$ million</t>
        </is>
      </c>
      <c r="D1515" s="23">
        <f>D1504*sb_sec_act*D1505/1000/1000000</f>
        <v/>
      </c>
      <c r="E1515" s="23">
        <f>E1504*sb_sec_act*E1505/1000/1000000</f>
        <v/>
      </c>
      <c r="F1515" s="23">
        <f>F1504*sb_sec_act*F1505/1000/1000000</f>
        <v/>
      </c>
      <c r="G1515" s="23">
        <f>G1504*sb_sec_act*G1505/1000/1000000</f>
        <v/>
      </c>
      <c r="H1515" s="23">
        <f>H1504*sb_sec_act*H1505/1000/1000000</f>
        <v/>
      </c>
      <c r="I1515" s="23">
        <f>I1504*sb_sec_act*I1505/1000/1000000</f>
        <v/>
      </c>
      <c r="J1515" s="23">
        <f>J1504*sb_sec_act*J1505/1000/1000000</f>
        <v/>
      </c>
      <c r="K1515" s="23">
        <f>K1504*sb_sec_act*K1505/1000/1000000</f>
        <v/>
      </c>
      <c r="L1515" s="23">
        <f>L1504*sb_sec_act*L1505/1000/1000000</f>
        <v/>
      </c>
      <c r="M1515" s="23">
        <f>M1504*sb_sec_act*M1505/1000/1000000</f>
        <v/>
      </c>
      <c r="N1515" s="23">
        <f>N1504*sb_sec_act*N1505/1000/1000000</f>
        <v/>
      </c>
      <c r="O1515" s="23">
        <f>O1504*sb_sec_act*O1505/1000/1000000</f>
        <v/>
      </c>
      <c r="P1515" s="23">
        <f>P1504*sb_sec_act*P1505/1000/1000000</f>
        <v/>
      </c>
      <c r="Q1515" s="23">
        <f>Q1504*sb_sec_act*Q1505/1000/1000000</f>
        <v/>
      </c>
      <c r="R1515" s="23">
        <f>R1504*sb_sec_act*R1505/1000/1000000</f>
        <v/>
      </c>
      <c r="S1515" s="23">
        <f>S1504*sb_sec_act*S1505/1000/1000000</f>
        <v/>
      </c>
      <c r="T1515" s="23">
        <f>T1504*sb_sec_act*T1505/1000/1000000</f>
        <v/>
      </c>
      <c r="U1515" s="23">
        <f>U1504*sb_sec_act*U1505/1000/1000000</f>
        <v/>
      </c>
      <c r="V1515" s="23">
        <f>V1504*sb_sec_act*V1505/1000/1000000</f>
        <v/>
      </c>
      <c r="W1515" s="23">
        <f>W1504*sb_sec_act*W1505/1000/1000000</f>
        <v/>
      </c>
      <c r="X1515" s="23">
        <f>X1504*sb_sec_act*X1505/1000/1000000</f>
        <v/>
      </c>
      <c r="Y1515" s="23">
        <f>Y1504*sb_sec_act*Y1505/1000/1000000</f>
        <v/>
      </c>
      <c r="Z1515" s="23">
        <f>Z1504*sb_sec_act*Z1505/1000/1000000</f>
        <v/>
      </c>
      <c r="AA1515" s="23">
        <f>AA1504*sb_sec_act*AA1505/1000/1000000</f>
        <v/>
      </c>
      <c r="AB1515" s="23">
        <f>AB1504*sb_sec_act*AB1505/1000/1000000</f>
        <v/>
      </c>
      <c r="AC1515" s="23">
        <f>AC1504*sb_sec_act*AC1505/1000/1000000</f>
        <v/>
      </c>
      <c r="AD1515" s="23">
        <f>AD1504*sb_sec_act*AD1505/1000/1000000</f>
        <v/>
      </c>
      <c r="AE1515" s="23">
        <f>AE1504*sb_sec_act*AE1505/1000/1000000</f>
        <v/>
      </c>
      <c r="AF1515" s="23">
        <f>AF1504*sb_sec_act*AF1505/1000/1000000</f>
        <v/>
      </c>
      <c r="AG1515" s="23">
        <f>AG1504*sb_sec_act*AG1505/1000/1000000</f>
        <v/>
      </c>
      <c r="AH1515" s="23">
        <f>AH1504*sb_sec_act*AH1505/1000/1000000</f>
        <v/>
      </c>
      <c r="AI1515" s="23">
        <f>AI1504*sb_sec_act*AI1505/1000/1000000</f>
        <v/>
      </c>
      <c r="AJ1515" s="23">
        <f>AJ1504*sb_sec_act*AJ1505/1000/1000000</f>
        <v/>
      </c>
    </row>
    <row r="1516">
      <c r="B1516" s="2" t="inlineStr">
        <is>
          <t>Chemicals</t>
        </is>
      </c>
      <c r="C1516" s="5" t="inlineStr">
        <is>
          <t>$ million</t>
        </is>
      </c>
      <c r="D1516" s="23">
        <f>D1510</f>
        <v/>
      </c>
      <c r="E1516" s="23">
        <f>E1510</f>
        <v/>
      </c>
      <c r="F1516" s="23">
        <f>F1510</f>
        <v/>
      </c>
      <c r="G1516" s="23">
        <f>G1510</f>
        <v/>
      </c>
      <c r="H1516" s="23">
        <f>H1510</f>
        <v/>
      </c>
      <c r="I1516" s="23">
        <f>I1510</f>
        <v/>
      </c>
      <c r="J1516" s="23">
        <f>J1510</f>
        <v/>
      </c>
      <c r="K1516" s="23">
        <f>K1510</f>
        <v/>
      </c>
      <c r="L1516" s="23">
        <f>L1510</f>
        <v/>
      </c>
      <c r="M1516" s="23">
        <f>M1510</f>
        <v/>
      </c>
      <c r="N1516" s="23">
        <f>N1510</f>
        <v/>
      </c>
      <c r="O1516" s="23">
        <f>O1510</f>
        <v/>
      </c>
      <c r="P1516" s="23">
        <f>P1510</f>
        <v/>
      </c>
      <c r="Q1516" s="23">
        <f>Q1510</f>
        <v/>
      </c>
      <c r="R1516" s="23">
        <f>R1510</f>
        <v/>
      </c>
      <c r="S1516" s="23">
        <f>S1510</f>
        <v/>
      </c>
      <c r="T1516" s="23">
        <f>T1510</f>
        <v/>
      </c>
      <c r="U1516" s="23">
        <f>U1510</f>
        <v/>
      </c>
      <c r="V1516" s="23">
        <f>V1510</f>
        <v/>
      </c>
      <c r="W1516" s="23">
        <f>W1510</f>
        <v/>
      </c>
      <c r="X1516" s="23">
        <f>X1510</f>
        <v/>
      </c>
      <c r="Y1516" s="23">
        <f>Y1510</f>
        <v/>
      </c>
      <c r="Z1516" s="23">
        <f>Z1510</f>
        <v/>
      </c>
      <c r="AA1516" s="23">
        <f>AA1510</f>
        <v/>
      </c>
      <c r="AB1516" s="23">
        <f>AB1510</f>
        <v/>
      </c>
      <c r="AC1516" s="23">
        <f>AC1510</f>
        <v/>
      </c>
      <c r="AD1516" s="23">
        <f>AD1510</f>
        <v/>
      </c>
      <c r="AE1516" s="23">
        <f>AE1510</f>
        <v/>
      </c>
      <c r="AF1516" s="23">
        <f>AF1510</f>
        <v/>
      </c>
      <c r="AG1516" s="23">
        <f>AG1510</f>
        <v/>
      </c>
      <c r="AH1516" s="23">
        <f>AH1510</f>
        <v/>
      </c>
      <c r="AI1516" s="23">
        <f>AI1510</f>
        <v/>
      </c>
      <c r="AJ1516" s="23">
        <f>AJ1510</f>
        <v/>
      </c>
    </row>
    <row r="1517">
      <c r="B1517" s="2" t="inlineStr">
        <is>
          <t>Major overhauls</t>
        </is>
      </c>
      <c r="C1517" s="5" t="inlineStr">
        <is>
          <t>$ million</t>
        </is>
      </c>
      <c r="D1517" s="23">
        <f>D1490*IF(OR(D1489=sb_major_y1,D1489=sb_major_y2),sb_major*D1492,0)</f>
        <v/>
      </c>
      <c r="E1517" s="23">
        <f>E1490*IF(OR(E1489=sb_major_y1,E1489=sb_major_y2),sb_major*E1492,0)</f>
        <v/>
      </c>
      <c r="F1517" s="23">
        <f>F1490*IF(OR(F1489=sb_major_y1,F1489=sb_major_y2),sb_major*F1492,0)</f>
        <v/>
      </c>
      <c r="G1517" s="23">
        <f>G1490*IF(OR(G1489=sb_major_y1,G1489=sb_major_y2),sb_major*G1492,0)</f>
        <v/>
      </c>
      <c r="H1517" s="23">
        <f>H1490*IF(OR(H1489=sb_major_y1,H1489=sb_major_y2),sb_major*H1492,0)</f>
        <v/>
      </c>
      <c r="I1517" s="23">
        <f>I1490*IF(OR(I1489=sb_major_y1,I1489=sb_major_y2),sb_major*I1492,0)</f>
        <v/>
      </c>
      <c r="J1517" s="23">
        <f>J1490*IF(OR(J1489=sb_major_y1,J1489=sb_major_y2),sb_major*J1492,0)</f>
        <v/>
      </c>
      <c r="K1517" s="23">
        <f>K1490*IF(OR(K1489=sb_major_y1,K1489=sb_major_y2),sb_major*K1492,0)</f>
        <v/>
      </c>
      <c r="L1517" s="23">
        <f>L1490*IF(OR(L1489=sb_major_y1,L1489=sb_major_y2),sb_major*L1492,0)</f>
        <v/>
      </c>
      <c r="M1517" s="23">
        <f>M1490*IF(OR(M1489=sb_major_y1,M1489=sb_major_y2),sb_major*M1492,0)</f>
        <v/>
      </c>
      <c r="N1517" s="23">
        <f>N1490*IF(OR(N1489=sb_major_y1,N1489=sb_major_y2),sb_major*N1492,0)</f>
        <v/>
      </c>
      <c r="O1517" s="23">
        <f>O1490*IF(OR(O1489=sb_major_y1,O1489=sb_major_y2),sb_major*O1492,0)</f>
        <v/>
      </c>
      <c r="P1517" s="23">
        <f>P1490*IF(OR(P1489=sb_major_y1,P1489=sb_major_y2),sb_major*P1492,0)</f>
        <v/>
      </c>
      <c r="Q1517" s="23">
        <f>Q1490*IF(OR(Q1489=sb_major_y1,Q1489=sb_major_y2),sb_major*Q1492,0)</f>
        <v/>
      </c>
      <c r="R1517" s="23">
        <f>R1490*IF(OR(R1489=sb_major_y1,R1489=sb_major_y2),sb_major*R1492,0)</f>
        <v/>
      </c>
      <c r="S1517" s="23">
        <f>S1490*IF(OR(S1489=sb_major_y1,S1489=sb_major_y2),sb_major*S1492,0)</f>
        <v/>
      </c>
      <c r="T1517" s="23">
        <f>T1490*IF(OR(T1489=sb_major_y1,T1489=sb_major_y2),sb_major*T1492,0)</f>
        <v/>
      </c>
      <c r="U1517" s="23">
        <f>U1490*IF(OR(U1489=sb_major_y1,U1489=sb_major_y2),sb_major*U1492,0)</f>
        <v/>
      </c>
      <c r="V1517" s="23">
        <f>V1490*IF(OR(V1489=sb_major_y1,V1489=sb_major_y2),sb_major*V1492,0)</f>
        <v/>
      </c>
      <c r="W1517" s="23">
        <f>W1490*IF(OR(W1489=sb_major_y1,W1489=sb_major_y2),sb_major*W1492,0)</f>
        <v/>
      </c>
      <c r="X1517" s="23">
        <f>X1490*IF(OR(X1489=sb_major_y1,X1489=sb_major_y2),sb_major*X1492,0)</f>
        <v/>
      </c>
      <c r="Y1517" s="23">
        <f>Y1490*IF(OR(Y1489=sb_major_y1,Y1489=sb_major_y2),sb_major*Y1492,0)</f>
        <v/>
      </c>
      <c r="Z1517" s="23">
        <f>Z1490*IF(OR(Z1489=sb_major_y1,Z1489=sb_major_y2),sb_major*Z1492,0)</f>
        <v/>
      </c>
      <c r="AA1517" s="23">
        <f>AA1490*IF(OR(AA1489=sb_major_y1,AA1489=sb_major_y2),sb_major*AA1492,0)</f>
        <v/>
      </c>
      <c r="AB1517" s="23">
        <f>AB1490*IF(OR(AB1489=sb_major_y1,AB1489=sb_major_y2),sb_major*AB1492,0)</f>
        <v/>
      </c>
      <c r="AC1517" s="23">
        <f>AC1490*IF(OR(AC1489=sb_major_y1,AC1489=sb_major_y2),sb_major*AC1492,0)</f>
        <v/>
      </c>
      <c r="AD1517" s="23">
        <f>AD1490*IF(OR(AD1489=sb_major_y1,AD1489=sb_major_y2),sb_major*AD1492,0)</f>
        <v/>
      </c>
      <c r="AE1517" s="23">
        <f>AE1490*IF(OR(AE1489=sb_major_y1,AE1489=sb_major_y2),sb_major*AE1492,0)</f>
        <v/>
      </c>
      <c r="AF1517" s="23">
        <f>AF1490*IF(OR(AF1489=sb_major_y1,AF1489=sb_major_y2),sb_major*AF1492,0)</f>
        <v/>
      </c>
      <c r="AG1517" s="23">
        <f>AG1490*IF(OR(AG1489=sb_major_y1,AG1489=sb_major_y2),sb_major*AG1492,0)</f>
        <v/>
      </c>
      <c r="AH1517" s="23">
        <f>AH1490*IF(OR(AH1489=sb_major_y1,AH1489=sb_major_y2),sb_major*AH1492,0)</f>
        <v/>
      </c>
      <c r="AI1517" s="23">
        <f>AI1490*IF(OR(AI1489=sb_major_y1,AI1489=sb_major_y2),sb_major*AI1492,0)</f>
        <v/>
      </c>
      <c r="AJ1517" s="23">
        <f>AJ1490*IF(OR(AJ1489=sb_major_y1,AJ1489=sb_major_y2),sb_major*AJ1492,0)</f>
        <v/>
      </c>
    </row>
    <row r="1518">
      <c r="B1518" s="2" t="inlineStr">
        <is>
          <t>Operating cost</t>
        </is>
      </c>
      <c r="C1518" s="5" t="inlineStr">
        <is>
          <t>$ million</t>
        </is>
      </c>
      <c r="D1518" s="23">
        <f>SUM(D1514:D1517)</f>
        <v/>
      </c>
      <c r="E1518" s="23">
        <f>SUM(E1514:E1517)</f>
        <v/>
      </c>
      <c r="F1518" s="23">
        <f>SUM(F1514:F1517)</f>
        <v/>
      </c>
      <c r="G1518" s="23">
        <f>SUM(G1514:G1517)</f>
        <v/>
      </c>
      <c r="H1518" s="23">
        <f>SUM(H1514:H1517)</f>
        <v/>
      </c>
      <c r="I1518" s="23">
        <f>SUM(I1514:I1517)</f>
        <v/>
      </c>
      <c r="J1518" s="23">
        <f>SUM(J1514:J1517)</f>
        <v/>
      </c>
      <c r="K1518" s="23">
        <f>SUM(K1514:K1517)</f>
        <v/>
      </c>
      <c r="L1518" s="23">
        <f>SUM(L1514:L1517)</f>
        <v/>
      </c>
      <c r="M1518" s="23">
        <f>SUM(M1514:M1517)</f>
        <v/>
      </c>
      <c r="N1518" s="23">
        <f>SUM(N1514:N1517)</f>
        <v/>
      </c>
      <c r="O1518" s="23">
        <f>SUM(O1514:O1517)</f>
        <v/>
      </c>
      <c r="P1518" s="23">
        <f>SUM(P1514:P1517)</f>
        <v/>
      </c>
      <c r="Q1518" s="23">
        <f>SUM(Q1514:Q1517)</f>
        <v/>
      </c>
      <c r="R1518" s="23">
        <f>SUM(R1514:R1517)</f>
        <v/>
      </c>
      <c r="S1518" s="23">
        <f>SUM(S1514:S1517)</f>
        <v/>
      </c>
      <c r="T1518" s="23">
        <f>SUM(T1514:T1517)</f>
        <v/>
      </c>
      <c r="U1518" s="23">
        <f>SUM(U1514:U1517)</f>
        <v/>
      </c>
      <c r="V1518" s="23">
        <f>SUM(V1514:V1517)</f>
        <v/>
      </c>
      <c r="W1518" s="23">
        <f>SUM(W1514:W1517)</f>
        <v/>
      </c>
      <c r="X1518" s="23">
        <f>SUM(X1514:X1517)</f>
        <v/>
      </c>
      <c r="Y1518" s="23">
        <f>SUM(Y1514:Y1517)</f>
        <v/>
      </c>
      <c r="Z1518" s="23">
        <f>SUM(Z1514:Z1517)</f>
        <v/>
      </c>
      <c r="AA1518" s="23">
        <f>SUM(AA1514:AA1517)</f>
        <v/>
      </c>
      <c r="AB1518" s="23">
        <f>SUM(AB1514:AB1517)</f>
        <v/>
      </c>
      <c r="AC1518" s="23">
        <f>SUM(AC1514:AC1517)</f>
        <v/>
      </c>
      <c r="AD1518" s="23">
        <f>SUM(AD1514:AD1517)</f>
        <v/>
      </c>
      <c r="AE1518" s="23">
        <f>SUM(AE1514:AE1517)</f>
        <v/>
      </c>
      <c r="AF1518" s="23">
        <f>SUM(AF1514:AF1517)</f>
        <v/>
      </c>
      <c r="AG1518" s="23">
        <f>SUM(AG1514:AG1517)</f>
        <v/>
      </c>
      <c r="AH1518" s="23">
        <f>SUM(AH1514:AH1517)</f>
        <v/>
      </c>
      <c r="AI1518" s="23">
        <f>SUM(AI1514:AI1517)</f>
        <v/>
      </c>
      <c r="AJ1518" s="23">
        <f>SUM(AJ1514:AJ1517)</f>
        <v/>
      </c>
    </row>
    <row r="1519">
      <c r="B1519" s="3" t="inlineStr">
        <is>
          <t>Cash flow available for debt service (CFADS)</t>
        </is>
      </c>
      <c r="C1519" s="5" t="inlineStr">
        <is>
          <t>$ million</t>
        </is>
      </c>
      <c r="D1519" s="23">
        <f>D1513-D1518</f>
        <v/>
      </c>
      <c r="E1519" s="23">
        <f>E1513-E1518</f>
        <v/>
      </c>
      <c r="F1519" s="23">
        <f>F1513-F1518</f>
        <v/>
      </c>
      <c r="G1519" s="23">
        <f>G1513-G1518</f>
        <v/>
      </c>
      <c r="H1519" s="23">
        <f>H1513-H1518</f>
        <v/>
      </c>
      <c r="I1519" s="23">
        <f>I1513-I1518</f>
        <v/>
      </c>
      <c r="J1519" s="23">
        <f>J1513-J1518</f>
        <v/>
      </c>
      <c r="K1519" s="23">
        <f>K1513-K1518</f>
        <v/>
      </c>
      <c r="L1519" s="23">
        <f>L1513-L1518</f>
        <v/>
      </c>
      <c r="M1519" s="23">
        <f>M1513-M1518</f>
        <v/>
      </c>
      <c r="N1519" s="23">
        <f>N1513-N1518</f>
        <v/>
      </c>
      <c r="O1519" s="23">
        <f>O1513-O1518</f>
        <v/>
      </c>
      <c r="P1519" s="23">
        <f>P1513-P1518</f>
        <v/>
      </c>
      <c r="Q1519" s="23">
        <f>Q1513-Q1518</f>
        <v/>
      </c>
      <c r="R1519" s="23">
        <f>R1513-R1518</f>
        <v/>
      </c>
      <c r="S1519" s="23">
        <f>S1513-S1518</f>
        <v/>
      </c>
      <c r="T1519" s="23">
        <f>T1513-T1518</f>
        <v/>
      </c>
      <c r="U1519" s="23">
        <f>U1513-U1518</f>
        <v/>
      </c>
      <c r="V1519" s="23">
        <f>V1513-V1518</f>
        <v/>
      </c>
      <c r="W1519" s="23">
        <f>W1513-W1518</f>
        <v/>
      </c>
      <c r="X1519" s="23">
        <f>X1513-X1518</f>
        <v/>
      </c>
      <c r="Y1519" s="23">
        <f>Y1513-Y1518</f>
        <v/>
      </c>
      <c r="Z1519" s="23">
        <f>Z1513-Z1518</f>
        <v/>
      </c>
      <c r="AA1519" s="23">
        <f>AA1513-AA1518</f>
        <v/>
      </c>
      <c r="AB1519" s="23">
        <f>AB1513-AB1518</f>
        <v/>
      </c>
      <c r="AC1519" s="23">
        <f>AC1513-AC1518</f>
        <v/>
      </c>
      <c r="AD1519" s="23">
        <f>AD1513-AD1518</f>
        <v/>
      </c>
      <c r="AE1519" s="23">
        <f>AE1513-AE1518</f>
        <v/>
      </c>
      <c r="AF1519" s="23">
        <f>AF1513-AF1518</f>
        <v/>
      </c>
      <c r="AG1519" s="23">
        <f>AG1513-AG1518</f>
        <v/>
      </c>
      <c r="AH1519" s="23">
        <f>AH1513-AH1518</f>
        <v/>
      </c>
      <c r="AI1519" s="23">
        <f>AI1513-AI1518</f>
        <v/>
      </c>
      <c r="AJ1519" s="23">
        <f>AJ1513-AJ1518</f>
        <v/>
      </c>
    </row>
    <row r="1521">
      <c r="B1521" s="6" t="inlineStr">
        <is>
          <t>Debt and flows</t>
        </is>
      </c>
      <c r="C1521" s="7" t="n"/>
      <c r="D1521" s="7" t="n"/>
      <c r="E1521" s="7" t="n"/>
      <c r="F1521" s="7" t="n"/>
      <c r="G1521" s="7" t="n"/>
      <c r="H1521" s="7" t="n"/>
      <c r="I1521" s="7" t="n"/>
      <c r="J1521" s="7" t="n"/>
      <c r="K1521" s="7" t="n"/>
      <c r="L1521" s="7" t="n"/>
      <c r="M1521" s="7" t="n"/>
      <c r="N1521" s="7" t="n"/>
      <c r="O1521" s="7" t="n"/>
      <c r="P1521" s="7" t="n"/>
      <c r="Q1521" s="7" t="n"/>
      <c r="R1521" s="7" t="n"/>
      <c r="S1521" s="7" t="n"/>
      <c r="T1521" s="7" t="n"/>
      <c r="U1521" s="7" t="n"/>
      <c r="V1521" s="7" t="n"/>
      <c r="W1521" s="7" t="n"/>
      <c r="X1521" s="7" t="n"/>
      <c r="Y1521" s="7" t="n"/>
      <c r="Z1521" s="7" t="n"/>
      <c r="AA1521" s="7" t="n"/>
      <c r="AB1521" s="7" t="n"/>
      <c r="AC1521" s="7" t="n"/>
      <c r="AD1521" s="7" t="n"/>
      <c r="AE1521" s="7" t="n"/>
      <c r="AF1521" s="7" t="n"/>
      <c r="AG1521" s="7" t="n"/>
      <c r="AH1521" s="7" t="n"/>
      <c r="AI1521" s="7" t="n"/>
      <c r="AJ1521" s="7" t="n"/>
    </row>
    <row r="1522">
      <c r="B1522" s="2" t="inlineStr">
        <is>
          <t>Capital cost paid</t>
        </is>
      </c>
      <c r="C1522" s="5" t="inlineStr">
        <is>
          <t>$ million</t>
        </is>
      </c>
      <c r="D1522" s="23">
        <f>-IF(D1489=sb_start+1,sb_phase1,IF(D1489=sb_start+2,1-sb_phase1,0))*$D$1499</f>
        <v/>
      </c>
      <c r="E1522" s="23">
        <f>-IF(E1489=sb_start+1,sb_phase1,IF(E1489=sb_start+2,1-sb_phase1,0))*$D$1499</f>
        <v/>
      </c>
      <c r="F1522" s="23">
        <f>-IF(F1489=sb_start+1,sb_phase1,IF(F1489=sb_start+2,1-sb_phase1,0))*$D$1499</f>
        <v/>
      </c>
      <c r="G1522" s="23">
        <f>-IF(G1489=sb_start+1,sb_phase1,IF(G1489=sb_start+2,1-sb_phase1,0))*$D$1499</f>
        <v/>
      </c>
      <c r="H1522" s="23">
        <f>-IF(H1489=sb_start+1,sb_phase1,IF(H1489=sb_start+2,1-sb_phase1,0))*$D$1499</f>
        <v/>
      </c>
      <c r="I1522" s="23">
        <f>-IF(I1489=sb_start+1,sb_phase1,IF(I1489=sb_start+2,1-sb_phase1,0))*$D$1499</f>
        <v/>
      </c>
      <c r="J1522" s="23">
        <f>-IF(J1489=sb_start+1,sb_phase1,IF(J1489=sb_start+2,1-sb_phase1,0))*$D$1499</f>
        <v/>
      </c>
      <c r="K1522" s="23">
        <f>-IF(K1489=sb_start+1,sb_phase1,IF(K1489=sb_start+2,1-sb_phase1,0))*$D$1499</f>
        <v/>
      </c>
      <c r="L1522" s="23">
        <f>-IF(L1489=sb_start+1,sb_phase1,IF(L1489=sb_start+2,1-sb_phase1,0))*$D$1499</f>
        <v/>
      </c>
      <c r="M1522" s="23">
        <f>-IF(M1489=sb_start+1,sb_phase1,IF(M1489=sb_start+2,1-sb_phase1,0))*$D$1499</f>
        <v/>
      </c>
      <c r="N1522" s="23">
        <f>-IF(N1489=sb_start+1,sb_phase1,IF(N1489=sb_start+2,1-sb_phase1,0))*$D$1499</f>
        <v/>
      </c>
      <c r="O1522" s="23">
        <f>-IF(O1489=sb_start+1,sb_phase1,IF(O1489=sb_start+2,1-sb_phase1,0))*$D$1499</f>
        <v/>
      </c>
      <c r="P1522" s="23">
        <f>-IF(P1489=sb_start+1,sb_phase1,IF(P1489=sb_start+2,1-sb_phase1,0))*$D$1499</f>
        <v/>
      </c>
      <c r="Q1522" s="23">
        <f>-IF(Q1489=sb_start+1,sb_phase1,IF(Q1489=sb_start+2,1-sb_phase1,0))*$D$1499</f>
        <v/>
      </c>
      <c r="R1522" s="23">
        <f>-IF(R1489=sb_start+1,sb_phase1,IF(R1489=sb_start+2,1-sb_phase1,0))*$D$1499</f>
        <v/>
      </c>
      <c r="S1522" s="23">
        <f>-IF(S1489=sb_start+1,sb_phase1,IF(S1489=sb_start+2,1-sb_phase1,0))*$D$1499</f>
        <v/>
      </c>
      <c r="T1522" s="23">
        <f>-IF(T1489=sb_start+1,sb_phase1,IF(T1489=sb_start+2,1-sb_phase1,0))*$D$1499</f>
        <v/>
      </c>
      <c r="U1522" s="23">
        <f>-IF(U1489=sb_start+1,sb_phase1,IF(U1489=sb_start+2,1-sb_phase1,0))*$D$1499</f>
        <v/>
      </c>
      <c r="V1522" s="23">
        <f>-IF(V1489=sb_start+1,sb_phase1,IF(V1489=sb_start+2,1-sb_phase1,0))*$D$1499</f>
        <v/>
      </c>
      <c r="W1522" s="23">
        <f>-IF(W1489=sb_start+1,sb_phase1,IF(W1489=sb_start+2,1-sb_phase1,0))*$D$1499</f>
        <v/>
      </c>
      <c r="X1522" s="23">
        <f>-IF(X1489=sb_start+1,sb_phase1,IF(X1489=sb_start+2,1-sb_phase1,0))*$D$1499</f>
        <v/>
      </c>
      <c r="Y1522" s="23">
        <f>-IF(Y1489=sb_start+1,sb_phase1,IF(Y1489=sb_start+2,1-sb_phase1,0))*$D$1499</f>
        <v/>
      </c>
      <c r="Z1522" s="23">
        <f>-IF(Z1489=sb_start+1,sb_phase1,IF(Z1489=sb_start+2,1-sb_phase1,0))*$D$1499</f>
        <v/>
      </c>
      <c r="AA1522" s="23">
        <f>-IF(AA1489=sb_start+1,sb_phase1,IF(AA1489=sb_start+2,1-sb_phase1,0))*$D$1499</f>
        <v/>
      </c>
      <c r="AB1522" s="23">
        <f>-IF(AB1489=sb_start+1,sb_phase1,IF(AB1489=sb_start+2,1-sb_phase1,0))*$D$1499</f>
        <v/>
      </c>
      <c r="AC1522" s="23">
        <f>-IF(AC1489=sb_start+1,sb_phase1,IF(AC1489=sb_start+2,1-sb_phase1,0))*$D$1499</f>
        <v/>
      </c>
      <c r="AD1522" s="23">
        <f>-IF(AD1489=sb_start+1,sb_phase1,IF(AD1489=sb_start+2,1-sb_phase1,0))*$D$1499</f>
        <v/>
      </c>
      <c r="AE1522" s="23">
        <f>-IF(AE1489=sb_start+1,sb_phase1,IF(AE1489=sb_start+2,1-sb_phase1,0))*$D$1499</f>
        <v/>
      </c>
      <c r="AF1522" s="23">
        <f>-IF(AF1489=sb_start+1,sb_phase1,IF(AF1489=sb_start+2,1-sb_phase1,0))*$D$1499</f>
        <v/>
      </c>
      <c r="AG1522" s="23">
        <f>-IF(AG1489=sb_start+1,sb_phase1,IF(AG1489=sb_start+2,1-sb_phase1,0))*$D$1499</f>
        <v/>
      </c>
      <c r="AH1522" s="23">
        <f>-IF(AH1489=sb_start+1,sb_phase1,IF(AH1489=sb_start+2,1-sb_phase1,0))*$D$1499</f>
        <v/>
      </c>
      <c r="AI1522" s="23">
        <f>-IF(AI1489=sb_start+1,sb_phase1,IF(AI1489=sb_start+2,1-sb_phase1,0))*$D$1499</f>
        <v/>
      </c>
      <c r="AJ1522" s="23">
        <f>-IF(AJ1489=sb_start+1,sb_phase1,IF(AJ1489=sb_start+2,1-sb_phase1,0))*$D$1499</f>
        <v/>
      </c>
    </row>
    <row r="1523">
      <c r="B1523" s="2" t="inlineStr">
        <is>
          <t>Debt discount factor (tenor years)</t>
        </is>
      </c>
      <c r="D1523" s="28">
        <f>IF(AND(D1490=1,D1491&lt;sb_tenor),1/(1+sb_kd)^(D1491+1),0)</f>
        <v/>
      </c>
      <c r="E1523" s="28">
        <f>IF(AND(E1490=1,E1491&lt;sb_tenor),1/(1+sb_kd)^(E1491+1),0)</f>
        <v/>
      </c>
      <c r="F1523" s="28">
        <f>IF(AND(F1490=1,F1491&lt;sb_tenor),1/(1+sb_kd)^(F1491+1),0)</f>
        <v/>
      </c>
      <c r="G1523" s="28">
        <f>IF(AND(G1490=1,G1491&lt;sb_tenor),1/(1+sb_kd)^(G1491+1),0)</f>
        <v/>
      </c>
      <c r="H1523" s="28">
        <f>IF(AND(H1490=1,H1491&lt;sb_tenor),1/(1+sb_kd)^(H1491+1),0)</f>
        <v/>
      </c>
      <c r="I1523" s="28">
        <f>IF(AND(I1490=1,I1491&lt;sb_tenor),1/(1+sb_kd)^(I1491+1),0)</f>
        <v/>
      </c>
      <c r="J1523" s="28">
        <f>IF(AND(J1490=1,J1491&lt;sb_tenor),1/(1+sb_kd)^(J1491+1),0)</f>
        <v/>
      </c>
      <c r="K1523" s="28">
        <f>IF(AND(K1490=1,K1491&lt;sb_tenor),1/(1+sb_kd)^(K1491+1),0)</f>
        <v/>
      </c>
      <c r="L1523" s="28">
        <f>IF(AND(L1490=1,L1491&lt;sb_tenor),1/(1+sb_kd)^(L1491+1),0)</f>
        <v/>
      </c>
      <c r="M1523" s="28">
        <f>IF(AND(M1490=1,M1491&lt;sb_tenor),1/(1+sb_kd)^(M1491+1),0)</f>
        <v/>
      </c>
      <c r="N1523" s="28">
        <f>IF(AND(N1490=1,N1491&lt;sb_tenor),1/(1+sb_kd)^(N1491+1),0)</f>
        <v/>
      </c>
      <c r="O1523" s="28">
        <f>IF(AND(O1490=1,O1491&lt;sb_tenor),1/(1+sb_kd)^(O1491+1),0)</f>
        <v/>
      </c>
      <c r="P1523" s="28">
        <f>IF(AND(P1490=1,P1491&lt;sb_tenor),1/(1+sb_kd)^(P1491+1),0)</f>
        <v/>
      </c>
      <c r="Q1523" s="28">
        <f>IF(AND(Q1490=1,Q1491&lt;sb_tenor),1/(1+sb_kd)^(Q1491+1),0)</f>
        <v/>
      </c>
      <c r="R1523" s="28">
        <f>IF(AND(R1490=1,R1491&lt;sb_tenor),1/(1+sb_kd)^(R1491+1),0)</f>
        <v/>
      </c>
      <c r="S1523" s="28">
        <f>IF(AND(S1490=1,S1491&lt;sb_tenor),1/(1+sb_kd)^(S1491+1),0)</f>
        <v/>
      </c>
      <c r="T1523" s="28">
        <f>IF(AND(T1490=1,T1491&lt;sb_tenor),1/(1+sb_kd)^(T1491+1),0)</f>
        <v/>
      </c>
      <c r="U1523" s="28">
        <f>IF(AND(U1490=1,U1491&lt;sb_tenor),1/(1+sb_kd)^(U1491+1),0)</f>
        <v/>
      </c>
      <c r="V1523" s="28">
        <f>IF(AND(V1490=1,V1491&lt;sb_tenor),1/(1+sb_kd)^(V1491+1),0)</f>
        <v/>
      </c>
      <c r="W1523" s="28">
        <f>IF(AND(W1490=1,W1491&lt;sb_tenor),1/(1+sb_kd)^(W1491+1),0)</f>
        <v/>
      </c>
      <c r="X1523" s="28">
        <f>IF(AND(X1490=1,X1491&lt;sb_tenor),1/(1+sb_kd)^(X1491+1),0)</f>
        <v/>
      </c>
      <c r="Y1523" s="28">
        <f>IF(AND(Y1490=1,Y1491&lt;sb_tenor),1/(1+sb_kd)^(Y1491+1),0)</f>
        <v/>
      </c>
      <c r="Z1523" s="28">
        <f>IF(AND(Z1490=1,Z1491&lt;sb_tenor),1/(1+sb_kd)^(Z1491+1),0)</f>
        <v/>
      </c>
      <c r="AA1523" s="28">
        <f>IF(AND(AA1490=1,AA1491&lt;sb_tenor),1/(1+sb_kd)^(AA1491+1),0)</f>
        <v/>
      </c>
      <c r="AB1523" s="28">
        <f>IF(AND(AB1490=1,AB1491&lt;sb_tenor),1/(1+sb_kd)^(AB1491+1),0)</f>
        <v/>
      </c>
      <c r="AC1523" s="28">
        <f>IF(AND(AC1490=1,AC1491&lt;sb_tenor),1/(1+sb_kd)^(AC1491+1),0)</f>
        <v/>
      </c>
      <c r="AD1523" s="28">
        <f>IF(AND(AD1490=1,AD1491&lt;sb_tenor),1/(1+sb_kd)^(AD1491+1),0)</f>
        <v/>
      </c>
      <c r="AE1523" s="28">
        <f>IF(AND(AE1490=1,AE1491&lt;sb_tenor),1/(1+sb_kd)^(AE1491+1),0)</f>
        <v/>
      </c>
      <c r="AF1523" s="28">
        <f>IF(AND(AF1490=1,AF1491&lt;sb_tenor),1/(1+sb_kd)^(AF1491+1),0)</f>
        <v/>
      </c>
      <c r="AG1523" s="28">
        <f>IF(AND(AG1490=1,AG1491&lt;sb_tenor),1/(1+sb_kd)^(AG1491+1),0)</f>
        <v/>
      </c>
      <c r="AH1523" s="28">
        <f>IF(AND(AH1490=1,AH1491&lt;sb_tenor),1/(1+sb_kd)^(AH1491+1),0)</f>
        <v/>
      </c>
      <c r="AI1523" s="28">
        <f>IF(AND(AI1490=1,AI1491&lt;sb_tenor),1/(1+sb_kd)^(AI1491+1),0)</f>
        <v/>
      </c>
      <c r="AJ1523" s="28">
        <f>IF(AND(AJ1490=1,AJ1491&lt;sb_tenor),1/(1+sb_kd)^(AJ1491+1),0)</f>
        <v/>
      </c>
    </row>
    <row r="1524">
      <c r="B1524" s="2" t="inlineStr">
        <is>
          <t>Debt capacity at the sizing cover (PV of CFADS / cover)</t>
        </is>
      </c>
      <c r="C1524" s="5" t="inlineStr">
        <is>
          <t>$ million</t>
        </is>
      </c>
      <c r="D1524" s="23">
        <f>SUMPRODUCT($D$1519:AJ$1519,$D$1523:AJ$1523)/sb_dscr</f>
        <v/>
      </c>
    </row>
    <row r="1525">
      <c r="B1525" s="2" t="inlineStr">
        <is>
          <t>Senior debt (lower of cover sizing and gearing cap)</t>
        </is>
      </c>
      <c r="C1525" s="5" t="inlineStr">
        <is>
          <t>$ million</t>
        </is>
      </c>
      <c r="D1525" s="23">
        <f>MIN($D$1524,sb_gear*$D$1499)</f>
        <v/>
      </c>
    </row>
    <row r="1526">
      <c r="B1526" s="2" t="inlineStr">
        <is>
          <t>Gearing</t>
        </is>
      </c>
      <c r="C1526" s="5" t="inlineStr">
        <is>
          <t>share</t>
        </is>
      </c>
      <c r="D1526" s="20">
        <f>$D$1525/$D$1499</f>
        <v/>
      </c>
    </row>
    <row r="1527">
      <c r="B1527" s="2" t="inlineStr">
        <is>
          <t>Debt service (sculpted)</t>
        </is>
      </c>
      <c r="C1527" s="5" t="inlineStr">
        <is>
          <t>$ million</t>
        </is>
      </c>
      <c r="D1527" s="23">
        <f>IF(D1523&gt;0,D1519/sb_dscr*$D$1525/$D$1524,0)</f>
        <v/>
      </c>
      <c r="E1527" s="23">
        <f>IF(E1523&gt;0,E1519/sb_dscr*$D$1525/$D$1524,0)</f>
        <v/>
      </c>
      <c r="F1527" s="23">
        <f>IF(F1523&gt;0,F1519/sb_dscr*$D$1525/$D$1524,0)</f>
        <v/>
      </c>
      <c r="G1527" s="23">
        <f>IF(G1523&gt;0,G1519/sb_dscr*$D$1525/$D$1524,0)</f>
        <v/>
      </c>
      <c r="H1527" s="23">
        <f>IF(H1523&gt;0,H1519/sb_dscr*$D$1525/$D$1524,0)</f>
        <v/>
      </c>
      <c r="I1527" s="23">
        <f>IF(I1523&gt;0,I1519/sb_dscr*$D$1525/$D$1524,0)</f>
        <v/>
      </c>
      <c r="J1527" s="23">
        <f>IF(J1523&gt;0,J1519/sb_dscr*$D$1525/$D$1524,0)</f>
        <v/>
      </c>
      <c r="K1527" s="23">
        <f>IF(K1523&gt;0,K1519/sb_dscr*$D$1525/$D$1524,0)</f>
        <v/>
      </c>
      <c r="L1527" s="23">
        <f>IF(L1523&gt;0,L1519/sb_dscr*$D$1525/$D$1524,0)</f>
        <v/>
      </c>
      <c r="M1527" s="23">
        <f>IF(M1523&gt;0,M1519/sb_dscr*$D$1525/$D$1524,0)</f>
        <v/>
      </c>
      <c r="N1527" s="23">
        <f>IF(N1523&gt;0,N1519/sb_dscr*$D$1525/$D$1524,0)</f>
        <v/>
      </c>
      <c r="O1527" s="23">
        <f>IF(O1523&gt;0,O1519/sb_dscr*$D$1525/$D$1524,0)</f>
        <v/>
      </c>
      <c r="P1527" s="23">
        <f>IF(P1523&gt;0,P1519/sb_dscr*$D$1525/$D$1524,0)</f>
        <v/>
      </c>
      <c r="Q1527" s="23">
        <f>IF(Q1523&gt;0,Q1519/sb_dscr*$D$1525/$D$1524,0)</f>
        <v/>
      </c>
      <c r="R1527" s="23">
        <f>IF(R1523&gt;0,R1519/sb_dscr*$D$1525/$D$1524,0)</f>
        <v/>
      </c>
      <c r="S1527" s="23">
        <f>IF(S1523&gt;0,S1519/sb_dscr*$D$1525/$D$1524,0)</f>
        <v/>
      </c>
      <c r="T1527" s="23">
        <f>IF(T1523&gt;0,T1519/sb_dscr*$D$1525/$D$1524,0)</f>
        <v/>
      </c>
      <c r="U1527" s="23">
        <f>IF(U1523&gt;0,U1519/sb_dscr*$D$1525/$D$1524,0)</f>
        <v/>
      </c>
      <c r="V1527" s="23">
        <f>IF(V1523&gt;0,V1519/sb_dscr*$D$1525/$D$1524,0)</f>
        <v/>
      </c>
      <c r="W1527" s="23">
        <f>IF(W1523&gt;0,W1519/sb_dscr*$D$1525/$D$1524,0)</f>
        <v/>
      </c>
      <c r="X1527" s="23">
        <f>IF(X1523&gt;0,X1519/sb_dscr*$D$1525/$D$1524,0)</f>
        <v/>
      </c>
      <c r="Y1527" s="23">
        <f>IF(Y1523&gt;0,Y1519/sb_dscr*$D$1525/$D$1524,0)</f>
        <v/>
      </c>
      <c r="Z1527" s="23">
        <f>IF(Z1523&gt;0,Z1519/sb_dscr*$D$1525/$D$1524,0)</f>
        <v/>
      </c>
      <c r="AA1527" s="23">
        <f>IF(AA1523&gt;0,AA1519/sb_dscr*$D$1525/$D$1524,0)</f>
        <v/>
      </c>
      <c r="AB1527" s="23">
        <f>IF(AB1523&gt;0,AB1519/sb_dscr*$D$1525/$D$1524,0)</f>
        <v/>
      </c>
      <c r="AC1527" s="23">
        <f>IF(AC1523&gt;0,AC1519/sb_dscr*$D$1525/$D$1524,0)</f>
        <v/>
      </c>
      <c r="AD1527" s="23">
        <f>IF(AD1523&gt;0,AD1519/sb_dscr*$D$1525/$D$1524,0)</f>
        <v/>
      </c>
      <c r="AE1527" s="23">
        <f>IF(AE1523&gt;0,AE1519/sb_dscr*$D$1525/$D$1524,0)</f>
        <v/>
      </c>
      <c r="AF1527" s="23">
        <f>IF(AF1523&gt;0,AF1519/sb_dscr*$D$1525/$D$1524,0)</f>
        <v/>
      </c>
      <c r="AG1527" s="23">
        <f>IF(AG1523&gt;0,AG1519/sb_dscr*$D$1525/$D$1524,0)</f>
        <v/>
      </c>
      <c r="AH1527" s="23">
        <f>IF(AH1523&gt;0,AH1519/sb_dscr*$D$1525/$D$1524,0)</f>
        <v/>
      </c>
      <c r="AI1527" s="23">
        <f>IF(AI1523&gt;0,AI1519/sb_dscr*$D$1525/$D$1524,0)</f>
        <v/>
      </c>
      <c r="AJ1527" s="23">
        <f>IF(AJ1523&gt;0,AJ1519/sb_dscr*$D$1525/$D$1524,0)</f>
        <v/>
      </c>
    </row>
    <row r="1528">
      <c r="B1528" s="2" t="inlineStr">
        <is>
          <t>Debt service cover</t>
        </is>
      </c>
      <c r="C1528" s="5" t="inlineStr">
        <is>
          <t>x</t>
        </is>
      </c>
      <c r="D1528" s="30">
        <f>IF(D1527&gt;0,D1519/D1527,"")</f>
        <v/>
      </c>
      <c r="E1528" s="30">
        <f>IF(E1527&gt;0,E1519/E1527,"")</f>
        <v/>
      </c>
      <c r="F1528" s="30">
        <f>IF(F1527&gt;0,F1519/F1527,"")</f>
        <v/>
      </c>
      <c r="G1528" s="30">
        <f>IF(G1527&gt;0,G1519/G1527,"")</f>
        <v/>
      </c>
      <c r="H1528" s="30">
        <f>IF(H1527&gt;0,H1519/H1527,"")</f>
        <v/>
      </c>
      <c r="I1528" s="30">
        <f>IF(I1527&gt;0,I1519/I1527,"")</f>
        <v/>
      </c>
      <c r="J1528" s="30">
        <f>IF(J1527&gt;0,J1519/J1527,"")</f>
        <v/>
      </c>
      <c r="K1528" s="30">
        <f>IF(K1527&gt;0,K1519/K1527,"")</f>
        <v/>
      </c>
      <c r="L1528" s="30">
        <f>IF(L1527&gt;0,L1519/L1527,"")</f>
        <v/>
      </c>
      <c r="M1528" s="30">
        <f>IF(M1527&gt;0,M1519/M1527,"")</f>
        <v/>
      </c>
      <c r="N1528" s="30">
        <f>IF(N1527&gt;0,N1519/N1527,"")</f>
        <v/>
      </c>
      <c r="O1528" s="30">
        <f>IF(O1527&gt;0,O1519/O1527,"")</f>
        <v/>
      </c>
      <c r="P1528" s="30">
        <f>IF(P1527&gt;0,P1519/P1527,"")</f>
        <v/>
      </c>
      <c r="Q1528" s="30">
        <f>IF(Q1527&gt;0,Q1519/Q1527,"")</f>
        <v/>
      </c>
      <c r="R1528" s="30">
        <f>IF(R1527&gt;0,R1519/R1527,"")</f>
        <v/>
      </c>
      <c r="S1528" s="30">
        <f>IF(S1527&gt;0,S1519/S1527,"")</f>
        <v/>
      </c>
      <c r="T1528" s="30">
        <f>IF(T1527&gt;0,T1519/T1527,"")</f>
        <v/>
      </c>
      <c r="U1528" s="30">
        <f>IF(U1527&gt;0,U1519/U1527,"")</f>
        <v/>
      </c>
      <c r="V1528" s="30">
        <f>IF(V1527&gt;0,V1519/V1527,"")</f>
        <v/>
      </c>
      <c r="W1528" s="30">
        <f>IF(W1527&gt;0,W1519/W1527,"")</f>
        <v/>
      </c>
      <c r="X1528" s="30">
        <f>IF(X1527&gt;0,X1519/X1527,"")</f>
        <v/>
      </c>
      <c r="Y1528" s="30">
        <f>IF(Y1527&gt;0,Y1519/Y1527,"")</f>
        <v/>
      </c>
      <c r="Z1528" s="30">
        <f>IF(Z1527&gt;0,Z1519/Z1527,"")</f>
        <v/>
      </c>
      <c r="AA1528" s="30">
        <f>IF(AA1527&gt;0,AA1519/AA1527,"")</f>
        <v/>
      </c>
      <c r="AB1528" s="30">
        <f>IF(AB1527&gt;0,AB1519/AB1527,"")</f>
        <v/>
      </c>
      <c r="AC1528" s="30">
        <f>IF(AC1527&gt;0,AC1519/AC1527,"")</f>
        <v/>
      </c>
      <c r="AD1528" s="30">
        <f>IF(AD1527&gt;0,AD1519/AD1527,"")</f>
        <v/>
      </c>
      <c r="AE1528" s="30">
        <f>IF(AE1527&gt;0,AE1519/AE1527,"")</f>
        <v/>
      </c>
      <c r="AF1528" s="30">
        <f>IF(AF1527&gt;0,AF1519/AF1527,"")</f>
        <v/>
      </c>
      <c r="AG1528" s="30">
        <f>IF(AG1527&gt;0,AG1519/AG1527,"")</f>
        <v/>
      </c>
      <c r="AH1528" s="30">
        <f>IF(AH1527&gt;0,AH1519/AH1527,"")</f>
        <v/>
      </c>
      <c r="AI1528" s="30">
        <f>IF(AI1527&gt;0,AI1519/AI1527,"")</f>
        <v/>
      </c>
      <c r="AJ1528" s="30">
        <f>IF(AJ1527&gt;0,AJ1519/AJ1527,"")</f>
        <v/>
      </c>
    </row>
    <row r="1529">
      <c r="B1529" s="3" t="inlineStr">
        <is>
          <t>Project flows (unlevered, pre-tax)</t>
        </is>
      </c>
      <c r="C1529" s="5" t="inlineStr">
        <is>
          <t>$ million</t>
        </is>
      </c>
      <c r="D1529" s="23">
        <f>D1522+D1519</f>
        <v/>
      </c>
      <c r="E1529" s="23">
        <f>E1522+E1519</f>
        <v/>
      </c>
      <c r="F1529" s="23">
        <f>F1522+F1519</f>
        <v/>
      </c>
      <c r="G1529" s="23">
        <f>G1522+G1519</f>
        <v/>
      </c>
      <c r="H1529" s="23">
        <f>H1522+H1519</f>
        <v/>
      </c>
      <c r="I1529" s="23">
        <f>I1522+I1519</f>
        <v/>
      </c>
      <c r="J1529" s="23">
        <f>J1522+J1519</f>
        <v/>
      </c>
      <c r="K1529" s="23">
        <f>K1522+K1519</f>
        <v/>
      </c>
      <c r="L1529" s="23">
        <f>L1522+L1519</f>
        <v/>
      </c>
      <c r="M1529" s="23">
        <f>M1522+M1519</f>
        <v/>
      </c>
      <c r="N1529" s="23">
        <f>N1522+N1519</f>
        <v/>
      </c>
      <c r="O1529" s="23">
        <f>O1522+O1519</f>
        <v/>
      </c>
      <c r="P1529" s="23">
        <f>P1522+P1519</f>
        <v/>
      </c>
      <c r="Q1529" s="23">
        <f>Q1522+Q1519</f>
        <v/>
      </c>
      <c r="R1529" s="23">
        <f>R1522+R1519</f>
        <v/>
      </c>
      <c r="S1529" s="23">
        <f>S1522+S1519</f>
        <v/>
      </c>
      <c r="T1529" s="23">
        <f>T1522+T1519</f>
        <v/>
      </c>
      <c r="U1529" s="23">
        <f>U1522+U1519</f>
        <v/>
      </c>
      <c r="V1529" s="23">
        <f>V1522+V1519</f>
        <v/>
      </c>
      <c r="W1529" s="23">
        <f>W1522+W1519</f>
        <v/>
      </c>
      <c r="X1529" s="23">
        <f>X1522+X1519</f>
        <v/>
      </c>
      <c r="Y1529" s="23">
        <f>Y1522+Y1519</f>
        <v/>
      </c>
      <c r="Z1529" s="23">
        <f>Z1522+Z1519</f>
        <v/>
      </c>
      <c r="AA1529" s="23">
        <f>AA1522+AA1519</f>
        <v/>
      </c>
      <c r="AB1529" s="23">
        <f>AB1522+AB1519</f>
        <v/>
      </c>
      <c r="AC1529" s="23">
        <f>AC1522+AC1519</f>
        <v/>
      </c>
      <c r="AD1529" s="23">
        <f>AD1522+AD1519</f>
        <v/>
      </c>
      <c r="AE1529" s="23">
        <f>AE1522+AE1519</f>
        <v/>
      </c>
      <c r="AF1529" s="23">
        <f>AF1522+AF1519</f>
        <v/>
      </c>
      <c r="AG1529" s="23">
        <f>AG1522+AG1519</f>
        <v/>
      </c>
      <c r="AH1529" s="23">
        <f>AH1522+AH1519</f>
        <v/>
      </c>
      <c r="AI1529" s="23">
        <f>AI1522+AI1519</f>
        <v/>
      </c>
      <c r="AJ1529" s="23">
        <f>AJ1522+AJ1519</f>
        <v/>
      </c>
    </row>
    <row r="1530">
      <c r="B1530" s="3" t="inlineStr">
        <is>
          <t>Equity flows (pre-tax)</t>
        </is>
      </c>
      <c r="C1530" s="5" t="inlineStr">
        <is>
          <t>$ million</t>
        </is>
      </c>
      <c r="D1530" s="23">
        <f>D1522*(1-$D$1526)+D1519-D1527</f>
        <v/>
      </c>
      <c r="E1530" s="23">
        <f>E1522*(1-$D$1526)+E1519-E1527</f>
        <v/>
      </c>
      <c r="F1530" s="23">
        <f>F1522*(1-$D$1526)+F1519-F1527</f>
        <v/>
      </c>
      <c r="G1530" s="23">
        <f>G1522*(1-$D$1526)+G1519-G1527</f>
        <v/>
      </c>
      <c r="H1530" s="23">
        <f>H1522*(1-$D$1526)+H1519-H1527</f>
        <v/>
      </c>
      <c r="I1530" s="23">
        <f>I1522*(1-$D$1526)+I1519-I1527</f>
        <v/>
      </c>
      <c r="J1530" s="23">
        <f>J1522*(1-$D$1526)+J1519-J1527</f>
        <v/>
      </c>
      <c r="K1530" s="23">
        <f>K1522*(1-$D$1526)+K1519-K1527</f>
        <v/>
      </c>
      <c r="L1530" s="23">
        <f>L1522*(1-$D$1526)+L1519-L1527</f>
        <v/>
      </c>
      <c r="M1530" s="23">
        <f>M1522*(1-$D$1526)+M1519-M1527</f>
        <v/>
      </c>
      <c r="N1530" s="23">
        <f>N1522*(1-$D$1526)+N1519-N1527</f>
        <v/>
      </c>
      <c r="O1530" s="23">
        <f>O1522*(1-$D$1526)+O1519-O1527</f>
        <v/>
      </c>
      <c r="P1530" s="23">
        <f>P1522*(1-$D$1526)+P1519-P1527</f>
        <v/>
      </c>
      <c r="Q1530" s="23">
        <f>Q1522*(1-$D$1526)+Q1519-Q1527</f>
        <v/>
      </c>
      <c r="R1530" s="23">
        <f>R1522*(1-$D$1526)+R1519-R1527</f>
        <v/>
      </c>
      <c r="S1530" s="23">
        <f>S1522*(1-$D$1526)+S1519-S1527</f>
        <v/>
      </c>
      <c r="T1530" s="23">
        <f>T1522*(1-$D$1526)+T1519-T1527</f>
        <v/>
      </c>
      <c r="U1530" s="23">
        <f>U1522*(1-$D$1526)+U1519-U1527</f>
        <v/>
      </c>
      <c r="V1530" s="23">
        <f>V1522*(1-$D$1526)+V1519-V1527</f>
        <v/>
      </c>
      <c r="W1530" s="23">
        <f>W1522*(1-$D$1526)+W1519-W1527</f>
        <v/>
      </c>
      <c r="X1530" s="23">
        <f>X1522*(1-$D$1526)+X1519-X1527</f>
        <v/>
      </c>
      <c r="Y1530" s="23">
        <f>Y1522*(1-$D$1526)+Y1519-Y1527</f>
        <v/>
      </c>
      <c r="Z1530" s="23">
        <f>Z1522*(1-$D$1526)+Z1519-Z1527</f>
        <v/>
      </c>
      <c r="AA1530" s="23">
        <f>AA1522*(1-$D$1526)+AA1519-AA1527</f>
        <v/>
      </c>
      <c r="AB1530" s="23">
        <f>AB1522*(1-$D$1526)+AB1519-AB1527</f>
        <v/>
      </c>
      <c r="AC1530" s="23">
        <f>AC1522*(1-$D$1526)+AC1519-AC1527</f>
        <v/>
      </c>
      <c r="AD1530" s="23">
        <f>AD1522*(1-$D$1526)+AD1519-AD1527</f>
        <v/>
      </c>
      <c r="AE1530" s="23">
        <f>AE1522*(1-$D$1526)+AE1519-AE1527</f>
        <v/>
      </c>
      <c r="AF1530" s="23">
        <f>AF1522*(1-$D$1526)+AF1519-AF1527</f>
        <v/>
      </c>
      <c r="AG1530" s="23">
        <f>AG1522*(1-$D$1526)+AG1519-AG1527</f>
        <v/>
      </c>
      <c r="AH1530" s="23">
        <f>AH1522*(1-$D$1526)+AH1519-AH1527</f>
        <v/>
      </c>
      <c r="AI1530" s="23">
        <f>AI1522*(1-$D$1526)+AI1519-AI1527</f>
        <v/>
      </c>
      <c r="AJ1530" s="23">
        <f>AJ1522*(1-$D$1526)+AJ1519-AJ1527</f>
        <v/>
      </c>
    </row>
    <row r="1531">
      <c r="B1531" s="2" t="inlineStr">
        <is>
          <t>Project IRR</t>
        </is>
      </c>
      <c r="C1531" s="5" t="inlineStr">
        <is>
          <t>rate</t>
        </is>
      </c>
      <c r="D1531" s="27">
        <f>IRR($D$1529:AJ$1529,0.07)</f>
        <v/>
      </c>
    </row>
    <row r="1532">
      <c r="B1532" s="2" t="inlineStr">
        <is>
          <t>Equity IRR</t>
        </is>
      </c>
      <c r="C1532" s="5" t="inlineStr">
        <is>
          <t>rate</t>
        </is>
      </c>
      <c r="D1532" s="27">
        <f>IRR($D$1530:AJ$1530,0.1)</f>
        <v/>
      </c>
    </row>
    <row r="1533">
      <c r="B1533" s="2" t="inlineStr">
        <is>
          <t>Equity invested</t>
        </is>
      </c>
      <c r="C1533" s="5" t="inlineStr">
        <is>
          <t>$ million</t>
        </is>
      </c>
      <c r="D1533" s="23">
        <f>-SUMPRODUCT($D$1522:AJ$1522)*(1-$D$1526)</f>
        <v/>
      </c>
    </row>
    <row r="1536">
      <c r="B1536" s="6" t="inlineStr">
        <is>
          <t>C2: Six-month delay (70 percent covered by delay damages) (Sorrel Bay, pre-tax, at the bid capacity charge)</t>
        </is>
      </c>
      <c r="C1536" s="7" t="n"/>
      <c r="D1536" s="7" t="n"/>
      <c r="E1536" s="7" t="n"/>
      <c r="F1536" s="7" t="n"/>
      <c r="G1536" s="7" t="n"/>
      <c r="H1536" s="7" t="n"/>
      <c r="I1536" s="7" t="n"/>
      <c r="J1536" s="7" t="n"/>
      <c r="K1536" s="7" t="n"/>
      <c r="L1536" s="7" t="n"/>
      <c r="M1536" s="7" t="n"/>
      <c r="N1536" s="7" t="n"/>
      <c r="O1536" s="7" t="n"/>
      <c r="P1536" s="7" t="n"/>
      <c r="Q1536" s="7" t="n"/>
      <c r="R1536" s="7" t="n"/>
      <c r="S1536" s="7" t="n"/>
      <c r="T1536" s="7" t="n"/>
      <c r="U1536" s="7" t="n"/>
      <c r="V1536" s="7" t="n"/>
      <c r="W1536" s="7" t="n"/>
      <c r="X1536" s="7" t="n"/>
      <c r="Y1536" s="7" t="n"/>
      <c r="Z1536" s="7" t="n"/>
      <c r="AA1536" s="7" t="n"/>
      <c r="AB1536" s="7" t="n"/>
      <c r="AC1536" s="7" t="n"/>
      <c r="AD1536" s="7" t="n"/>
      <c r="AE1536" s="7" t="n"/>
      <c r="AF1536" s="7" t="n"/>
      <c r="AG1536" s="7" t="n"/>
      <c r="AH1536" s="7" t="n"/>
      <c r="AI1536" s="7" t="n"/>
      <c r="AJ1536" s="7" t="n"/>
    </row>
    <row r="1537">
      <c r="B1537" s="2" t="inlineStr">
        <is>
          <t>Year (31 December)</t>
        </is>
      </c>
      <c r="D1537" s="26">
        <f>sb_start</f>
        <v/>
      </c>
      <c r="E1537" s="26">
        <f>D1537+1</f>
        <v/>
      </c>
      <c r="F1537" s="26">
        <f>E1537+1</f>
        <v/>
      </c>
      <c r="G1537" s="26">
        <f>F1537+1</f>
        <v/>
      </c>
      <c r="H1537" s="26">
        <f>G1537+1</f>
        <v/>
      </c>
      <c r="I1537" s="26">
        <f>H1537+1</f>
        <v/>
      </c>
      <c r="J1537" s="26">
        <f>I1537+1</f>
        <v/>
      </c>
      <c r="K1537" s="26">
        <f>J1537+1</f>
        <v/>
      </c>
      <c r="L1537" s="26">
        <f>K1537+1</f>
        <v/>
      </c>
      <c r="M1537" s="26">
        <f>L1537+1</f>
        <v/>
      </c>
      <c r="N1537" s="26">
        <f>M1537+1</f>
        <v/>
      </c>
      <c r="O1537" s="26">
        <f>N1537+1</f>
        <v/>
      </c>
      <c r="P1537" s="26">
        <f>O1537+1</f>
        <v/>
      </c>
      <c r="Q1537" s="26">
        <f>P1537+1</f>
        <v/>
      </c>
      <c r="R1537" s="26">
        <f>Q1537+1</f>
        <v/>
      </c>
      <c r="S1537" s="26">
        <f>R1537+1</f>
        <v/>
      </c>
      <c r="T1537" s="26">
        <f>S1537+1</f>
        <v/>
      </c>
      <c r="U1537" s="26">
        <f>T1537+1</f>
        <v/>
      </c>
      <c r="V1537" s="26">
        <f>U1537+1</f>
        <v/>
      </c>
      <c r="W1537" s="26">
        <f>V1537+1</f>
        <v/>
      </c>
      <c r="X1537" s="26">
        <f>W1537+1</f>
        <v/>
      </c>
      <c r="Y1537" s="26">
        <f>X1537+1</f>
        <v/>
      </c>
      <c r="Z1537" s="26">
        <f>Y1537+1</f>
        <v/>
      </c>
      <c r="AA1537" s="26">
        <f>Z1537+1</f>
        <v/>
      </c>
      <c r="AB1537" s="26">
        <f>AA1537+1</f>
        <v/>
      </c>
      <c r="AC1537" s="26">
        <f>AB1537+1</f>
        <v/>
      </c>
      <c r="AD1537" s="26">
        <f>AC1537+1</f>
        <v/>
      </c>
      <c r="AE1537" s="26">
        <f>AD1537+1</f>
        <v/>
      </c>
      <c r="AF1537" s="26">
        <f>AE1537+1</f>
        <v/>
      </c>
      <c r="AG1537" s="26">
        <f>AF1537+1</f>
        <v/>
      </c>
      <c r="AH1537" s="26">
        <f>AG1537+1</f>
        <v/>
      </c>
      <c r="AI1537" s="26">
        <f>AH1537+1</f>
        <v/>
      </c>
      <c r="AJ1537" s="26">
        <f>AI1537+1</f>
        <v/>
      </c>
    </row>
    <row r="1538">
      <c r="B1538" s="2" t="inlineStr">
        <is>
          <t>Operating year (1 = yes)</t>
        </is>
      </c>
      <c r="D1538" s="26">
        <f>IF(AND(D1537&gt;=sb_cod,D1537&lt;sb_cod+sb_term),1,0)</f>
        <v/>
      </c>
      <c r="E1538" s="26">
        <f>IF(AND(E1537&gt;=sb_cod,E1537&lt;sb_cod+sb_term),1,0)</f>
        <v/>
      </c>
      <c r="F1538" s="26">
        <f>IF(AND(F1537&gt;=sb_cod,F1537&lt;sb_cod+sb_term),1,0)</f>
        <v/>
      </c>
      <c r="G1538" s="26">
        <f>IF(AND(G1537&gt;=sb_cod,G1537&lt;sb_cod+sb_term),1,0)</f>
        <v/>
      </c>
      <c r="H1538" s="26">
        <f>IF(AND(H1537&gt;=sb_cod,H1537&lt;sb_cod+sb_term),1,0)</f>
        <v/>
      </c>
      <c r="I1538" s="26">
        <f>IF(AND(I1537&gt;=sb_cod,I1537&lt;sb_cod+sb_term),1,0)</f>
        <v/>
      </c>
      <c r="J1538" s="26">
        <f>IF(AND(J1537&gt;=sb_cod,J1537&lt;sb_cod+sb_term),1,0)</f>
        <v/>
      </c>
      <c r="K1538" s="26">
        <f>IF(AND(K1537&gt;=sb_cod,K1537&lt;sb_cod+sb_term),1,0)</f>
        <v/>
      </c>
      <c r="L1538" s="26">
        <f>IF(AND(L1537&gt;=sb_cod,L1537&lt;sb_cod+sb_term),1,0)</f>
        <v/>
      </c>
      <c r="M1538" s="26">
        <f>IF(AND(M1537&gt;=sb_cod,M1537&lt;sb_cod+sb_term),1,0)</f>
        <v/>
      </c>
      <c r="N1538" s="26">
        <f>IF(AND(N1537&gt;=sb_cod,N1537&lt;sb_cod+sb_term),1,0)</f>
        <v/>
      </c>
      <c r="O1538" s="26">
        <f>IF(AND(O1537&gt;=sb_cod,O1537&lt;sb_cod+sb_term),1,0)</f>
        <v/>
      </c>
      <c r="P1538" s="26">
        <f>IF(AND(P1537&gt;=sb_cod,P1537&lt;sb_cod+sb_term),1,0)</f>
        <v/>
      </c>
      <c r="Q1538" s="26">
        <f>IF(AND(Q1537&gt;=sb_cod,Q1537&lt;sb_cod+sb_term),1,0)</f>
        <v/>
      </c>
      <c r="R1538" s="26">
        <f>IF(AND(R1537&gt;=sb_cod,R1537&lt;sb_cod+sb_term),1,0)</f>
        <v/>
      </c>
      <c r="S1538" s="26">
        <f>IF(AND(S1537&gt;=sb_cod,S1537&lt;sb_cod+sb_term),1,0)</f>
        <v/>
      </c>
      <c r="T1538" s="26">
        <f>IF(AND(T1537&gt;=sb_cod,T1537&lt;sb_cod+sb_term),1,0)</f>
        <v/>
      </c>
      <c r="U1538" s="26">
        <f>IF(AND(U1537&gt;=sb_cod,U1537&lt;sb_cod+sb_term),1,0)</f>
        <v/>
      </c>
      <c r="V1538" s="26">
        <f>IF(AND(V1537&gt;=sb_cod,V1537&lt;sb_cod+sb_term),1,0)</f>
        <v/>
      </c>
      <c r="W1538" s="26">
        <f>IF(AND(W1537&gt;=sb_cod,W1537&lt;sb_cod+sb_term),1,0)</f>
        <v/>
      </c>
      <c r="X1538" s="26">
        <f>IF(AND(X1537&gt;=sb_cod,X1537&lt;sb_cod+sb_term),1,0)</f>
        <v/>
      </c>
      <c r="Y1538" s="26">
        <f>IF(AND(Y1537&gt;=sb_cod,Y1537&lt;sb_cod+sb_term),1,0)</f>
        <v/>
      </c>
      <c r="Z1538" s="26">
        <f>IF(AND(Z1537&gt;=sb_cod,Z1537&lt;sb_cod+sb_term),1,0)</f>
        <v/>
      </c>
      <c r="AA1538" s="26">
        <f>IF(AND(AA1537&gt;=sb_cod,AA1537&lt;sb_cod+sb_term),1,0)</f>
        <v/>
      </c>
      <c r="AB1538" s="26">
        <f>IF(AND(AB1537&gt;=sb_cod,AB1537&lt;sb_cod+sb_term),1,0)</f>
        <v/>
      </c>
      <c r="AC1538" s="26">
        <f>IF(AND(AC1537&gt;=sb_cod,AC1537&lt;sb_cod+sb_term),1,0)</f>
        <v/>
      </c>
      <c r="AD1538" s="26">
        <f>IF(AND(AD1537&gt;=sb_cod,AD1537&lt;sb_cod+sb_term),1,0)</f>
        <v/>
      </c>
      <c r="AE1538" s="26">
        <f>IF(AND(AE1537&gt;=sb_cod,AE1537&lt;sb_cod+sb_term),1,0)</f>
        <v/>
      </c>
      <c r="AF1538" s="26">
        <f>IF(AND(AF1537&gt;=sb_cod,AF1537&lt;sb_cod+sb_term),1,0)</f>
        <v/>
      </c>
      <c r="AG1538" s="26">
        <f>IF(AND(AG1537&gt;=sb_cod,AG1537&lt;sb_cod+sb_term),1,0)</f>
        <v/>
      </c>
      <c r="AH1538" s="26">
        <f>IF(AND(AH1537&gt;=sb_cod,AH1537&lt;sb_cod+sb_term),1,0)</f>
        <v/>
      </c>
      <c r="AI1538" s="26">
        <f>IF(AND(AI1537&gt;=sb_cod,AI1537&lt;sb_cod+sb_term),1,0)</f>
        <v/>
      </c>
      <c r="AJ1538" s="26">
        <f>IF(AND(AJ1537&gt;=sb_cod,AJ1537&lt;sb_cod+sb_term),1,0)</f>
        <v/>
      </c>
    </row>
    <row r="1539">
      <c r="B1539" s="2" t="inlineStr">
        <is>
          <t>Years since operation began</t>
        </is>
      </c>
      <c r="D1539" s="26">
        <f>D1537-sb_cod</f>
        <v/>
      </c>
      <c r="E1539" s="26">
        <f>E1537-sb_cod</f>
        <v/>
      </c>
      <c r="F1539" s="26">
        <f>F1537-sb_cod</f>
        <v/>
      </c>
      <c r="G1539" s="26">
        <f>G1537-sb_cod</f>
        <v/>
      </c>
      <c r="H1539" s="26">
        <f>H1537-sb_cod</f>
        <v/>
      </c>
      <c r="I1539" s="26">
        <f>I1537-sb_cod</f>
        <v/>
      </c>
      <c r="J1539" s="26">
        <f>J1537-sb_cod</f>
        <v/>
      </c>
      <c r="K1539" s="26">
        <f>K1537-sb_cod</f>
        <v/>
      </c>
      <c r="L1539" s="26">
        <f>L1537-sb_cod</f>
        <v/>
      </c>
      <c r="M1539" s="26">
        <f>M1537-sb_cod</f>
        <v/>
      </c>
      <c r="N1539" s="26">
        <f>N1537-sb_cod</f>
        <v/>
      </c>
      <c r="O1539" s="26">
        <f>O1537-sb_cod</f>
        <v/>
      </c>
      <c r="P1539" s="26">
        <f>P1537-sb_cod</f>
        <v/>
      </c>
      <c r="Q1539" s="26">
        <f>Q1537-sb_cod</f>
        <v/>
      </c>
      <c r="R1539" s="26">
        <f>R1537-sb_cod</f>
        <v/>
      </c>
      <c r="S1539" s="26">
        <f>S1537-sb_cod</f>
        <v/>
      </c>
      <c r="T1539" s="26">
        <f>T1537-sb_cod</f>
        <v/>
      </c>
      <c r="U1539" s="26">
        <f>U1537-sb_cod</f>
        <v/>
      </c>
      <c r="V1539" s="26">
        <f>V1537-sb_cod</f>
        <v/>
      </c>
      <c r="W1539" s="26">
        <f>W1537-sb_cod</f>
        <v/>
      </c>
      <c r="X1539" s="26">
        <f>X1537-sb_cod</f>
        <v/>
      </c>
      <c r="Y1539" s="26">
        <f>Y1537-sb_cod</f>
        <v/>
      </c>
      <c r="Z1539" s="26">
        <f>Z1537-sb_cod</f>
        <v/>
      </c>
      <c r="AA1539" s="26">
        <f>AA1537-sb_cod</f>
        <v/>
      </c>
      <c r="AB1539" s="26">
        <f>AB1537-sb_cod</f>
        <v/>
      </c>
      <c r="AC1539" s="26">
        <f>AC1537-sb_cod</f>
        <v/>
      </c>
      <c r="AD1539" s="26">
        <f>AD1537-sb_cod</f>
        <v/>
      </c>
      <c r="AE1539" s="26">
        <f>AE1537-sb_cod</f>
        <v/>
      </c>
      <c r="AF1539" s="26">
        <f>AF1537-sb_cod</f>
        <v/>
      </c>
      <c r="AG1539" s="26">
        <f>AG1537-sb_cod</f>
        <v/>
      </c>
      <c r="AH1539" s="26">
        <f>AH1537-sb_cod</f>
        <v/>
      </c>
      <c r="AI1539" s="26">
        <f>AI1537-sb_cod</f>
        <v/>
      </c>
      <c r="AJ1539" s="26">
        <f>AJ1537-sb_cod</f>
        <v/>
      </c>
    </row>
    <row r="1540">
      <c r="B1540" s="2" t="inlineStr">
        <is>
          <t>Indexation factor</t>
        </is>
      </c>
      <c r="D1540" s="28">
        <f>(1+sb_cpi)^D1539</f>
        <v/>
      </c>
      <c r="E1540" s="28">
        <f>(1+sb_cpi)^E1539</f>
        <v/>
      </c>
      <c r="F1540" s="28">
        <f>(1+sb_cpi)^F1539</f>
        <v/>
      </c>
      <c r="G1540" s="28">
        <f>(1+sb_cpi)^G1539</f>
        <v/>
      </c>
      <c r="H1540" s="28">
        <f>(1+sb_cpi)^H1539</f>
        <v/>
      </c>
      <c r="I1540" s="28">
        <f>(1+sb_cpi)^I1539</f>
        <v/>
      </c>
      <c r="J1540" s="28">
        <f>(1+sb_cpi)^J1539</f>
        <v/>
      </c>
      <c r="K1540" s="28">
        <f>(1+sb_cpi)^K1539</f>
        <v/>
      </c>
      <c r="L1540" s="28">
        <f>(1+sb_cpi)^L1539</f>
        <v/>
      </c>
      <c r="M1540" s="28">
        <f>(1+sb_cpi)^M1539</f>
        <v/>
      </c>
      <c r="N1540" s="28">
        <f>(1+sb_cpi)^N1539</f>
        <v/>
      </c>
      <c r="O1540" s="28">
        <f>(1+sb_cpi)^O1539</f>
        <v/>
      </c>
      <c r="P1540" s="28">
        <f>(1+sb_cpi)^P1539</f>
        <v/>
      </c>
      <c r="Q1540" s="28">
        <f>(1+sb_cpi)^Q1539</f>
        <v/>
      </c>
      <c r="R1540" s="28">
        <f>(1+sb_cpi)^R1539</f>
        <v/>
      </c>
      <c r="S1540" s="28">
        <f>(1+sb_cpi)^S1539</f>
        <v/>
      </c>
      <c r="T1540" s="28">
        <f>(1+sb_cpi)^T1539</f>
        <v/>
      </c>
      <c r="U1540" s="28">
        <f>(1+sb_cpi)^U1539</f>
        <v/>
      </c>
      <c r="V1540" s="28">
        <f>(1+sb_cpi)^V1539</f>
        <v/>
      </c>
      <c r="W1540" s="28">
        <f>(1+sb_cpi)^W1539</f>
        <v/>
      </c>
      <c r="X1540" s="28">
        <f>(1+sb_cpi)^X1539</f>
        <v/>
      </c>
      <c r="Y1540" s="28">
        <f>(1+sb_cpi)^Y1539</f>
        <v/>
      </c>
      <c r="Z1540" s="28">
        <f>(1+sb_cpi)^Z1539</f>
        <v/>
      </c>
      <c r="AA1540" s="28">
        <f>(1+sb_cpi)^AA1539</f>
        <v/>
      </c>
      <c r="AB1540" s="28">
        <f>(1+sb_cpi)^AB1539</f>
        <v/>
      </c>
      <c r="AC1540" s="28">
        <f>(1+sb_cpi)^AC1539</f>
        <v/>
      </c>
      <c r="AD1540" s="28">
        <f>(1+sb_cpi)^AD1539</f>
        <v/>
      </c>
      <c r="AE1540" s="28">
        <f>(1+sb_cpi)^AE1539</f>
        <v/>
      </c>
      <c r="AF1540" s="28">
        <f>(1+sb_cpi)^AF1539</f>
        <v/>
      </c>
      <c r="AG1540" s="28">
        <f>(1+sb_cpi)^AG1539</f>
        <v/>
      </c>
      <c r="AH1540" s="28">
        <f>(1+sb_cpi)^AH1539</f>
        <v/>
      </c>
      <c r="AI1540" s="28">
        <f>(1+sb_cpi)^AI1539</f>
        <v/>
      </c>
      <c r="AJ1540" s="28">
        <f>(1+sb_cpi)^AJ1539</f>
        <v/>
      </c>
    </row>
    <row r="1542">
      <c r="B1542" s="6" t="inlineStr">
        <is>
          <t>Plant scalars</t>
        </is>
      </c>
      <c r="C1542" s="7" t="n"/>
      <c r="D1542" s="7" t="n"/>
      <c r="E1542" s="7" t="n"/>
      <c r="F1542" s="7" t="n"/>
      <c r="G1542" s="7" t="n"/>
      <c r="H1542" s="7" t="n"/>
      <c r="I1542" s="7" t="n"/>
      <c r="J1542" s="7" t="n"/>
      <c r="K1542" s="7" t="n"/>
      <c r="L1542" s="7" t="n"/>
      <c r="M1542" s="7" t="n"/>
      <c r="N1542" s="7" t="n"/>
      <c r="O1542" s="7" t="n"/>
      <c r="P1542" s="7" t="n"/>
      <c r="Q1542" s="7" t="n"/>
      <c r="R1542" s="7" t="n"/>
      <c r="S1542" s="7" t="n"/>
      <c r="T1542" s="7" t="n"/>
      <c r="U1542" s="7" t="n"/>
      <c r="V1542" s="7" t="n"/>
      <c r="W1542" s="7" t="n"/>
      <c r="X1542" s="7" t="n"/>
      <c r="Y1542" s="7" t="n"/>
      <c r="Z1542" s="7" t="n"/>
      <c r="AA1542" s="7" t="n"/>
      <c r="AB1542" s="7" t="n"/>
      <c r="AC1542" s="7" t="n"/>
      <c r="AD1542" s="7" t="n"/>
      <c r="AE1542" s="7" t="n"/>
      <c r="AF1542" s="7" t="n"/>
      <c r="AG1542" s="7" t="n"/>
      <c r="AH1542" s="7" t="n"/>
      <c r="AI1542" s="7" t="n"/>
      <c r="AJ1542" s="7" t="n"/>
    </row>
    <row r="1543">
      <c r="B1543" s="2" t="inlineStr">
        <is>
          <t>Payment factor at expected availability</t>
        </is>
      </c>
      <c r="D1543" s="28">
        <f>IF(sb_avail&gt;=sb_guar,MIN(1,sb_avail/sb_guar),sb_avail/sb_guar-(sb_guar-sb_avail)/sb_guar)</f>
        <v/>
      </c>
    </row>
    <row r="1544">
      <c r="B1544" s="2" t="inlineStr">
        <is>
          <t>Paid capacity a year (m3)</t>
        </is>
      </c>
      <c r="C1544" s="5" t="inlineStr">
        <is>
          <t>m3</t>
        </is>
      </c>
      <c r="D1544" s="19">
        <f>sb_cap*365*sb_guar*$D$1543</f>
        <v/>
      </c>
    </row>
    <row r="1545">
      <c r="B1545" s="2" t="inlineStr">
        <is>
          <t>Water delivered a year (m3)</t>
        </is>
      </c>
      <c r="C1545" s="5" t="inlineStr">
        <is>
          <t>m3</t>
        </is>
      </c>
      <c r="D1545" s="19">
        <f>sb_cap*365*sb_avail*sb_dispatch</f>
        <v/>
      </c>
    </row>
    <row r="1546">
      <c r="B1546" s="2" t="inlineStr">
        <is>
          <t>Fixed O&amp;M charge, 2030 ($ per m3 of available capacity)</t>
        </is>
      </c>
      <c r="C1546" s="5" t="inlineStr">
        <is>
          <t>$ per m3</t>
        </is>
      </c>
      <c r="D1546" s="38">
        <f>sb_fom*1000000/(sb_cap*365*sb_guar)</f>
        <v/>
      </c>
    </row>
    <row r="1547">
      <c r="B1547" s="2" t="inlineStr">
        <is>
          <t>Capital cost</t>
        </is>
      </c>
      <c r="C1547" s="5" t="inlineStr">
        <is>
          <t>$ million</t>
        </is>
      </c>
      <c r="D1547" s="23">
        <f>(sb_cx_plant+sb_cx_marine+sb_cx_conv+sb_cx_grid+sb_cx_dev+sb_cx_fin)*(1+sb_capex_shift)</f>
        <v/>
      </c>
    </row>
    <row r="1548">
      <c r="B1548" s="2" t="inlineStr">
        <is>
          <t>Capacity charge used</t>
        </is>
      </c>
      <c r="C1548" s="5" t="inlineStr">
        <is>
          <t>$ per m3</t>
        </is>
      </c>
      <c r="D1548" s="38">
        <f>'SB_Finance'!$C$6</f>
        <v/>
      </c>
    </row>
    <row r="1550">
      <c r="B1550" s="6" t="inlineStr">
        <is>
          <t>Operations</t>
        </is>
      </c>
      <c r="C1550" s="7" t="n"/>
      <c r="D1550" s="7" t="n"/>
      <c r="E1550" s="7" t="n"/>
      <c r="F1550" s="7" t="n"/>
      <c r="G1550" s="7" t="n"/>
      <c r="H1550" s="7" t="n"/>
      <c r="I1550" s="7" t="n"/>
      <c r="J1550" s="7" t="n"/>
      <c r="K1550" s="7" t="n"/>
      <c r="L1550" s="7" t="n"/>
      <c r="M1550" s="7" t="n"/>
      <c r="N1550" s="7" t="n"/>
      <c r="O1550" s="7" t="n"/>
      <c r="P1550" s="7" t="n"/>
      <c r="Q1550" s="7" t="n"/>
      <c r="R1550" s="7" t="n"/>
      <c r="S1550" s="7" t="n"/>
      <c r="T1550" s="7" t="n"/>
      <c r="U1550" s="7" t="n"/>
      <c r="V1550" s="7" t="n"/>
      <c r="W1550" s="7" t="n"/>
      <c r="X1550" s="7" t="n"/>
      <c r="Y1550" s="7" t="n"/>
      <c r="Z1550" s="7" t="n"/>
      <c r="AA1550" s="7" t="n"/>
      <c r="AB1550" s="7" t="n"/>
      <c r="AC1550" s="7" t="n"/>
      <c r="AD1550" s="7" t="n"/>
      <c r="AE1550" s="7" t="n"/>
      <c r="AF1550" s="7" t="n"/>
      <c r="AG1550" s="7" t="n"/>
      <c r="AH1550" s="7" t="n"/>
      <c r="AI1550" s="7" t="n"/>
      <c r="AJ1550" s="7" t="n"/>
    </row>
    <row r="1551">
      <c r="B1551" s="2" t="inlineStr">
        <is>
          <t>Paid capacity (m3)</t>
        </is>
      </c>
      <c r="C1551" s="5" t="inlineStr">
        <is>
          <t>m3</t>
        </is>
      </c>
      <c r="D1551" s="19">
        <f>D1538*$D$1544</f>
        <v/>
      </c>
      <c r="E1551" s="19">
        <f>E1538*$D$1544</f>
        <v/>
      </c>
      <c r="F1551" s="19">
        <f>F1538*$D$1544</f>
        <v/>
      </c>
      <c r="G1551" s="19">
        <f>G1538*$D$1544</f>
        <v/>
      </c>
      <c r="H1551" s="19">
        <f>H1538*$D$1544</f>
        <v/>
      </c>
      <c r="I1551" s="19">
        <f>I1538*$D$1544</f>
        <v/>
      </c>
      <c r="J1551" s="19">
        <f>J1538*$D$1544</f>
        <v/>
      </c>
      <c r="K1551" s="19">
        <f>K1538*$D$1544</f>
        <v/>
      </c>
      <c r="L1551" s="19">
        <f>L1538*$D$1544</f>
        <v/>
      </c>
      <c r="M1551" s="19">
        <f>M1538*$D$1544</f>
        <v/>
      </c>
      <c r="N1551" s="19">
        <f>N1538*$D$1544</f>
        <v/>
      </c>
      <c r="O1551" s="19">
        <f>O1538*$D$1544</f>
        <v/>
      </c>
      <c r="P1551" s="19">
        <f>P1538*$D$1544</f>
        <v/>
      </c>
      <c r="Q1551" s="19">
        <f>Q1538*$D$1544</f>
        <v/>
      </c>
      <c r="R1551" s="19">
        <f>R1538*$D$1544</f>
        <v/>
      </c>
      <c r="S1551" s="19">
        <f>S1538*$D$1544</f>
        <v/>
      </c>
      <c r="T1551" s="19">
        <f>T1538*$D$1544</f>
        <v/>
      </c>
      <c r="U1551" s="19">
        <f>U1538*$D$1544</f>
        <v/>
      </c>
      <c r="V1551" s="19">
        <f>V1538*$D$1544</f>
        <v/>
      </c>
      <c r="W1551" s="19">
        <f>W1538*$D$1544</f>
        <v/>
      </c>
      <c r="X1551" s="19">
        <f>X1538*$D$1544</f>
        <v/>
      </c>
      <c r="Y1551" s="19">
        <f>Y1538*$D$1544</f>
        <v/>
      </c>
      <c r="Z1551" s="19">
        <f>Z1538*$D$1544</f>
        <v/>
      </c>
      <c r="AA1551" s="19">
        <f>AA1538*$D$1544</f>
        <v/>
      </c>
      <c r="AB1551" s="19">
        <f>AB1538*$D$1544</f>
        <v/>
      </c>
      <c r="AC1551" s="19">
        <f>AC1538*$D$1544</f>
        <v/>
      </c>
      <c r="AD1551" s="19">
        <f>AD1538*$D$1544</f>
        <v/>
      </c>
      <c r="AE1551" s="19">
        <f>AE1538*$D$1544</f>
        <v/>
      </c>
      <c r="AF1551" s="19">
        <f>AF1538*$D$1544</f>
        <v/>
      </c>
      <c r="AG1551" s="19">
        <f>AG1538*$D$1544</f>
        <v/>
      </c>
      <c r="AH1551" s="19">
        <f>AH1538*$D$1544</f>
        <v/>
      </c>
      <c r="AI1551" s="19">
        <f>AI1538*$D$1544</f>
        <v/>
      </c>
      <c r="AJ1551" s="19">
        <f>AJ1538*$D$1544</f>
        <v/>
      </c>
    </row>
    <row r="1552">
      <c r="B1552" s="2" t="inlineStr">
        <is>
          <t>Water delivered (m3)</t>
        </is>
      </c>
      <c r="C1552" s="5" t="inlineStr">
        <is>
          <t>m3</t>
        </is>
      </c>
      <c r="D1552" s="19">
        <f>D1538*$D$1545</f>
        <v/>
      </c>
      <c r="E1552" s="19">
        <f>E1538*$D$1545</f>
        <v/>
      </c>
      <c r="F1552" s="19">
        <f>F1538*$D$1545</f>
        <v/>
      </c>
      <c r="G1552" s="19">
        <f>G1538*$D$1545</f>
        <v/>
      </c>
      <c r="H1552" s="19">
        <f>H1538*$D$1545</f>
        <v/>
      </c>
      <c r="I1552" s="19">
        <f>I1538*$D$1545</f>
        <v/>
      </c>
      <c r="J1552" s="19">
        <f>J1538*$D$1545</f>
        <v/>
      </c>
      <c r="K1552" s="19">
        <f>K1538*$D$1545</f>
        <v/>
      </c>
      <c r="L1552" s="19">
        <f>L1538*$D$1545</f>
        <v/>
      </c>
      <c r="M1552" s="19">
        <f>M1538*$D$1545</f>
        <v/>
      </c>
      <c r="N1552" s="19">
        <f>N1538*$D$1545</f>
        <v/>
      </c>
      <c r="O1552" s="19">
        <f>O1538*$D$1545</f>
        <v/>
      </c>
      <c r="P1552" s="19">
        <f>P1538*$D$1545</f>
        <v/>
      </c>
      <c r="Q1552" s="19">
        <f>Q1538*$D$1545</f>
        <v/>
      </c>
      <c r="R1552" s="19">
        <f>R1538*$D$1545</f>
        <v/>
      </c>
      <c r="S1552" s="19">
        <f>S1538*$D$1545</f>
        <v/>
      </c>
      <c r="T1552" s="19">
        <f>T1538*$D$1545</f>
        <v/>
      </c>
      <c r="U1552" s="19">
        <f>U1538*$D$1545</f>
        <v/>
      </c>
      <c r="V1552" s="19">
        <f>V1538*$D$1545</f>
        <v/>
      </c>
      <c r="W1552" s="19">
        <f>W1538*$D$1545</f>
        <v/>
      </c>
      <c r="X1552" s="19">
        <f>X1538*$D$1545</f>
        <v/>
      </c>
      <c r="Y1552" s="19">
        <f>Y1538*$D$1545</f>
        <v/>
      </c>
      <c r="Z1552" s="19">
        <f>Z1538*$D$1545</f>
        <v/>
      </c>
      <c r="AA1552" s="19">
        <f>AA1538*$D$1545</f>
        <v/>
      </c>
      <c r="AB1552" s="19">
        <f>AB1538*$D$1545</f>
        <v/>
      </c>
      <c r="AC1552" s="19">
        <f>AC1538*$D$1545</f>
        <v/>
      </c>
      <c r="AD1552" s="19">
        <f>AD1538*$D$1545</f>
        <v/>
      </c>
      <c r="AE1552" s="19">
        <f>AE1538*$D$1545</f>
        <v/>
      </c>
      <c r="AF1552" s="19">
        <f>AF1538*$D$1545</f>
        <v/>
      </c>
      <c r="AG1552" s="19">
        <f>AG1538*$D$1545</f>
        <v/>
      </c>
      <c r="AH1552" s="19">
        <f>AH1538*$D$1545</f>
        <v/>
      </c>
      <c r="AI1552" s="19">
        <f>AI1538*$D$1545</f>
        <v/>
      </c>
      <c r="AJ1552" s="19">
        <f>AJ1538*$D$1545</f>
        <v/>
      </c>
    </row>
    <row r="1553">
      <c r="B1553" s="2" t="inlineStr">
        <is>
          <t>Power price paid</t>
        </is>
      </c>
      <c r="C1553" s="5" t="inlineStr">
        <is>
          <t>$ per MWh</t>
        </is>
      </c>
      <c r="D1553" s="22">
        <f>D1538*(sb_power*(1+sb_power_esc)^D1539+sb_power_shift)</f>
        <v/>
      </c>
      <c r="E1553" s="22">
        <f>E1538*(sb_power*(1+sb_power_esc)^E1539+sb_power_shift)</f>
        <v/>
      </c>
      <c r="F1553" s="22">
        <f>F1538*(sb_power*(1+sb_power_esc)^F1539+sb_power_shift)</f>
        <v/>
      </c>
      <c r="G1553" s="22">
        <f>G1538*(sb_power*(1+sb_power_esc)^G1539+sb_power_shift)</f>
        <v/>
      </c>
      <c r="H1553" s="22">
        <f>H1538*(sb_power*(1+sb_power_esc)^H1539+sb_power_shift)</f>
        <v/>
      </c>
      <c r="I1553" s="22">
        <f>I1538*(sb_power*(1+sb_power_esc)^I1539+sb_power_shift)</f>
        <v/>
      </c>
      <c r="J1553" s="22">
        <f>J1538*(sb_power*(1+sb_power_esc)^J1539+sb_power_shift)</f>
        <v/>
      </c>
      <c r="K1553" s="22">
        <f>K1538*(sb_power*(1+sb_power_esc)^K1539+sb_power_shift)</f>
        <v/>
      </c>
      <c r="L1553" s="22">
        <f>L1538*(sb_power*(1+sb_power_esc)^L1539+sb_power_shift)</f>
        <v/>
      </c>
      <c r="M1553" s="22">
        <f>M1538*(sb_power*(1+sb_power_esc)^M1539+sb_power_shift)</f>
        <v/>
      </c>
      <c r="N1553" s="22">
        <f>N1538*(sb_power*(1+sb_power_esc)^N1539+sb_power_shift)</f>
        <v/>
      </c>
      <c r="O1553" s="22">
        <f>O1538*(sb_power*(1+sb_power_esc)^O1539+sb_power_shift)</f>
        <v/>
      </c>
      <c r="P1553" s="22">
        <f>P1538*(sb_power*(1+sb_power_esc)^P1539+sb_power_shift)</f>
        <v/>
      </c>
      <c r="Q1553" s="22">
        <f>Q1538*(sb_power*(1+sb_power_esc)^Q1539+sb_power_shift)</f>
        <v/>
      </c>
      <c r="R1553" s="22">
        <f>R1538*(sb_power*(1+sb_power_esc)^R1539+sb_power_shift)</f>
        <v/>
      </c>
      <c r="S1553" s="22">
        <f>S1538*(sb_power*(1+sb_power_esc)^S1539+sb_power_shift)</f>
        <v/>
      </c>
      <c r="T1553" s="22">
        <f>T1538*(sb_power*(1+sb_power_esc)^T1539+sb_power_shift)</f>
        <v/>
      </c>
      <c r="U1553" s="22">
        <f>U1538*(sb_power*(1+sb_power_esc)^U1539+sb_power_shift)</f>
        <v/>
      </c>
      <c r="V1553" s="22">
        <f>V1538*(sb_power*(1+sb_power_esc)^V1539+sb_power_shift)</f>
        <v/>
      </c>
      <c r="W1553" s="22">
        <f>W1538*(sb_power*(1+sb_power_esc)^W1539+sb_power_shift)</f>
        <v/>
      </c>
      <c r="X1553" s="22">
        <f>X1538*(sb_power*(1+sb_power_esc)^X1539+sb_power_shift)</f>
        <v/>
      </c>
      <c r="Y1553" s="22">
        <f>Y1538*(sb_power*(1+sb_power_esc)^Y1539+sb_power_shift)</f>
        <v/>
      </c>
      <c r="Z1553" s="22">
        <f>Z1538*(sb_power*(1+sb_power_esc)^Z1539+sb_power_shift)</f>
        <v/>
      </c>
      <c r="AA1553" s="22">
        <f>AA1538*(sb_power*(1+sb_power_esc)^AA1539+sb_power_shift)</f>
        <v/>
      </c>
      <c r="AB1553" s="22">
        <f>AB1538*(sb_power*(1+sb_power_esc)^AB1539+sb_power_shift)</f>
        <v/>
      </c>
      <c r="AC1553" s="22">
        <f>AC1538*(sb_power*(1+sb_power_esc)^AC1539+sb_power_shift)</f>
        <v/>
      </c>
      <c r="AD1553" s="22">
        <f>AD1538*(sb_power*(1+sb_power_esc)^AD1539+sb_power_shift)</f>
        <v/>
      </c>
      <c r="AE1553" s="22">
        <f>AE1538*(sb_power*(1+sb_power_esc)^AE1539+sb_power_shift)</f>
        <v/>
      </c>
      <c r="AF1553" s="22">
        <f>AF1538*(sb_power*(1+sb_power_esc)^AF1539+sb_power_shift)</f>
        <v/>
      </c>
      <c r="AG1553" s="22">
        <f>AG1538*(sb_power*(1+sb_power_esc)^AG1539+sb_power_shift)</f>
        <v/>
      </c>
      <c r="AH1553" s="22">
        <f>AH1538*(sb_power*(1+sb_power_esc)^AH1539+sb_power_shift)</f>
        <v/>
      </c>
      <c r="AI1553" s="22">
        <f>AI1538*(sb_power*(1+sb_power_esc)^AI1539+sb_power_shift)</f>
        <v/>
      </c>
      <c r="AJ1553" s="22">
        <f>AJ1538*(sb_power*(1+sb_power_esc)^AJ1539+sb_power_shift)</f>
        <v/>
      </c>
    </row>
    <row r="1554">
      <c r="B1554" s="2" t="inlineStr">
        <is>
          <t>Power price in the energy charge</t>
        </is>
      </c>
      <c r="C1554" s="5" t="inlineStr">
        <is>
          <t>$ per MWh</t>
        </is>
      </c>
      <c r="D1554" s="22">
        <f>D1538*(sb_power*(1+sb_power_esc)^D1539+IF(sb_pass=1,sb_power_shift,0))</f>
        <v/>
      </c>
      <c r="E1554" s="22">
        <f>E1538*(sb_power*(1+sb_power_esc)^E1539+IF(sb_pass=1,sb_power_shift,0))</f>
        <v/>
      </c>
      <c r="F1554" s="22">
        <f>F1538*(sb_power*(1+sb_power_esc)^F1539+IF(sb_pass=1,sb_power_shift,0))</f>
        <v/>
      </c>
      <c r="G1554" s="22">
        <f>G1538*(sb_power*(1+sb_power_esc)^G1539+IF(sb_pass=1,sb_power_shift,0))</f>
        <v/>
      </c>
      <c r="H1554" s="22">
        <f>H1538*(sb_power*(1+sb_power_esc)^H1539+IF(sb_pass=1,sb_power_shift,0))</f>
        <v/>
      </c>
      <c r="I1554" s="22">
        <f>I1538*(sb_power*(1+sb_power_esc)^I1539+IF(sb_pass=1,sb_power_shift,0))</f>
        <v/>
      </c>
      <c r="J1554" s="22">
        <f>J1538*(sb_power*(1+sb_power_esc)^J1539+IF(sb_pass=1,sb_power_shift,0))</f>
        <v/>
      </c>
      <c r="K1554" s="22">
        <f>K1538*(sb_power*(1+sb_power_esc)^K1539+IF(sb_pass=1,sb_power_shift,0))</f>
        <v/>
      </c>
      <c r="L1554" s="22">
        <f>L1538*(sb_power*(1+sb_power_esc)^L1539+IF(sb_pass=1,sb_power_shift,0))</f>
        <v/>
      </c>
      <c r="M1554" s="22">
        <f>M1538*(sb_power*(1+sb_power_esc)^M1539+IF(sb_pass=1,sb_power_shift,0))</f>
        <v/>
      </c>
      <c r="N1554" s="22">
        <f>N1538*(sb_power*(1+sb_power_esc)^N1539+IF(sb_pass=1,sb_power_shift,0))</f>
        <v/>
      </c>
      <c r="O1554" s="22">
        <f>O1538*(sb_power*(1+sb_power_esc)^O1539+IF(sb_pass=1,sb_power_shift,0))</f>
        <v/>
      </c>
      <c r="P1554" s="22">
        <f>P1538*(sb_power*(1+sb_power_esc)^P1539+IF(sb_pass=1,sb_power_shift,0))</f>
        <v/>
      </c>
      <c r="Q1554" s="22">
        <f>Q1538*(sb_power*(1+sb_power_esc)^Q1539+IF(sb_pass=1,sb_power_shift,0))</f>
        <v/>
      </c>
      <c r="R1554" s="22">
        <f>R1538*(sb_power*(1+sb_power_esc)^R1539+IF(sb_pass=1,sb_power_shift,0))</f>
        <v/>
      </c>
      <c r="S1554" s="22">
        <f>S1538*(sb_power*(1+sb_power_esc)^S1539+IF(sb_pass=1,sb_power_shift,0))</f>
        <v/>
      </c>
      <c r="T1554" s="22">
        <f>T1538*(sb_power*(1+sb_power_esc)^T1539+IF(sb_pass=1,sb_power_shift,0))</f>
        <v/>
      </c>
      <c r="U1554" s="22">
        <f>U1538*(sb_power*(1+sb_power_esc)^U1539+IF(sb_pass=1,sb_power_shift,0))</f>
        <v/>
      </c>
      <c r="V1554" s="22">
        <f>V1538*(sb_power*(1+sb_power_esc)^V1539+IF(sb_pass=1,sb_power_shift,0))</f>
        <v/>
      </c>
      <c r="W1554" s="22">
        <f>W1538*(sb_power*(1+sb_power_esc)^W1539+IF(sb_pass=1,sb_power_shift,0))</f>
        <v/>
      </c>
      <c r="X1554" s="22">
        <f>X1538*(sb_power*(1+sb_power_esc)^X1539+IF(sb_pass=1,sb_power_shift,0))</f>
        <v/>
      </c>
      <c r="Y1554" s="22">
        <f>Y1538*(sb_power*(1+sb_power_esc)^Y1539+IF(sb_pass=1,sb_power_shift,0))</f>
        <v/>
      </c>
      <c r="Z1554" s="22">
        <f>Z1538*(sb_power*(1+sb_power_esc)^Z1539+IF(sb_pass=1,sb_power_shift,0))</f>
        <v/>
      </c>
      <c r="AA1554" s="22">
        <f>AA1538*(sb_power*(1+sb_power_esc)^AA1539+IF(sb_pass=1,sb_power_shift,0))</f>
        <v/>
      </c>
      <c r="AB1554" s="22">
        <f>AB1538*(sb_power*(1+sb_power_esc)^AB1539+IF(sb_pass=1,sb_power_shift,0))</f>
        <v/>
      </c>
      <c r="AC1554" s="22">
        <f>AC1538*(sb_power*(1+sb_power_esc)^AC1539+IF(sb_pass=1,sb_power_shift,0))</f>
        <v/>
      </c>
      <c r="AD1554" s="22">
        <f>AD1538*(sb_power*(1+sb_power_esc)^AD1539+IF(sb_pass=1,sb_power_shift,0))</f>
        <v/>
      </c>
      <c r="AE1554" s="22">
        <f>AE1538*(sb_power*(1+sb_power_esc)^AE1539+IF(sb_pass=1,sb_power_shift,0))</f>
        <v/>
      </c>
      <c r="AF1554" s="22">
        <f>AF1538*(sb_power*(1+sb_power_esc)^AF1539+IF(sb_pass=1,sb_power_shift,0))</f>
        <v/>
      </c>
      <c r="AG1554" s="22">
        <f>AG1538*(sb_power*(1+sb_power_esc)^AG1539+IF(sb_pass=1,sb_power_shift,0))</f>
        <v/>
      </c>
      <c r="AH1554" s="22">
        <f>AH1538*(sb_power*(1+sb_power_esc)^AH1539+IF(sb_pass=1,sb_power_shift,0))</f>
        <v/>
      </c>
      <c r="AI1554" s="22">
        <f>AI1538*(sb_power*(1+sb_power_esc)^AI1539+IF(sb_pass=1,sb_power_shift,0))</f>
        <v/>
      </c>
      <c r="AJ1554" s="22">
        <f>AJ1538*(sb_power*(1+sb_power_esc)^AJ1539+IF(sb_pass=1,sb_power_shift,0))</f>
        <v/>
      </c>
    </row>
    <row r="1555">
      <c r="B1555" s="2" t="inlineStr">
        <is>
          <t>Capacity payments</t>
        </is>
      </c>
      <c r="C1555" s="5" t="inlineStr">
        <is>
          <t>$ million</t>
        </is>
      </c>
      <c r="D1555" s="23">
        <f>$D$1548*D1551/1000000</f>
        <v/>
      </c>
      <c r="E1555" s="23">
        <f>$D$1548*E1551/1000000</f>
        <v/>
      </c>
      <c r="F1555" s="23">
        <f>$D$1548*F1551/1000000</f>
        <v/>
      </c>
      <c r="G1555" s="23">
        <f>$D$1548*G1551/1000000</f>
        <v/>
      </c>
      <c r="H1555" s="23">
        <f>$D$1548*H1551/1000000</f>
        <v/>
      </c>
      <c r="I1555" s="23">
        <f>$D$1548*I1551/1000000</f>
        <v/>
      </c>
      <c r="J1555" s="23">
        <f>$D$1548*J1551/1000000</f>
        <v/>
      </c>
      <c r="K1555" s="23">
        <f>$D$1548*K1551/1000000</f>
        <v/>
      </c>
      <c r="L1555" s="23">
        <f>$D$1548*L1551/1000000</f>
        <v/>
      </c>
      <c r="M1555" s="23">
        <f>$D$1548*M1551/1000000</f>
        <v/>
      </c>
      <c r="N1555" s="23">
        <f>$D$1548*N1551/1000000</f>
        <v/>
      </c>
      <c r="O1555" s="23">
        <f>$D$1548*O1551/1000000</f>
        <v/>
      </c>
      <c r="P1555" s="23">
        <f>$D$1548*P1551/1000000</f>
        <v/>
      </c>
      <c r="Q1555" s="23">
        <f>$D$1548*Q1551/1000000</f>
        <v/>
      </c>
      <c r="R1555" s="23">
        <f>$D$1548*R1551/1000000</f>
        <v/>
      </c>
      <c r="S1555" s="23">
        <f>$D$1548*S1551/1000000</f>
        <v/>
      </c>
      <c r="T1555" s="23">
        <f>$D$1548*T1551/1000000</f>
        <v/>
      </c>
      <c r="U1555" s="23">
        <f>$D$1548*U1551/1000000</f>
        <v/>
      </c>
      <c r="V1555" s="23">
        <f>$D$1548*V1551/1000000</f>
        <v/>
      </c>
      <c r="W1555" s="23">
        <f>$D$1548*W1551/1000000</f>
        <v/>
      </c>
      <c r="X1555" s="23">
        <f>$D$1548*X1551/1000000</f>
        <v/>
      </c>
      <c r="Y1555" s="23">
        <f>$D$1548*Y1551/1000000</f>
        <v/>
      </c>
      <c r="Z1555" s="23">
        <f>$D$1548*Z1551/1000000</f>
        <v/>
      </c>
      <c r="AA1555" s="23">
        <f>$D$1548*AA1551/1000000</f>
        <v/>
      </c>
      <c r="AB1555" s="23">
        <f>$D$1548*AB1551/1000000</f>
        <v/>
      </c>
      <c r="AC1555" s="23">
        <f>$D$1548*AC1551/1000000</f>
        <v/>
      </c>
      <c r="AD1555" s="23">
        <f>$D$1548*AD1551/1000000</f>
        <v/>
      </c>
      <c r="AE1555" s="23">
        <f>$D$1548*AE1551/1000000</f>
        <v/>
      </c>
      <c r="AF1555" s="23">
        <f>$D$1548*AF1551/1000000</f>
        <v/>
      </c>
      <c r="AG1555" s="23">
        <f>$D$1548*AG1551/1000000</f>
        <v/>
      </c>
      <c r="AH1555" s="23">
        <f>$D$1548*AH1551/1000000</f>
        <v/>
      </c>
      <c r="AI1555" s="23">
        <f>$D$1548*AI1551/1000000</f>
        <v/>
      </c>
      <c r="AJ1555" s="23">
        <f>$D$1548*AJ1551/1000000</f>
        <v/>
      </c>
    </row>
    <row r="1556">
      <c r="B1556" s="2" t="inlineStr">
        <is>
          <t>Fixed O&amp;M payments (indexed)</t>
        </is>
      </c>
      <c r="C1556" s="5" t="inlineStr">
        <is>
          <t>$ million</t>
        </is>
      </c>
      <c r="D1556" s="23">
        <f>$D$1546*D1540*D1551/1000000</f>
        <v/>
      </c>
      <c r="E1556" s="23">
        <f>$D$1546*E1540*E1551/1000000</f>
        <v/>
      </c>
      <c r="F1556" s="23">
        <f>$D$1546*F1540*F1551/1000000</f>
        <v/>
      </c>
      <c r="G1556" s="23">
        <f>$D$1546*G1540*G1551/1000000</f>
        <v/>
      </c>
      <c r="H1556" s="23">
        <f>$D$1546*H1540*H1551/1000000</f>
        <v/>
      </c>
      <c r="I1556" s="23">
        <f>$D$1546*I1540*I1551/1000000</f>
        <v/>
      </c>
      <c r="J1556" s="23">
        <f>$D$1546*J1540*J1551/1000000</f>
        <v/>
      </c>
      <c r="K1556" s="23">
        <f>$D$1546*K1540*K1551/1000000</f>
        <v/>
      </c>
      <c r="L1556" s="23">
        <f>$D$1546*L1540*L1551/1000000</f>
        <v/>
      </c>
      <c r="M1556" s="23">
        <f>$D$1546*M1540*M1551/1000000</f>
        <v/>
      </c>
      <c r="N1556" s="23">
        <f>$D$1546*N1540*N1551/1000000</f>
        <v/>
      </c>
      <c r="O1556" s="23">
        <f>$D$1546*O1540*O1551/1000000</f>
        <v/>
      </c>
      <c r="P1556" s="23">
        <f>$D$1546*P1540*P1551/1000000</f>
        <v/>
      </c>
      <c r="Q1556" s="23">
        <f>$D$1546*Q1540*Q1551/1000000</f>
        <v/>
      </c>
      <c r="R1556" s="23">
        <f>$D$1546*R1540*R1551/1000000</f>
        <v/>
      </c>
      <c r="S1556" s="23">
        <f>$D$1546*S1540*S1551/1000000</f>
        <v/>
      </c>
      <c r="T1556" s="23">
        <f>$D$1546*T1540*T1551/1000000</f>
        <v/>
      </c>
      <c r="U1556" s="23">
        <f>$D$1546*U1540*U1551/1000000</f>
        <v/>
      </c>
      <c r="V1556" s="23">
        <f>$D$1546*V1540*V1551/1000000</f>
        <v/>
      </c>
      <c r="W1556" s="23">
        <f>$D$1546*W1540*W1551/1000000</f>
        <v/>
      </c>
      <c r="X1556" s="23">
        <f>$D$1546*X1540*X1551/1000000</f>
        <v/>
      </c>
      <c r="Y1556" s="23">
        <f>$D$1546*Y1540*Y1551/1000000</f>
        <v/>
      </c>
      <c r="Z1556" s="23">
        <f>$D$1546*Z1540*Z1551/1000000</f>
        <v/>
      </c>
      <c r="AA1556" s="23">
        <f>$D$1546*AA1540*AA1551/1000000</f>
        <v/>
      </c>
      <c r="AB1556" s="23">
        <f>$D$1546*AB1540*AB1551/1000000</f>
        <v/>
      </c>
      <c r="AC1556" s="23">
        <f>$D$1546*AC1540*AC1551/1000000</f>
        <v/>
      </c>
      <c r="AD1556" s="23">
        <f>$D$1546*AD1540*AD1551/1000000</f>
        <v/>
      </c>
      <c r="AE1556" s="23">
        <f>$D$1546*AE1540*AE1551/1000000</f>
        <v/>
      </c>
      <c r="AF1556" s="23">
        <f>$D$1546*AF1540*AF1551/1000000</f>
        <v/>
      </c>
      <c r="AG1556" s="23">
        <f>$D$1546*AG1540*AG1551/1000000</f>
        <v/>
      </c>
      <c r="AH1556" s="23">
        <f>$D$1546*AH1540*AH1551/1000000</f>
        <v/>
      </c>
      <c r="AI1556" s="23">
        <f>$D$1546*AI1540*AI1551/1000000</f>
        <v/>
      </c>
      <c r="AJ1556" s="23">
        <f>$D$1546*AJ1540*AJ1551/1000000</f>
        <v/>
      </c>
    </row>
    <row r="1557">
      <c r="B1557" s="2" t="inlineStr">
        <is>
          <t>Energy charge (guaranteed kWh x power price)</t>
        </is>
      </c>
      <c r="C1557" s="5" t="inlineStr">
        <is>
          <t>$ million</t>
        </is>
      </c>
      <c r="D1557" s="23">
        <f>D1552*sb_sec*D1554/1000/1000000</f>
        <v/>
      </c>
      <c r="E1557" s="23">
        <f>E1552*sb_sec*E1554/1000/1000000</f>
        <v/>
      </c>
      <c r="F1557" s="23">
        <f>F1552*sb_sec*F1554/1000/1000000</f>
        <v/>
      </c>
      <c r="G1557" s="23">
        <f>G1552*sb_sec*G1554/1000/1000000</f>
        <v/>
      </c>
      <c r="H1557" s="23">
        <f>H1552*sb_sec*H1554/1000/1000000</f>
        <v/>
      </c>
      <c r="I1557" s="23">
        <f>I1552*sb_sec*I1554/1000/1000000</f>
        <v/>
      </c>
      <c r="J1557" s="23">
        <f>J1552*sb_sec*J1554/1000/1000000</f>
        <v/>
      </c>
      <c r="K1557" s="23">
        <f>K1552*sb_sec*K1554/1000/1000000</f>
        <v/>
      </c>
      <c r="L1557" s="23">
        <f>L1552*sb_sec*L1554/1000/1000000</f>
        <v/>
      </c>
      <c r="M1557" s="23">
        <f>M1552*sb_sec*M1554/1000/1000000</f>
        <v/>
      </c>
      <c r="N1557" s="23">
        <f>N1552*sb_sec*N1554/1000/1000000</f>
        <v/>
      </c>
      <c r="O1557" s="23">
        <f>O1552*sb_sec*O1554/1000/1000000</f>
        <v/>
      </c>
      <c r="P1557" s="23">
        <f>P1552*sb_sec*P1554/1000/1000000</f>
        <v/>
      </c>
      <c r="Q1557" s="23">
        <f>Q1552*sb_sec*Q1554/1000/1000000</f>
        <v/>
      </c>
      <c r="R1557" s="23">
        <f>R1552*sb_sec*R1554/1000/1000000</f>
        <v/>
      </c>
      <c r="S1557" s="23">
        <f>S1552*sb_sec*S1554/1000/1000000</f>
        <v/>
      </c>
      <c r="T1557" s="23">
        <f>T1552*sb_sec*T1554/1000/1000000</f>
        <v/>
      </c>
      <c r="U1557" s="23">
        <f>U1552*sb_sec*U1554/1000/1000000</f>
        <v/>
      </c>
      <c r="V1557" s="23">
        <f>V1552*sb_sec*V1554/1000/1000000</f>
        <v/>
      </c>
      <c r="W1557" s="23">
        <f>W1552*sb_sec*W1554/1000/1000000</f>
        <v/>
      </c>
      <c r="X1557" s="23">
        <f>X1552*sb_sec*X1554/1000/1000000</f>
        <v/>
      </c>
      <c r="Y1557" s="23">
        <f>Y1552*sb_sec*Y1554/1000/1000000</f>
        <v/>
      </c>
      <c r="Z1557" s="23">
        <f>Z1552*sb_sec*Z1554/1000/1000000</f>
        <v/>
      </c>
      <c r="AA1557" s="23">
        <f>AA1552*sb_sec*AA1554/1000/1000000</f>
        <v/>
      </c>
      <c r="AB1557" s="23">
        <f>AB1552*sb_sec*AB1554/1000/1000000</f>
        <v/>
      </c>
      <c r="AC1557" s="23">
        <f>AC1552*sb_sec*AC1554/1000/1000000</f>
        <v/>
      </c>
      <c r="AD1557" s="23">
        <f>AD1552*sb_sec*AD1554/1000/1000000</f>
        <v/>
      </c>
      <c r="AE1557" s="23">
        <f>AE1552*sb_sec*AE1554/1000/1000000</f>
        <v/>
      </c>
      <c r="AF1557" s="23">
        <f>AF1552*sb_sec*AF1554/1000/1000000</f>
        <v/>
      </c>
      <c r="AG1557" s="23">
        <f>AG1552*sb_sec*AG1554/1000/1000000</f>
        <v/>
      </c>
      <c r="AH1557" s="23">
        <f>AH1552*sb_sec*AH1554/1000/1000000</f>
        <v/>
      </c>
      <c r="AI1557" s="23">
        <f>AI1552*sb_sec*AI1554/1000/1000000</f>
        <v/>
      </c>
      <c r="AJ1557" s="23">
        <f>AJ1552*sb_sec*AJ1554/1000/1000000</f>
        <v/>
      </c>
    </row>
    <row r="1558">
      <c r="B1558" s="2" t="inlineStr">
        <is>
          <t>Chemicals charge (indexed)</t>
        </is>
      </c>
      <c r="C1558" s="5" t="inlineStr">
        <is>
          <t>$ million</t>
        </is>
      </c>
      <c r="D1558" s="23">
        <f>D1552*sb_chem*D1540/1000000</f>
        <v/>
      </c>
      <c r="E1558" s="23">
        <f>E1552*sb_chem*E1540/1000000</f>
        <v/>
      </c>
      <c r="F1558" s="23">
        <f>F1552*sb_chem*F1540/1000000</f>
        <v/>
      </c>
      <c r="G1558" s="23">
        <f>G1552*sb_chem*G1540/1000000</f>
        <v/>
      </c>
      <c r="H1558" s="23">
        <f>H1552*sb_chem*H1540/1000000</f>
        <v/>
      </c>
      <c r="I1558" s="23">
        <f>I1552*sb_chem*I1540/1000000</f>
        <v/>
      </c>
      <c r="J1558" s="23">
        <f>J1552*sb_chem*J1540/1000000</f>
        <v/>
      </c>
      <c r="K1558" s="23">
        <f>K1552*sb_chem*K1540/1000000</f>
        <v/>
      </c>
      <c r="L1558" s="23">
        <f>L1552*sb_chem*L1540/1000000</f>
        <v/>
      </c>
      <c r="M1558" s="23">
        <f>M1552*sb_chem*M1540/1000000</f>
        <v/>
      </c>
      <c r="N1558" s="23">
        <f>N1552*sb_chem*N1540/1000000</f>
        <v/>
      </c>
      <c r="O1558" s="23">
        <f>O1552*sb_chem*O1540/1000000</f>
        <v/>
      </c>
      <c r="P1558" s="23">
        <f>P1552*sb_chem*P1540/1000000</f>
        <v/>
      </c>
      <c r="Q1558" s="23">
        <f>Q1552*sb_chem*Q1540/1000000</f>
        <v/>
      </c>
      <c r="R1558" s="23">
        <f>R1552*sb_chem*R1540/1000000</f>
        <v/>
      </c>
      <c r="S1558" s="23">
        <f>S1552*sb_chem*S1540/1000000</f>
        <v/>
      </c>
      <c r="T1558" s="23">
        <f>T1552*sb_chem*T1540/1000000</f>
        <v/>
      </c>
      <c r="U1558" s="23">
        <f>U1552*sb_chem*U1540/1000000</f>
        <v/>
      </c>
      <c r="V1558" s="23">
        <f>V1552*sb_chem*V1540/1000000</f>
        <v/>
      </c>
      <c r="W1558" s="23">
        <f>W1552*sb_chem*W1540/1000000</f>
        <v/>
      </c>
      <c r="X1558" s="23">
        <f>X1552*sb_chem*X1540/1000000</f>
        <v/>
      </c>
      <c r="Y1558" s="23">
        <f>Y1552*sb_chem*Y1540/1000000</f>
        <v/>
      </c>
      <c r="Z1558" s="23">
        <f>Z1552*sb_chem*Z1540/1000000</f>
        <v/>
      </c>
      <c r="AA1558" s="23">
        <f>AA1552*sb_chem*AA1540/1000000</f>
        <v/>
      </c>
      <c r="AB1558" s="23">
        <f>AB1552*sb_chem*AB1540/1000000</f>
        <v/>
      </c>
      <c r="AC1558" s="23">
        <f>AC1552*sb_chem*AC1540/1000000</f>
        <v/>
      </c>
      <c r="AD1558" s="23">
        <f>AD1552*sb_chem*AD1540/1000000</f>
        <v/>
      </c>
      <c r="AE1558" s="23">
        <f>AE1552*sb_chem*AE1540/1000000</f>
        <v/>
      </c>
      <c r="AF1558" s="23">
        <f>AF1552*sb_chem*AF1540/1000000</f>
        <v/>
      </c>
      <c r="AG1558" s="23">
        <f>AG1552*sb_chem*AG1540/1000000</f>
        <v/>
      </c>
      <c r="AH1558" s="23">
        <f>AH1552*sb_chem*AH1540/1000000</f>
        <v/>
      </c>
      <c r="AI1558" s="23">
        <f>AI1552*sb_chem*AI1540/1000000</f>
        <v/>
      </c>
      <c r="AJ1558" s="23">
        <f>AJ1552*sb_chem*AJ1540/1000000</f>
        <v/>
      </c>
    </row>
    <row r="1559">
      <c r="B1559" s="2" t="inlineStr">
        <is>
          <t>Capacity payments lost to delay</t>
        </is>
      </c>
      <c r="C1559" s="5" t="inlineStr">
        <is>
          <t>$ million</t>
        </is>
      </c>
      <c r="D1559" s="23">
        <f>IF(D1537=sb_cod,D1555*Inputs!$C$267,0)</f>
        <v/>
      </c>
      <c r="E1559" s="23">
        <f>IF(E1537=sb_cod,E1555*Inputs!$C$267,0)</f>
        <v/>
      </c>
      <c r="F1559" s="23">
        <f>IF(F1537=sb_cod,F1555*Inputs!$C$267,0)</f>
        <v/>
      </c>
      <c r="G1559" s="23">
        <f>IF(G1537=sb_cod,G1555*Inputs!$C$267,0)</f>
        <v/>
      </c>
      <c r="H1559" s="23">
        <f>IF(H1537=sb_cod,H1555*Inputs!$C$267,0)</f>
        <v/>
      </c>
      <c r="I1559" s="23">
        <f>IF(I1537=sb_cod,I1555*Inputs!$C$267,0)</f>
        <v/>
      </c>
      <c r="J1559" s="23">
        <f>IF(J1537=sb_cod,J1555*Inputs!$C$267,0)</f>
        <v/>
      </c>
      <c r="K1559" s="23">
        <f>IF(K1537=sb_cod,K1555*Inputs!$C$267,0)</f>
        <v/>
      </c>
      <c r="L1559" s="23">
        <f>IF(L1537=sb_cod,L1555*Inputs!$C$267,0)</f>
        <v/>
      </c>
      <c r="M1559" s="23">
        <f>IF(M1537=sb_cod,M1555*Inputs!$C$267,0)</f>
        <v/>
      </c>
      <c r="N1559" s="23">
        <f>IF(N1537=sb_cod,N1555*Inputs!$C$267,0)</f>
        <v/>
      </c>
      <c r="O1559" s="23">
        <f>IF(O1537=sb_cod,O1555*Inputs!$C$267,0)</f>
        <v/>
      </c>
      <c r="P1559" s="23">
        <f>IF(P1537=sb_cod,P1555*Inputs!$C$267,0)</f>
        <v/>
      </c>
      <c r="Q1559" s="23">
        <f>IF(Q1537=sb_cod,Q1555*Inputs!$C$267,0)</f>
        <v/>
      </c>
      <c r="R1559" s="23">
        <f>IF(R1537=sb_cod,R1555*Inputs!$C$267,0)</f>
        <v/>
      </c>
      <c r="S1559" s="23">
        <f>IF(S1537=sb_cod,S1555*Inputs!$C$267,0)</f>
        <v/>
      </c>
      <c r="T1559" s="23">
        <f>IF(T1537=sb_cod,T1555*Inputs!$C$267,0)</f>
        <v/>
      </c>
      <c r="U1559" s="23">
        <f>IF(U1537=sb_cod,U1555*Inputs!$C$267,0)</f>
        <v/>
      </c>
      <c r="V1559" s="23">
        <f>IF(V1537=sb_cod,V1555*Inputs!$C$267,0)</f>
        <v/>
      </c>
      <c r="W1559" s="23">
        <f>IF(W1537=sb_cod,W1555*Inputs!$C$267,0)</f>
        <v/>
      </c>
      <c r="X1559" s="23">
        <f>IF(X1537=sb_cod,X1555*Inputs!$C$267,0)</f>
        <v/>
      </c>
      <c r="Y1559" s="23">
        <f>IF(Y1537=sb_cod,Y1555*Inputs!$C$267,0)</f>
        <v/>
      </c>
      <c r="Z1559" s="23">
        <f>IF(Z1537=sb_cod,Z1555*Inputs!$C$267,0)</f>
        <v/>
      </c>
      <c r="AA1559" s="23">
        <f>IF(AA1537=sb_cod,AA1555*Inputs!$C$267,0)</f>
        <v/>
      </c>
      <c r="AB1559" s="23">
        <f>IF(AB1537=sb_cod,AB1555*Inputs!$C$267,0)</f>
        <v/>
      </c>
      <c r="AC1559" s="23">
        <f>IF(AC1537=sb_cod,AC1555*Inputs!$C$267,0)</f>
        <v/>
      </c>
      <c r="AD1559" s="23">
        <f>IF(AD1537=sb_cod,AD1555*Inputs!$C$267,0)</f>
        <v/>
      </c>
      <c r="AE1559" s="23">
        <f>IF(AE1537=sb_cod,AE1555*Inputs!$C$267,0)</f>
        <v/>
      </c>
      <c r="AF1559" s="23">
        <f>IF(AF1537=sb_cod,AF1555*Inputs!$C$267,0)</f>
        <v/>
      </c>
      <c r="AG1559" s="23">
        <f>IF(AG1537=sb_cod,AG1555*Inputs!$C$267,0)</f>
        <v/>
      </c>
      <c r="AH1559" s="23">
        <f>IF(AH1537=sb_cod,AH1555*Inputs!$C$267,0)</f>
        <v/>
      </c>
      <c r="AI1559" s="23">
        <f>IF(AI1537=sb_cod,AI1555*Inputs!$C$267,0)</f>
        <v/>
      </c>
      <c r="AJ1559" s="23">
        <f>IF(AJ1537=sb_cod,AJ1555*Inputs!$C$267,0)</f>
        <v/>
      </c>
    </row>
    <row r="1560">
      <c r="B1560" s="2" t="inlineStr">
        <is>
          <t>Lost payments not covered by delay damages</t>
        </is>
      </c>
      <c r="C1560" s="5" t="inlineStr">
        <is>
          <t>$ million</t>
        </is>
      </c>
      <c r="D1560" s="23">
        <f>D1559*(1-sb_ld)</f>
        <v/>
      </c>
      <c r="E1560" s="23">
        <f>E1559*(1-sb_ld)</f>
        <v/>
      </c>
      <c r="F1560" s="23">
        <f>F1559*(1-sb_ld)</f>
        <v/>
      </c>
      <c r="G1560" s="23">
        <f>G1559*(1-sb_ld)</f>
        <v/>
      </c>
      <c r="H1560" s="23">
        <f>H1559*(1-sb_ld)</f>
        <v/>
      </c>
      <c r="I1560" s="23">
        <f>I1559*(1-sb_ld)</f>
        <v/>
      </c>
      <c r="J1560" s="23">
        <f>J1559*(1-sb_ld)</f>
        <v/>
      </c>
      <c r="K1560" s="23">
        <f>K1559*(1-sb_ld)</f>
        <v/>
      </c>
      <c r="L1560" s="23">
        <f>L1559*(1-sb_ld)</f>
        <v/>
      </c>
      <c r="M1560" s="23">
        <f>M1559*(1-sb_ld)</f>
        <v/>
      </c>
      <c r="N1560" s="23">
        <f>N1559*(1-sb_ld)</f>
        <v/>
      </c>
      <c r="O1560" s="23">
        <f>O1559*(1-sb_ld)</f>
        <v/>
      </c>
      <c r="P1560" s="23">
        <f>P1559*(1-sb_ld)</f>
        <v/>
      </c>
      <c r="Q1560" s="23">
        <f>Q1559*(1-sb_ld)</f>
        <v/>
      </c>
      <c r="R1560" s="23">
        <f>R1559*(1-sb_ld)</f>
        <v/>
      </c>
      <c r="S1560" s="23">
        <f>S1559*(1-sb_ld)</f>
        <v/>
      </c>
      <c r="T1560" s="23">
        <f>T1559*(1-sb_ld)</f>
        <v/>
      </c>
      <c r="U1560" s="23">
        <f>U1559*(1-sb_ld)</f>
        <v/>
      </c>
      <c r="V1560" s="23">
        <f>V1559*(1-sb_ld)</f>
        <v/>
      </c>
      <c r="W1560" s="23">
        <f>W1559*(1-sb_ld)</f>
        <v/>
      </c>
      <c r="X1560" s="23">
        <f>X1559*(1-sb_ld)</f>
        <v/>
      </c>
      <c r="Y1560" s="23">
        <f>Y1559*(1-sb_ld)</f>
        <v/>
      </c>
      <c r="Z1560" s="23">
        <f>Z1559*(1-sb_ld)</f>
        <v/>
      </c>
      <c r="AA1560" s="23">
        <f>AA1559*(1-sb_ld)</f>
        <v/>
      </c>
      <c r="AB1560" s="23">
        <f>AB1559*(1-sb_ld)</f>
        <v/>
      </c>
      <c r="AC1560" s="23">
        <f>AC1559*(1-sb_ld)</f>
        <v/>
      </c>
      <c r="AD1560" s="23">
        <f>AD1559*(1-sb_ld)</f>
        <v/>
      </c>
      <c r="AE1560" s="23">
        <f>AE1559*(1-sb_ld)</f>
        <v/>
      </c>
      <c r="AF1560" s="23">
        <f>AF1559*(1-sb_ld)</f>
        <v/>
      </c>
      <c r="AG1560" s="23">
        <f>AG1559*(1-sb_ld)</f>
        <v/>
      </c>
      <c r="AH1560" s="23">
        <f>AH1559*(1-sb_ld)</f>
        <v/>
      </c>
      <c r="AI1560" s="23">
        <f>AI1559*(1-sb_ld)</f>
        <v/>
      </c>
      <c r="AJ1560" s="23">
        <f>AJ1559*(1-sb_ld)</f>
        <v/>
      </c>
    </row>
    <row r="1561">
      <c r="B1561" s="3" t="inlineStr">
        <is>
          <t>Revenue</t>
        </is>
      </c>
      <c r="C1561" s="5" t="inlineStr">
        <is>
          <t>$ million</t>
        </is>
      </c>
      <c r="D1561" s="23">
        <f>D1555+D1556+D1557+D1558-D1560</f>
        <v/>
      </c>
      <c r="E1561" s="23">
        <f>E1555+E1556+E1557+E1558-E1560</f>
        <v/>
      </c>
      <c r="F1561" s="23">
        <f>F1555+F1556+F1557+F1558-F1560</f>
        <v/>
      </c>
      <c r="G1561" s="23">
        <f>G1555+G1556+G1557+G1558-G1560</f>
        <v/>
      </c>
      <c r="H1561" s="23">
        <f>H1555+H1556+H1557+H1558-H1560</f>
        <v/>
      </c>
      <c r="I1561" s="23">
        <f>I1555+I1556+I1557+I1558-I1560</f>
        <v/>
      </c>
      <c r="J1561" s="23">
        <f>J1555+J1556+J1557+J1558-J1560</f>
        <v/>
      </c>
      <c r="K1561" s="23">
        <f>K1555+K1556+K1557+K1558-K1560</f>
        <v/>
      </c>
      <c r="L1561" s="23">
        <f>L1555+L1556+L1557+L1558-L1560</f>
        <v/>
      </c>
      <c r="M1561" s="23">
        <f>M1555+M1556+M1557+M1558-M1560</f>
        <v/>
      </c>
      <c r="N1561" s="23">
        <f>N1555+N1556+N1557+N1558-N1560</f>
        <v/>
      </c>
      <c r="O1561" s="23">
        <f>O1555+O1556+O1557+O1558-O1560</f>
        <v/>
      </c>
      <c r="P1561" s="23">
        <f>P1555+P1556+P1557+P1558-P1560</f>
        <v/>
      </c>
      <c r="Q1561" s="23">
        <f>Q1555+Q1556+Q1557+Q1558-Q1560</f>
        <v/>
      </c>
      <c r="R1561" s="23">
        <f>R1555+R1556+R1557+R1558-R1560</f>
        <v/>
      </c>
      <c r="S1561" s="23">
        <f>S1555+S1556+S1557+S1558-S1560</f>
        <v/>
      </c>
      <c r="T1561" s="23">
        <f>T1555+T1556+T1557+T1558-T1560</f>
        <v/>
      </c>
      <c r="U1561" s="23">
        <f>U1555+U1556+U1557+U1558-U1560</f>
        <v/>
      </c>
      <c r="V1561" s="23">
        <f>V1555+V1556+V1557+V1558-V1560</f>
        <v/>
      </c>
      <c r="W1561" s="23">
        <f>W1555+W1556+W1557+W1558-W1560</f>
        <v/>
      </c>
      <c r="X1561" s="23">
        <f>X1555+X1556+X1557+X1558-X1560</f>
        <v/>
      </c>
      <c r="Y1561" s="23">
        <f>Y1555+Y1556+Y1557+Y1558-Y1560</f>
        <v/>
      </c>
      <c r="Z1561" s="23">
        <f>Z1555+Z1556+Z1557+Z1558-Z1560</f>
        <v/>
      </c>
      <c r="AA1561" s="23">
        <f>AA1555+AA1556+AA1557+AA1558-AA1560</f>
        <v/>
      </c>
      <c r="AB1561" s="23">
        <f>AB1555+AB1556+AB1557+AB1558-AB1560</f>
        <v/>
      </c>
      <c r="AC1561" s="23">
        <f>AC1555+AC1556+AC1557+AC1558-AC1560</f>
        <v/>
      </c>
      <c r="AD1561" s="23">
        <f>AD1555+AD1556+AD1557+AD1558-AD1560</f>
        <v/>
      </c>
      <c r="AE1561" s="23">
        <f>AE1555+AE1556+AE1557+AE1558-AE1560</f>
        <v/>
      </c>
      <c r="AF1561" s="23">
        <f>AF1555+AF1556+AF1557+AF1558-AF1560</f>
        <v/>
      </c>
      <c r="AG1561" s="23">
        <f>AG1555+AG1556+AG1557+AG1558-AG1560</f>
        <v/>
      </c>
      <c r="AH1561" s="23">
        <f>AH1555+AH1556+AH1557+AH1558-AH1560</f>
        <v/>
      </c>
      <c r="AI1561" s="23">
        <f>AI1555+AI1556+AI1557+AI1558-AI1560</f>
        <v/>
      </c>
      <c r="AJ1561" s="23">
        <f>AJ1555+AJ1556+AJ1557+AJ1558-AJ1560</f>
        <v/>
      </c>
    </row>
    <row r="1562">
      <c r="B1562" s="2" t="inlineStr">
        <is>
          <t>Fixed O&amp;M</t>
        </is>
      </c>
      <c r="C1562" s="5" t="inlineStr">
        <is>
          <t>$ million</t>
        </is>
      </c>
      <c r="D1562" s="23">
        <f>D1538*sb_fom*D1540</f>
        <v/>
      </c>
      <c r="E1562" s="23">
        <f>E1538*sb_fom*E1540</f>
        <v/>
      </c>
      <c r="F1562" s="23">
        <f>F1538*sb_fom*F1540</f>
        <v/>
      </c>
      <c r="G1562" s="23">
        <f>G1538*sb_fom*G1540</f>
        <v/>
      </c>
      <c r="H1562" s="23">
        <f>H1538*sb_fom*H1540</f>
        <v/>
      </c>
      <c r="I1562" s="23">
        <f>I1538*sb_fom*I1540</f>
        <v/>
      </c>
      <c r="J1562" s="23">
        <f>J1538*sb_fom*J1540</f>
        <v/>
      </c>
      <c r="K1562" s="23">
        <f>K1538*sb_fom*K1540</f>
        <v/>
      </c>
      <c r="L1562" s="23">
        <f>L1538*sb_fom*L1540</f>
        <v/>
      </c>
      <c r="M1562" s="23">
        <f>M1538*sb_fom*M1540</f>
        <v/>
      </c>
      <c r="N1562" s="23">
        <f>N1538*sb_fom*N1540</f>
        <v/>
      </c>
      <c r="O1562" s="23">
        <f>O1538*sb_fom*O1540</f>
        <v/>
      </c>
      <c r="P1562" s="23">
        <f>P1538*sb_fom*P1540</f>
        <v/>
      </c>
      <c r="Q1562" s="23">
        <f>Q1538*sb_fom*Q1540</f>
        <v/>
      </c>
      <c r="R1562" s="23">
        <f>R1538*sb_fom*R1540</f>
        <v/>
      </c>
      <c r="S1562" s="23">
        <f>S1538*sb_fom*S1540</f>
        <v/>
      </c>
      <c r="T1562" s="23">
        <f>T1538*sb_fom*T1540</f>
        <v/>
      </c>
      <c r="U1562" s="23">
        <f>U1538*sb_fom*U1540</f>
        <v/>
      </c>
      <c r="V1562" s="23">
        <f>V1538*sb_fom*V1540</f>
        <v/>
      </c>
      <c r="W1562" s="23">
        <f>W1538*sb_fom*W1540</f>
        <v/>
      </c>
      <c r="X1562" s="23">
        <f>X1538*sb_fom*X1540</f>
        <v/>
      </c>
      <c r="Y1562" s="23">
        <f>Y1538*sb_fom*Y1540</f>
        <v/>
      </c>
      <c r="Z1562" s="23">
        <f>Z1538*sb_fom*Z1540</f>
        <v/>
      </c>
      <c r="AA1562" s="23">
        <f>AA1538*sb_fom*AA1540</f>
        <v/>
      </c>
      <c r="AB1562" s="23">
        <f>AB1538*sb_fom*AB1540</f>
        <v/>
      </c>
      <c r="AC1562" s="23">
        <f>AC1538*sb_fom*AC1540</f>
        <v/>
      </c>
      <c r="AD1562" s="23">
        <f>AD1538*sb_fom*AD1540</f>
        <v/>
      </c>
      <c r="AE1562" s="23">
        <f>AE1538*sb_fom*AE1540</f>
        <v/>
      </c>
      <c r="AF1562" s="23">
        <f>AF1538*sb_fom*AF1540</f>
        <v/>
      </c>
      <c r="AG1562" s="23">
        <f>AG1538*sb_fom*AG1540</f>
        <v/>
      </c>
      <c r="AH1562" s="23">
        <f>AH1538*sb_fom*AH1540</f>
        <v/>
      </c>
      <c r="AI1562" s="23">
        <f>AI1538*sb_fom*AI1540</f>
        <v/>
      </c>
      <c r="AJ1562" s="23">
        <f>AJ1538*sb_fom*AJ1540</f>
        <v/>
      </c>
    </row>
    <row r="1563">
      <c r="B1563" s="2" t="inlineStr">
        <is>
          <t>Energy cost (actual kWh x power price)</t>
        </is>
      </c>
      <c r="C1563" s="5" t="inlineStr">
        <is>
          <t>$ million</t>
        </is>
      </c>
      <c r="D1563" s="23">
        <f>D1552*sb_sec_act*D1553/1000/1000000</f>
        <v/>
      </c>
      <c r="E1563" s="23">
        <f>E1552*sb_sec_act*E1553/1000/1000000</f>
        <v/>
      </c>
      <c r="F1563" s="23">
        <f>F1552*sb_sec_act*F1553/1000/1000000</f>
        <v/>
      </c>
      <c r="G1563" s="23">
        <f>G1552*sb_sec_act*G1553/1000/1000000</f>
        <v/>
      </c>
      <c r="H1563" s="23">
        <f>H1552*sb_sec_act*H1553/1000/1000000</f>
        <v/>
      </c>
      <c r="I1563" s="23">
        <f>I1552*sb_sec_act*I1553/1000/1000000</f>
        <v/>
      </c>
      <c r="J1563" s="23">
        <f>J1552*sb_sec_act*J1553/1000/1000000</f>
        <v/>
      </c>
      <c r="K1563" s="23">
        <f>K1552*sb_sec_act*K1553/1000/1000000</f>
        <v/>
      </c>
      <c r="L1563" s="23">
        <f>L1552*sb_sec_act*L1553/1000/1000000</f>
        <v/>
      </c>
      <c r="M1563" s="23">
        <f>M1552*sb_sec_act*M1553/1000/1000000</f>
        <v/>
      </c>
      <c r="N1563" s="23">
        <f>N1552*sb_sec_act*N1553/1000/1000000</f>
        <v/>
      </c>
      <c r="O1563" s="23">
        <f>O1552*sb_sec_act*O1553/1000/1000000</f>
        <v/>
      </c>
      <c r="P1563" s="23">
        <f>P1552*sb_sec_act*P1553/1000/1000000</f>
        <v/>
      </c>
      <c r="Q1563" s="23">
        <f>Q1552*sb_sec_act*Q1553/1000/1000000</f>
        <v/>
      </c>
      <c r="R1563" s="23">
        <f>R1552*sb_sec_act*R1553/1000/1000000</f>
        <v/>
      </c>
      <c r="S1563" s="23">
        <f>S1552*sb_sec_act*S1553/1000/1000000</f>
        <v/>
      </c>
      <c r="T1563" s="23">
        <f>T1552*sb_sec_act*T1553/1000/1000000</f>
        <v/>
      </c>
      <c r="U1563" s="23">
        <f>U1552*sb_sec_act*U1553/1000/1000000</f>
        <v/>
      </c>
      <c r="V1563" s="23">
        <f>V1552*sb_sec_act*V1553/1000/1000000</f>
        <v/>
      </c>
      <c r="W1563" s="23">
        <f>W1552*sb_sec_act*W1553/1000/1000000</f>
        <v/>
      </c>
      <c r="X1563" s="23">
        <f>X1552*sb_sec_act*X1553/1000/1000000</f>
        <v/>
      </c>
      <c r="Y1563" s="23">
        <f>Y1552*sb_sec_act*Y1553/1000/1000000</f>
        <v/>
      </c>
      <c r="Z1563" s="23">
        <f>Z1552*sb_sec_act*Z1553/1000/1000000</f>
        <v/>
      </c>
      <c r="AA1563" s="23">
        <f>AA1552*sb_sec_act*AA1553/1000/1000000</f>
        <v/>
      </c>
      <c r="AB1563" s="23">
        <f>AB1552*sb_sec_act*AB1553/1000/1000000</f>
        <v/>
      </c>
      <c r="AC1563" s="23">
        <f>AC1552*sb_sec_act*AC1553/1000/1000000</f>
        <v/>
      </c>
      <c r="AD1563" s="23">
        <f>AD1552*sb_sec_act*AD1553/1000/1000000</f>
        <v/>
      </c>
      <c r="AE1563" s="23">
        <f>AE1552*sb_sec_act*AE1553/1000/1000000</f>
        <v/>
      </c>
      <c r="AF1563" s="23">
        <f>AF1552*sb_sec_act*AF1553/1000/1000000</f>
        <v/>
      </c>
      <c r="AG1563" s="23">
        <f>AG1552*sb_sec_act*AG1553/1000/1000000</f>
        <v/>
      </c>
      <c r="AH1563" s="23">
        <f>AH1552*sb_sec_act*AH1553/1000/1000000</f>
        <v/>
      </c>
      <c r="AI1563" s="23">
        <f>AI1552*sb_sec_act*AI1553/1000/1000000</f>
        <v/>
      </c>
      <c r="AJ1563" s="23">
        <f>AJ1552*sb_sec_act*AJ1553/1000/1000000</f>
        <v/>
      </c>
    </row>
    <row r="1564">
      <c r="B1564" s="2" t="inlineStr">
        <is>
          <t>Chemicals</t>
        </is>
      </c>
      <c r="C1564" s="5" t="inlineStr">
        <is>
          <t>$ million</t>
        </is>
      </c>
      <c r="D1564" s="23">
        <f>D1558</f>
        <v/>
      </c>
      <c r="E1564" s="23">
        <f>E1558</f>
        <v/>
      </c>
      <c r="F1564" s="23">
        <f>F1558</f>
        <v/>
      </c>
      <c r="G1564" s="23">
        <f>G1558</f>
        <v/>
      </c>
      <c r="H1564" s="23">
        <f>H1558</f>
        <v/>
      </c>
      <c r="I1564" s="23">
        <f>I1558</f>
        <v/>
      </c>
      <c r="J1564" s="23">
        <f>J1558</f>
        <v/>
      </c>
      <c r="K1564" s="23">
        <f>K1558</f>
        <v/>
      </c>
      <c r="L1564" s="23">
        <f>L1558</f>
        <v/>
      </c>
      <c r="M1564" s="23">
        <f>M1558</f>
        <v/>
      </c>
      <c r="N1564" s="23">
        <f>N1558</f>
        <v/>
      </c>
      <c r="O1564" s="23">
        <f>O1558</f>
        <v/>
      </c>
      <c r="P1564" s="23">
        <f>P1558</f>
        <v/>
      </c>
      <c r="Q1564" s="23">
        <f>Q1558</f>
        <v/>
      </c>
      <c r="R1564" s="23">
        <f>R1558</f>
        <v/>
      </c>
      <c r="S1564" s="23">
        <f>S1558</f>
        <v/>
      </c>
      <c r="T1564" s="23">
        <f>T1558</f>
        <v/>
      </c>
      <c r="U1564" s="23">
        <f>U1558</f>
        <v/>
      </c>
      <c r="V1564" s="23">
        <f>V1558</f>
        <v/>
      </c>
      <c r="W1564" s="23">
        <f>W1558</f>
        <v/>
      </c>
      <c r="X1564" s="23">
        <f>X1558</f>
        <v/>
      </c>
      <c r="Y1564" s="23">
        <f>Y1558</f>
        <v/>
      </c>
      <c r="Z1564" s="23">
        <f>Z1558</f>
        <v/>
      </c>
      <c r="AA1564" s="23">
        <f>AA1558</f>
        <v/>
      </c>
      <c r="AB1564" s="23">
        <f>AB1558</f>
        <v/>
      </c>
      <c r="AC1564" s="23">
        <f>AC1558</f>
        <v/>
      </c>
      <c r="AD1564" s="23">
        <f>AD1558</f>
        <v/>
      </c>
      <c r="AE1564" s="23">
        <f>AE1558</f>
        <v/>
      </c>
      <c r="AF1564" s="23">
        <f>AF1558</f>
        <v/>
      </c>
      <c r="AG1564" s="23">
        <f>AG1558</f>
        <v/>
      </c>
      <c r="AH1564" s="23">
        <f>AH1558</f>
        <v/>
      </c>
      <c r="AI1564" s="23">
        <f>AI1558</f>
        <v/>
      </c>
      <c r="AJ1564" s="23">
        <f>AJ1558</f>
        <v/>
      </c>
    </row>
    <row r="1565">
      <c r="B1565" s="2" t="inlineStr">
        <is>
          <t>Major overhauls</t>
        </is>
      </c>
      <c r="C1565" s="5" t="inlineStr">
        <is>
          <t>$ million</t>
        </is>
      </c>
      <c r="D1565" s="23">
        <f>D1538*IF(OR(D1537=sb_major_y1,D1537=sb_major_y2),sb_major*D1540,0)</f>
        <v/>
      </c>
      <c r="E1565" s="23">
        <f>E1538*IF(OR(E1537=sb_major_y1,E1537=sb_major_y2),sb_major*E1540,0)</f>
        <v/>
      </c>
      <c r="F1565" s="23">
        <f>F1538*IF(OR(F1537=sb_major_y1,F1537=sb_major_y2),sb_major*F1540,0)</f>
        <v/>
      </c>
      <c r="G1565" s="23">
        <f>G1538*IF(OR(G1537=sb_major_y1,G1537=sb_major_y2),sb_major*G1540,0)</f>
        <v/>
      </c>
      <c r="H1565" s="23">
        <f>H1538*IF(OR(H1537=sb_major_y1,H1537=sb_major_y2),sb_major*H1540,0)</f>
        <v/>
      </c>
      <c r="I1565" s="23">
        <f>I1538*IF(OR(I1537=sb_major_y1,I1537=sb_major_y2),sb_major*I1540,0)</f>
        <v/>
      </c>
      <c r="J1565" s="23">
        <f>J1538*IF(OR(J1537=sb_major_y1,J1537=sb_major_y2),sb_major*J1540,0)</f>
        <v/>
      </c>
      <c r="K1565" s="23">
        <f>K1538*IF(OR(K1537=sb_major_y1,K1537=sb_major_y2),sb_major*K1540,0)</f>
        <v/>
      </c>
      <c r="L1565" s="23">
        <f>L1538*IF(OR(L1537=sb_major_y1,L1537=sb_major_y2),sb_major*L1540,0)</f>
        <v/>
      </c>
      <c r="M1565" s="23">
        <f>M1538*IF(OR(M1537=sb_major_y1,M1537=sb_major_y2),sb_major*M1540,0)</f>
        <v/>
      </c>
      <c r="N1565" s="23">
        <f>N1538*IF(OR(N1537=sb_major_y1,N1537=sb_major_y2),sb_major*N1540,0)</f>
        <v/>
      </c>
      <c r="O1565" s="23">
        <f>O1538*IF(OR(O1537=sb_major_y1,O1537=sb_major_y2),sb_major*O1540,0)</f>
        <v/>
      </c>
      <c r="P1565" s="23">
        <f>P1538*IF(OR(P1537=sb_major_y1,P1537=sb_major_y2),sb_major*P1540,0)</f>
        <v/>
      </c>
      <c r="Q1565" s="23">
        <f>Q1538*IF(OR(Q1537=sb_major_y1,Q1537=sb_major_y2),sb_major*Q1540,0)</f>
        <v/>
      </c>
      <c r="R1565" s="23">
        <f>R1538*IF(OR(R1537=sb_major_y1,R1537=sb_major_y2),sb_major*R1540,0)</f>
        <v/>
      </c>
      <c r="S1565" s="23">
        <f>S1538*IF(OR(S1537=sb_major_y1,S1537=sb_major_y2),sb_major*S1540,0)</f>
        <v/>
      </c>
      <c r="T1565" s="23">
        <f>T1538*IF(OR(T1537=sb_major_y1,T1537=sb_major_y2),sb_major*T1540,0)</f>
        <v/>
      </c>
      <c r="U1565" s="23">
        <f>U1538*IF(OR(U1537=sb_major_y1,U1537=sb_major_y2),sb_major*U1540,0)</f>
        <v/>
      </c>
      <c r="V1565" s="23">
        <f>V1538*IF(OR(V1537=sb_major_y1,V1537=sb_major_y2),sb_major*V1540,0)</f>
        <v/>
      </c>
      <c r="W1565" s="23">
        <f>W1538*IF(OR(W1537=sb_major_y1,W1537=sb_major_y2),sb_major*W1540,0)</f>
        <v/>
      </c>
      <c r="X1565" s="23">
        <f>X1538*IF(OR(X1537=sb_major_y1,X1537=sb_major_y2),sb_major*X1540,0)</f>
        <v/>
      </c>
      <c r="Y1565" s="23">
        <f>Y1538*IF(OR(Y1537=sb_major_y1,Y1537=sb_major_y2),sb_major*Y1540,0)</f>
        <v/>
      </c>
      <c r="Z1565" s="23">
        <f>Z1538*IF(OR(Z1537=sb_major_y1,Z1537=sb_major_y2),sb_major*Z1540,0)</f>
        <v/>
      </c>
      <c r="AA1565" s="23">
        <f>AA1538*IF(OR(AA1537=sb_major_y1,AA1537=sb_major_y2),sb_major*AA1540,0)</f>
        <v/>
      </c>
      <c r="AB1565" s="23">
        <f>AB1538*IF(OR(AB1537=sb_major_y1,AB1537=sb_major_y2),sb_major*AB1540,0)</f>
        <v/>
      </c>
      <c r="AC1565" s="23">
        <f>AC1538*IF(OR(AC1537=sb_major_y1,AC1537=sb_major_y2),sb_major*AC1540,0)</f>
        <v/>
      </c>
      <c r="AD1565" s="23">
        <f>AD1538*IF(OR(AD1537=sb_major_y1,AD1537=sb_major_y2),sb_major*AD1540,0)</f>
        <v/>
      </c>
      <c r="AE1565" s="23">
        <f>AE1538*IF(OR(AE1537=sb_major_y1,AE1537=sb_major_y2),sb_major*AE1540,0)</f>
        <v/>
      </c>
      <c r="AF1565" s="23">
        <f>AF1538*IF(OR(AF1537=sb_major_y1,AF1537=sb_major_y2),sb_major*AF1540,0)</f>
        <v/>
      </c>
      <c r="AG1565" s="23">
        <f>AG1538*IF(OR(AG1537=sb_major_y1,AG1537=sb_major_y2),sb_major*AG1540,0)</f>
        <v/>
      </c>
      <c r="AH1565" s="23">
        <f>AH1538*IF(OR(AH1537=sb_major_y1,AH1537=sb_major_y2),sb_major*AH1540,0)</f>
        <v/>
      </c>
      <c r="AI1565" s="23">
        <f>AI1538*IF(OR(AI1537=sb_major_y1,AI1537=sb_major_y2),sb_major*AI1540,0)</f>
        <v/>
      </c>
      <c r="AJ1565" s="23">
        <f>AJ1538*IF(OR(AJ1537=sb_major_y1,AJ1537=sb_major_y2),sb_major*AJ1540,0)</f>
        <v/>
      </c>
    </row>
    <row r="1566">
      <c r="B1566" s="2" t="inlineStr">
        <is>
          <t>Operating cost</t>
        </is>
      </c>
      <c r="C1566" s="5" t="inlineStr">
        <is>
          <t>$ million</t>
        </is>
      </c>
      <c r="D1566" s="23">
        <f>SUM(D1562:D1565)</f>
        <v/>
      </c>
      <c r="E1566" s="23">
        <f>SUM(E1562:E1565)</f>
        <v/>
      </c>
      <c r="F1566" s="23">
        <f>SUM(F1562:F1565)</f>
        <v/>
      </c>
      <c r="G1566" s="23">
        <f>SUM(G1562:G1565)</f>
        <v/>
      </c>
      <c r="H1566" s="23">
        <f>SUM(H1562:H1565)</f>
        <v/>
      </c>
      <c r="I1566" s="23">
        <f>SUM(I1562:I1565)</f>
        <v/>
      </c>
      <c r="J1566" s="23">
        <f>SUM(J1562:J1565)</f>
        <v/>
      </c>
      <c r="K1566" s="23">
        <f>SUM(K1562:K1565)</f>
        <v/>
      </c>
      <c r="L1566" s="23">
        <f>SUM(L1562:L1565)</f>
        <v/>
      </c>
      <c r="M1566" s="23">
        <f>SUM(M1562:M1565)</f>
        <v/>
      </c>
      <c r="N1566" s="23">
        <f>SUM(N1562:N1565)</f>
        <v/>
      </c>
      <c r="O1566" s="23">
        <f>SUM(O1562:O1565)</f>
        <v/>
      </c>
      <c r="P1566" s="23">
        <f>SUM(P1562:P1565)</f>
        <v/>
      </c>
      <c r="Q1566" s="23">
        <f>SUM(Q1562:Q1565)</f>
        <v/>
      </c>
      <c r="R1566" s="23">
        <f>SUM(R1562:R1565)</f>
        <v/>
      </c>
      <c r="S1566" s="23">
        <f>SUM(S1562:S1565)</f>
        <v/>
      </c>
      <c r="T1566" s="23">
        <f>SUM(T1562:T1565)</f>
        <v/>
      </c>
      <c r="U1566" s="23">
        <f>SUM(U1562:U1565)</f>
        <v/>
      </c>
      <c r="V1566" s="23">
        <f>SUM(V1562:V1565)</f>
        <v/>
      </c>
      <c r="W1566" s="23">
        <f>SUM(W1562:W1565)</f>
        <v/>
      </c>
      <c r="X1566" s="23">
        <f>SUM(X1562:X1565)</f>
        <v/>
      </c>
      <c r="Y1566" s="23">
        <f>SUM(Y1562:Y1565)</f>
        <v/>
      </c>
      <c r="Z1566" s="23">
        <f>SUM(Z1562:Z1565)</f>
        <v/>
      </c>
      <c r="AA1566" s="23">
        <f>SUM(AA1562:AA1565)</f>
        <v/>
      </c>
      <c r="AB1566" s="23">
        <f>SUM(AB1562:AB1565)</f>
        <v/>
      </c>
      <c r="AC1566" s="23">
        <f>SUM(AC1562:AC1565)</f>
        <v/>
      </c>
      <c r="AD1566" s="23">
        <f>SUM(AD1562:AD1565)</f>
        <v/>
      </c>
      <c r="AE1566" s="23">
        <f>SUM(AE1562:AE1565)</f>
        <v/>
      </c>
      <c r="AF1566" s="23">
        <f>SUM(AF1562:AF1565)</f>
        <v/>
      </c>
      <c r="AG1566" s="23">
        <f>SUM(AG1562:AG1565)</f>
        <v/>
      </c>
      <c r="AH1566" s="23">
        <f>SUM(AH1562:AH1565)</f>
        <v/>
      </c>
      <c r="AI1566" s="23">
        <f>SUM(AI1562:AI1565)</f>
        <v/>
      </c>
      <c r="AJ1566" s="23">
        <f>SUM(AJ1562:AJ1565)</f>
        <v/>
      </c>
    </row>
    <row r="1567">
      <c r="B1567" s="3" t="inlineStr">
        <is>
          <t>Cash flow available for debt service (CFADS)</t>
        </is>
      </c>
      <c r="C1567" s="5" t="inlineStr">
        <is>
          <t>$ million</t>
        </is>
      </c>
      <c r="D1567" s="23">
        <f>D1561-D1566</f>
        <v/>
      </c>
      <c r="E1567" s="23">
        <f>E1561-E1566</f>
        <v/>
      </c>
      <c r="F1567" s="23">
        <f>F1561-F1566</f>
        <v/>
      </c>
      <c r="G1567" s="23">
        <f>G1561-G1566</f>
        <v/>
      </c>
      <c r="H1567" s="23">
        <f>H1561-H1566</f>
        <v/>
      </c>
      <c r="I1567" s="23">
        <f>I1561-I1566</f>
        <v/>
      </c>
      <c r="J1567" s="23">
        <f>J1561-J1566</f>
        <v/>
      </c>
      <c r="K1567" s="23">
        <f>K1561-K1566</f>
        <v/>
      </c>
      <c r="L1567" s="23">
        <f>L1561-L1566</f>
        <v/>
      </c>
      <c r="M1567" s="23">
        <f>M1561-M1566</f>
        <v/>
      </c>
      <c r="N1567" s="23">
        <f>N1561-N1566</f>
        <v/>
      </c>
      <c r="O1567" s="23">
        <f>O1561-O1566</f>
        <v/>
      </c>
      <c r="P1567" s="23">
        <f>P1561-P1566</f>
        <v/>
      </c>
      <c r="Q1567" s="23">
        <f>Q1561-Q1566</f>
        <v/>
      </c>
      <c r="R1567" s="23">
        <f>R1561-R1566</f>
        <v/>
      </c>
      <c r="S1567" s="23">
        <f>S1561-S1566</f>
        <v/>
      </c>
      <c r="T1567" s="23">
        <f>T1561-T1566</f>
        <v/>
      </c>
      <c r="U1567" s="23">
        <f>U1561-U1566</f>
        <v/>
      </c>
      <c r="V1567" s="23">
        <f>V1561-V1566</f>
        <v/>
      </c>
      <c r="W1567" s="23">
        <f>W1561-W1566</f>
        <v/>
      </c>
      <c r="X1567" s="23">
        <f>X1561-X1566</f>
        <v/>
      </c>
      <c r="Y1567" s="23">
        <f>Y1561-Y1566</f>
        <v/>
      </c>
      <c r="Z1567" s="23">
        <f>Z1561-Z1566</f>
        <v/>
      </c>
      <c r="AA1567" s="23">
        <f>AA1561-AA1566</f>
        <v/>
      </c>
      <c r="AB1567" s="23">
        <f>AB1561-AB1566</f>
        <v/>
      </c>
      <c r="AC1567" s="23">
        <f>AC1561-AC1566</f>
        <v/>
      </c>
      <c r="AD1567" s="23">
        <f>AD1561-AD1566</f>
        <v/>
      </c>
      <c r="AE1567" s="23">
        <f>AE1561-AE1566</f>
        <v/>
      </c>
      <c r="AF1567" s="23">
        <f>AF1561-AF1566</f>
        <v/>
      </c>
      <c r="AG1567" s="23">
        <f>AG1561-AG1566</f>
        <v/>
      </c>
      <c r="AH1567" s="23">
        <f>AH1561-AH1566</f>
        <v/>
      </c>
      <c r="AI1567" s="23">
        <f>AI1561-AI1566</f>
        <v/>
      </c>
      <c r="AJ1567" s="23">
        <f>AJ1561-AJ1566</f>
        <v/>
      </c>
    </row>
    <row r="1569">
      <c r="B1569" s="6" t="inlineStr">
        <is>
          <t>Debt and flows</t>
        </is>
      </c>
      <c r="C1569" s="7" t="n"/>
      <c r="D1569" s="7" t="n"/>
      <c r="E1569" s="7" t="n"/>
      <c r="F1569" s="7" t="n"/>
      <c r="G1569" s="7" t="n"/>
      <c r="H1569" s="7" t="n"/>
      <c r="I1569" s="7" t="n"/>
      <c r="J1569" s="7" t="n"/>
      <c r="K1569" s="7" t="n"/>
      <c r="L1569" s="7" t="n"/>
      <c r="M1569" s="7" t="n"/>
      <c r="N1569" s="7" t="n"/>
      <c r="O1569" s="7" t="n"/>
      <c r="P1569" s="7" t="n"/>
      <c r="Q1569" s="7" t="n"/>
      <c r="R1569" s="7" t="n"/>
      <c r="S1569" s="7" t="n"/>
      <c r="T1569" s="7" t="n"/>
      <c r="U1569" s="7" t="n"/>
      <c r="V1569" s="7" t="n"/>
      <c r="W1569" s="7" t="n"/>
      <c r="X1569" s="7" t="n"/>
      <c r="Y1569" s="7" t="n"/>
      <c r="Z1569" s="7" t="n"/>
      <c r="AA1569" s="7" t="n"/>
      <c r="AB1569" s="7" t="n"/>
      <c r="AC1569" s="7" t="n"/>
      <c r="AD1569" s="7" t="n"/>
      <c r="AE1569" s="7" t="n"/>
      <c r="AF1569" s="7" t="n"/>
      <c r="AG1569" s="7" t="n"/>
      <c r="AH1569" s="7" t="n"/>
      <c r="AI1569" s="7" t="n"/>
      <c r="AJ1569" s="7" t="n"/>
    </row>
    <row r="1570">
      <c r="B1570" s="2" t="inlineStr">
        <is>
          <t>Capital cost paid</t>
        </is>
      </c>
      <c r="C1570" s="5" t="inlineStr">
        <is>
          <t>$ million</t>
        </is>
      </c>
      <c r="D1570" s="23">
        <f>-IF(D1537=sb_start+1,sb_phase1,IF(D1537=sb_start+2,1-sb_phase1,0))*$D$1547</f>
        <v/>
      </c>
      <c r="E1570" s="23">
        <f>-IF(E1537=sb_start+1,sb_phase1,IF(E1537=sb_start+2,1-sb_phase1,0))*$D$1547</f>
        <v/>
      </c>
      <c r="F1570" s="23">
        <f>-IF(F1537=sb_start+1,sb_phase1,IF(F1537=sb_start+2,1-sb_phase1,0))*$D$1547</f>
        <v/>
      </c>
      <c r="G1570" s="23">
        <f>-IF(G1537=sb_start+1,sb_phase1,IF(G1537=sb_start+2,1-sb_phase1,0))*$D$1547</f>
        <v/>
      </c>
      <c r="H1570" s="23">
        <f>-IF(H1537=sb_start+1,sb_phase1,IF(H1537=sb_start+2,1-sb_phase1,0))*$D$1547</f>
        <v/>
      </c>
      <c r="I1570" s="23">
        <f>-IF(I1537=sb_start+1,sb_phase1,IF(I1537=sb_start+2,1-sb_phase1,0))*$D$1547</f>
        <v/>
      </c>
      <c r="J1570" s="23">
        <f>-IF(J1537=sb_start+1,sb_phase1,IF(J1537=sb_start+2,1-sb_phase1,0))*$D$1547</f>
        <v/>
      </c>
      <c r="K1570" s="23">
        <f>-IF(K1537=sb_start+1,sb_phase1,IF(K1537=sb_start+2,1-sb_phase1,0))*$D$1547</f>
        <v/>
      </c>
      <c r="L1570" s="23">
        <f>-IF(L1537=sb_start+1,sb_phase1,IF(L1537=sb_start+2,1-sb_phase1,0))*$D$1547</f>
        <v/>
      </c>
      <c r="M1570" s="23">
        <f>-IF(M1537=sb_start+1,sb_phase1,IF(M1537=sb_start+2,1-sb_phase1,0))*$D$1547</f>
        <v/>
      </c>
      <c r="N1570" s="23">
        <f>-IF(N1537=sb_start+1,sb_phase1,IF(N1537=sb_start+2,1-sb_phase1,0))*$D$1547</f>
        <v/>
      </c>
      <c r="O1570" s="23">
        <f>-IF(O1537=sb_start+1,sb_phase1,IF(O1537=sb_start+2,1-sb_phase1,0))*$D$1547</f>
        <v/>
      </c>
      <c r="P1570" s="23">
        <f>-IF(P1537=sb_start+1,sb_phase1,IF(P1537=sb_start+2,1-sb_phase1,0))*$D$1547</f>
        <v/>
      </c>
      <c r="Q1570" s="23">
        <f>-IF(Q1537=sb_start+1,sb_phase1,IF(Q1537=sb_start+2,1-sb_phase1,0))*$D$1547</f>
        <v/>
      </c>
      <c r="R1570" s="23">
        <f>-IF(R1537=sb_start+1,sb_phase1,IF(R1537=sb_start+2,1-sb_phase1,0))*$D$1547</f>
        <v/>
      </c>
      <c r="S1570" s="23">
        <f>-IF(S1537=sb_start+1,sb_phase1,IF(S1537=sb_start+2,1-sb_phase1,0))*$D$1547</f>
        <v/>
      </c>
      <c r="T1570" s="23">
        <f>-IF(T1537=sb_start+1,sb_phase1,IF(T1537=sb_start+2,1-sb_phase1,0))*$D$1547</f>
        <v/>
      </c>
      <c r="U1570" s="23">
        <f>-IF(U1537=sb_start+1,sb_phase1,IF(U1537=sb_start+2,1-sb_phase1,0))*$D$1547</f>
        <v/>
      </c>
      <c r="V1570" s="23">
        <f>-IF(V1537=sb_start+1,sb_phase1,IF(V1537=sb_start+2,1-sb_phase1,0))*$D$1547</f>
        <v/>
      </c>
      <c r="W1570" s="23">
        <f>-IF(W1537=sb_start+1,sb_phase1,IF(W1537=sb_start+2,1-sb_phase1,0))*$D$1547</f>
        <v/>
      </c>
      <c r="X1570" s="23">
        <f>-IF(X1537=sb_start+1,sb_phase1,IF(X1537=sb_start+2,1-sb_phase1,0))*$D$1547</f>
        <v/>
      </c>
      <c r="Y1570" s="23">
        <f>-IF(Y1537=sb_start+1,sb_phase1,IF(Y1537=sb_start+2,1-sb_phase1,0))*$D$1547</f>
        <v/>
      </c>
      <c r="Z1570" s="23">
        <f>-IF(Z1537=sb_start+1,sb_phase1,IF(Z1537=sb_start+2,1-sb_phase1,0))*$D$1547</f>
        <v/>
      </c>
      <c r="AA1570" s="23">
        <f>-IF(AA1537=sb_start+1,sb_phase1,IF(AA1537=sb_start+2,1-sb_phase1,0))*$D$1547</f>
        <v/>
      </c>
      <c r="AB1570" s="23">
        <f>-IF(AB1537=sb_start+1,sb_phase1,IF(AB1537=sb_start+2,1-sb_phase1,0))*$D$1547</f>
        <v/>
      </c>
      <c r="AC1570" s="23">
        <f>-IF(AC1537=sb_start+1,sb_phase1,IF(AC1537=sb_start+2,1-sb_phase1,0))*$D$1547</f>
        <v/>
      </c>
      <c r="AD1570" s="23">
        <f>-IF(AD1537=sb_start+1,sb_phase1,IF(AD1537=sb_start+2,1-sb_phase1,0))*$D$1547</f>
        <v/>
      </c>
      <c r="AE1570" s="23">
        <f>-IF(AE1537=sb_start+1,sb_phase1,IF(AE1537=sb_start+2,1-sb_phase1,0))*$D$1547</f>
        <v/>
      </c>
      <c r="AF1570" s="23">
        <f>-IF(AF1537=sb_start+1,sb_phase1,IF(AF1537=sb_start+2,1-sb_phase1,0))*$D$1547</f>
        <v/>
      </c>
      <c r="AG1570" s="23">
        <f>-IF(AG1537=sb_start+1,sb_phase1,IF(AG1537=sb_start+2,1-sb_phase1,0))*$D$1547</f>
        <v/>
      </c>
      <c r="AH1570" s="23">
        <f>-IF(AH1537=sb_start+1,sb_phase1,IF(AH1537=sb_start+2,1-sb_phase1,0))*$D$1547</f>
        <v/>
      </c>
      <c r="AI1570" s="23">
        <f>-IF(AI1537=sb_start+1,sb_phase1,IF(AI1537=sb_start+2,1-sb_phase1,0))*$D$1547</f>
        <v/>
      </c>
      <c r="AJ1570" s="23">
        <f>-IF(AJ1537=sb_start+1,sb_phase1,IF(AJ1537=sb_start+2,1-sb_phase1,0))*$D$1547</f>
        <v/>
      </c>
    </row>
    <row r="1571">
      <c r="B1571" s="2" t="inlineStr">
        <is>
          <t>Debt discount factor (tenor years)</t>
        </is>
      </c>
      <c r="D1571" s="28">
        <f>IF(AND(D1538=1,D1539&lt;sb_tenor),1/(1+sb_kd)^(D1539+1),0)</f>
        <v/>
      </c>
      <c r="E1571" s="28">
        <f>IF(AND(E1538=1,E1539&lt;sb_tenor),1/(1+sb_kd)^(E1539+1),0)</f>
        <v/>
      </c>
      <c r="F1571" s="28">
        <f>IF(AND(F1538=1,F1539&lt;sb_tenor),1/(1+sb_kd)^(F1539+1),0)</f>
        <v/>
      </c>
      <c r="G1571" s="28">
        <f>IF(AND(G1538=1,G1539&lt;sb_tenor),1/(1+sb_kd)^(G1539+1),0)</f>
        <v/>
      </c>
      <c r="H1571" s="28">
        <f>IF(AND(H1538=1,H1539&lt;sb_tenor),1/(1+sb_kd)^(H1539+1),0)</f>
        <v/>
      </c>
      <c r="I1571" s="28">
        <f>IF(AND(I1538=1,I1539&lt;sb_tenor),1/(1+sb_kd)^(I1539+1),0)</f>
        <v/>
      </c>
      <c r="J1571" s="28">
        <f>IF(AND(J1538=1,J1539&lt;sb_tenor),1/(1+sb_kd)^(J1539+1),0)</f>
        <v/>
      </c>
      <c r="K1571" s="28">
        <f>IF(AND(K1538=1,K1539&lt;sb_tenor),1/(1+sb_kd)^(K1539+1),0)</f>
        <v/>
      </c>
      <c r="L1571" s="28">
        <f>IF(AND(L1538=1,L1539&lt;sb_tenor),1/(1+sb_kd)^(L1539+1),0)</f>
        <v/>
      </c>
      <c r="M1571" s="28">
        <f>IF(AND(M1538=1,M1539&lt;sb_tenor),1/(1+sb_kd)^(M1539+1),0)</f>
        <v/>
      </c>
      <c r="N1571" s="28">
        <f>IF(AND(N1538=1,N1539&lt;sb_tenor),1/(1+sb_kd)^(N1539+1),0)</f>
        <v/>
      </c>
      <c r="O1571" s="28">
        <f>IF(AND(O1538=1,O1539&lt;sb_tenor),1/(1+sb_kd)^(O1539+1),0)</f>
        <v/>
      </c>
      <c r="P1571" s="28">
        <f>IF(AND(P1538=1,P1539&lt;sb_tenor),1/(1+sb_kd)^(P1539+1),0)</f>
        <v/>
      </c>
      <c r="Q1571" s="28">
        <f>IF(AND(Q1538=1,Q1539&lt;sb_tenor),1/(1+sb_kd)^(Q1539+1),0)</f>
        <v/>
      </c>
      <c r="R1571" s="28">
        <f>IF(AND(R1538=1,R1539&lt;sb_tenor),1/(1+sb_kd)^(R1539+1),0)</f>
        <v/>
      </c>
      <c r="S1571" s="28">
        <f>IF(AND(S1538=1,S1539&lt;sb_tenor),1/(1+sb_kd)^(S1539+1),0)</f>
        <v/>
      </c>
      <c r="T1571" s="28">
        <f>IF(AND(T1538=1,T1539&lt;sb_tenor),1/(1+sb_kd)^(T1539+1),0)</f>
        <v/>
      </c>
      <c r="U1571" s="28">
        <f>IF(AND(U1538=1,U1539&lt;sb_tenor),1/(1+sb_kd)^(U1539+1),0)</f>
        <v/>
      </c>
      <c r="V1571" s="28">
        <f>IF(AND(V1538=1,V1539&lt;sb_tenor),1/(1+sb_kd)^(V1539+1),0)</f>
        <v/>
      </c>
      <c r="W1571" s="28">
        <f>IF(AND(W1538=1,W1539&lt;sb_tenor),1/(1+sb_kd)^(W1539+1),0)</f>
        <v/>
      </c>
      <c r="X1571" s="28">
        <f>IF(AND(X1538=1,X1539&lt;sb_tenor),1/(1+sb_kd)^(X1539+1),0)</f>
        <v/>
      </c>
      <c r="Y1571" s="28">
        <f>IF(AND(Y1538=1,Y1539&lt;sb_tenor),1/(1+sb_kd)^(Y1539+1),0)</f>
        <v/>
      </c>
      <c r="Z1571" s="28">
        <f>IF(AND(Z1538=1,Z1539&lt;sb_tenor),1/(1+sb_kd)^(Z1539+1),0)</f>
        <v/>
      </c>
      <c r="AA1571" s="28">
        <f>IF(AND(AA1538=1,AA1539&lt;sb_tenor),1/(1+sb_kd)^(AA1539+1),0)</f>
        <v/>
      </c>
      <c r="AB1571" s="28">
        <f>IF(AND(AB1538=1,AB1539&lt;sb_tenor),1/(1+sb_kd)^(AB1539+1),0)</f>
        <v/>
      </c>
      <c r="AC1571" s="28">
        <f>IF(AND(AC1538=1,AC1539&lt;sb_tenor),1/(1+sb_kd)^(AC1539+1),0)</f>
        <v/>
      </c>
      <c r="AD1571" s="28">
        <f>IF(AND(AD1538=1,AD1539&lt;sb_tenor),1/(1+sb_kd)^(AD1539+1),0)</f>
        <v/>
      </c>
      <c r="AE1571" s="28">
        <f>IF(AND(AE1538=1,AE1539&lt;sb_tenor),1/(1+sb_kd)^(AE1539+1),0)</f>
        <v/>
      </c>
      <c r="AF1571" s="28">
        <f>IF(AND(AF1538=1,AF1539&lt;sb_tenor),1/(1+sb_kd)^(AF1539+1),0)</f>
        <v/>
      </c>
      <c r="AG1571" s="28">
        <f>IF(AND(AG1538=1,AG1539&lt;sb_tenor),1/(1+sb_kd)^(AG1539+1),0)</f>
        <v/>
      </c>
      <c r="AH1571" s="28">
        <f>IF(AND(AH1538=1,AH1539&lt;sb_tenor),1/(1+sb_kd)^(AH1539+1),0)</f>
        <v/>
      </c>
      <c r="AI1571" s="28">
        <f>IF(AND(AI1538=1,AI1539&lt;sb_tenor),1/(1+sb_kd)^(AI1539+1),0)</f>
        <v/>
      </c>
      <c r="AJ1571" s="28">
        <f>IF(AND(AJ1538=1,AJ1539&lt;sb_tenor),1/(1+sb_kd)^(AJ1539+1),0)</f>
        <v/>
      </c>
    </row>
    <row r="1572">
      <c r="B1572" s="2" t="inlineStr">
        <is>
          <t>Debt capacity at the sizing cover (PV of CFADS / cover)</t>
        </is>
      </c>
      <c r="C1572" s="5" t="inlineStr">
        <is>
          <t>$ million</t>
        </is>
      </c>
      <c r="D1572" s="23">
        <f>SUMPRODUCT($D$1567:AJ$1567,$D$1571:AJ$1571)/sb_dscr</f>
        <v/>
      </c>
    </row>
    <row r="1573">
      <c r="B1573" s="2" t="inlineStr">
        <is>
          <t>Senior debt (lower of cover sizing and gearing cap)</t>
        </is>
      </c>
      <c r="C1573" s="5" t="inlineStr">
        <is>
          <t>$ million</t>
        </is>
      </c>
      <c r="D1573" s="23">
        <f>MIN($D$1572,sb_gear*$D$1547)</f>
        <v/>
      </c>
    </row>
    <row r="1574">
      <c r="B1574" s="2" t="inlineStr">
        <is>
          <t>Gearing</t>
        </is>
      </c>
      <c r="C1574" s="5" t="inlineStr">
        <is>
          <t>share</t>
        </is>
      </c>
      <c r="D1574" s="20">
        <f>$D$1573/$D$1547</f>
        <v/>
      </c>
    </row>
    <row r="1575">
      <c r="B1575" s="2" t="inlineStr">
        <is>
          <t>Debt service (sculpted)</t>
        </is>
      </c>
      <c r="C1575" s="5" t="inlineStr">
        <is>
          <t>$ million</t>
        </is>
      </c>
      <c r="D1575" s="23">
        <f>IF(D1571&gt;0,D1567/sb_dscr*$D$1573/$D$1572,0)</f>
        <v/>
      </c>
      <c r="E1575" s="23">
        <f>IF(E1571&gt;0,E1567/sb_dscr*$D$1573/$D$1572,0)</f>
        <v/>
      </c>
      <c r="F1575" s="23">
        <f>IF(F1571&gt;0,F1567/sb_dscr*$D$1573/$D$1572,0)</f>
        <v/>
      </c>
      <c r="G1575" s="23">
        <f>IF(G1571&gt;0,G1567/sb_dscr*$D$1573/$D$1572,0)</f>
        <v/>
      </c>
      <c r="H1575" s="23">
        <f>IF(H1571&gt;0,H1567/sb_dscr*$D$1573/$D$1572,0)</f>
        <v/>
      </c>
      <c r="I1575" s="23">
        <f>IF(I1571&gt;0,I1567/sb_dscr*$D$1573/$D$1572,0)</f>
        <v/>
      </c>
      <c r="J1575" s="23">
        <f>IF(J1571&gt;0,J1567/sb_dscr*$D$1573/$D$1572,0)</f>
        <v/>
      </c>
      <c r="K1575" s="23">
        <f>IF(K1571&gt;0,K1567/sb_dscr*$D$1573/$D$1572,0)</f>
        <v/>
      </c>
      <c r="L1575" s="23">
        <f>IF(L1571&gt;0,L1567/sb_dscr*$D$1573/$D$1572,0)</f>
        <v/>
      </c>
      <c r="M1575" s="23">
        <f>IF(M1571&gt;0,M1567/sb_dscr*$D$1573/$D$1572,0)</f>
        <v/>
      </c>
      <c r="N1575" s="23">
        <f>IF(N1571&gt;0,N1567/sb_dscr*$D$1573/$D$1572,0)</f>
        <v/>
      </c>
      <c r="O1575" s="23">
        <f>IF(O1571&gt;0,O1567/sb_dscr*$D$1573/$D$1572,0)</f>
        <v/>
      </c>
      <c r="P1575" s="23">
        <f>IF(P1571&gt;0,P1567/sb_dscr*$D$1573/$D$1572,0)</f>
        <v/>
      </c>
      <c r="Q1575" s="23">
        <f>IF(Q1571&gt;0,Q1567/sb_dscr*$D$1573/$D$1572,0)</f>
        <v/>
      </c>
      <c r="R1575" s="23">
        <f>IF(R1571&gt;0,R1567/sb_dscr*$D$1573/$D$1572,0)</f>
        <v/>
      </c>
      <c r="S1575" s="23">
        <f>IF(S1571&gt;0,S1567/sb_dscr*$D$1573/$D$1572,0)</f>
        <v/>
      </c>
      <c r="T1575" s="23">
        <f>IF(T1571&gt;0,T1567/sb_dscr*$D$1573/$D$1572,0)</f>
        <v/>
      </c>
      <c r="U1575" s="23">
        <f>IF(U1571&gt;0,U1567/sb_dscr*$D$1573/$D$1572,0)</f>
        <v/>
      </c>
      <c r="V1575" s="23">
        <f>IF(V1571&gt;0,V1567/sb_dscr*$D$1573/$D$1572,0)</f>
        <v/>
      </c>
      <c r="W1575" s="23">
        <f>IF(W1571&gt;0,W1567/sb_dscr*$D$1573/$D$1572,0)</f>
        <v/>
      </c>
      <c r="X1575" s="23">
        <f>IF(X1571&gt;0,X1567/sb_dscr*$D$1573/$D$1572,0)</f>
        <v/>
      </c>
      <c r="Y1575" s="23">
        <f>IF(Y1571&gt;0,Y1567/sb_dscr*$D$1573/$D$1572,0)</f>
        <v/>
      </c>
      <c r="Z1575" s="23">
        <f>IF(Z1571&gt;0,Z1567/sb_dscr*$D$1573/$D$1572,0)</f>
        <v/>
      </c>
      <c r="AA1575" s="23">
        <f>IF(AA1571&gt;0,AA1567/sb_dscr*$D$1573/$D$1572,0)</f>
        <v/>
      </c>
      <c r="AB1575" s="23">
        <f>IF(AB1571&gt;0,AB1567/sb_dscr*$D$1573/$D$1572,0)</f>
        <v/>
      </c>
      <c r="AC1575" s="23">
        <f>IF(AC1571&gt;0,AC1567/sb_dscr*$D$1573/$D$1572,0)</f>
        <v/>
      </c>
      <c r="AD1575" s="23">
        <f>IF(AD1571&gt;0,AD1567/sb_dscr*$D$1573/$D$1572,0)</f>
        <v/>
      </c>
      <c r="AE1575" s="23">
        <f>IF(AE1571&gt;0,AE1567/sb_dscr*$D$1573/$D$1572,0)</f>
        <v/>
      </c>
      <c r="AF1575" s="23">
        <f>IF(AF1571&gt;0,AF1567/sb_dscr*$D$1573/$D$1572,0)</f>
        <v/>
      </c>
      <c r="AG1575" s="23">
        <f>IF(AG1571&gt;0,AG1567/sb_dscr*$D$1573/$D$1572,0)</f>
        <v/>
      </c>
      <c r="AH1575" s="23">
        <f>IF(AH1571&gt;0,AH1567/sb_dscr*$D$1573/$D$1572,0)</f>
        <v/>
      </c>
      <c r="AI1575" s="23">
        <f>IF(AI1571&gt;0,AI1567/sb_dscr*$D$1573/$D$1572,0)</f>
        <v/>
      </c>
      <c r="AJ1575" s="23">
        <f>IF(AJ1571&gt;0,AJ1567/sb_dscr*$D$1573/$D$1572,0)</f>
        <v/>
      </c>
    </row>
    <row r="1576">
      <c r="B1576" s="2" t="inlineStr">
        <is>
          <t>Debt service cover</t>
        </is>
      </c>
      <c r="C1576" s="5" t="inlineStr">
        <is>
          <t>x</t>
        </is>
      </c>
      <c r="D1576" s="30">
        <f>IF(D1575&gt;0,D1567/D1575,"")</f>
        <v/>
      </c>
      <c r="E1576" s="30">
        <f>IF(E1575&gt;0,E1567/E1575,"")</f>
        <v/>
      </c>
      <c r="F1576" s="30">
        <f>IF(F1575&gt;0,F1567/F1575,"")</f>
        <v/>
      </c>
      <c r="G1576" s="30">
        <f>IF(G1575&gt;0,G1567/G1575,"")</f>
        <v/>
      </c>
      <c r="H1576" s="30">
        <f>IF(H1575&gt;0,H1567/H1575,"")</f>
        <v/>
      </c>
      <c r="I1576" s="30">
        <f>IF(I1575&gt;0,I1567/I1575,"")</f>
        <v/>
      </c>
      <c r="J1576" s="30">
        <f>IF(J1575&gt;0,J1567/J1575,"")</f>
        <v/>
      </c>
      <c r="K1576" s="30">
        <f>IF(K1575&gt;0,K1567/K1575,"")</f>
        <v/>
      </c>
      <c r="L1576" s="30">
        <f>IF(L1575&gt;0,L1567/L1575,"")</f>
        <v/>
      </c>
      <c r="M1576" s="30">
        <f>IF(M1575&gt;0,M1567/M1575,"")</f>
        <v/>
      </c>
      <c r="N1576" s="30">
        <f>IF(N1575&gt;0,N1567/N1575,"")</f>
        <v/>
      </c>
      <c r="O1576" s="30">
        <f>IF(O1575&gt;0,O1567/O1575,"")</f>
        <v/>
      </c>
      <c r="P1576" s="30">
        <f>IF(P1575&gt;0,P1567/P1575,"")</f>
        <v/>
      </c>
      <c r="Q1576" s="30">
        <f>IF(Q1575&gt;0,Q1567/Q1575,"")</f>
        <v/>
      </c>
      <c r="R1576" s="30">
        <f>IF(R1575&gt;0,R1567/R1575,"")</f>
        <v/>
      </c>
      <c r="S1576" s="30">
        <f>IF(S1575&gt;0,S1567/S1575,"")</f>
        <v/>
      </c>
      <c r="T1576" s="30">
        <f>IF(T1575&gt;0,T1567/T1575,"")</f>
        <v/>
      </c>
      <c r="U1576" s="30">
        <f>IF(U1575&gt;0,U1567/U1575,"")</f>
        <v/>
      </c>
      <c r="V1576" s="30">
        <f>IF(V1575&gt;0,V1567/V1575,"")</f>
        <v/>
      </c>
      <c r="W1576" s="30">
        <f>IF(W1575&gt;0,W1567/W1575,"")</f>
        <v/>
      </c>
      <c r="X1576" s="30">
        <f>IF(X1575&gt;0,X1567/X1575,"")</f>
        <v/>
      </c>
      <c r="Y1576" s="30">
        <f>IF(Y1575&gt;0,Y1567/Y1575,"")</f>
        <v/>
      </c>
      <c r="Z1576" s="30">
        <f>IF(Z1575&gt;0,Z1567/Z1575,"")</f>
        <v/>
      </c>
      <c r="AA1576" s="30">
        <f>IF(AA1575&gt;0,AA1567/AA1575,"")</f>
        <v/>
      </c>
      <c r="AB1576" s="30">
        <f>IF(AB1575&gt;0,AB1567/AB1575,"")</f>
        <v/>
      </c>
      <c r="AC1576" s="30">
        <f>IF(AC1575&gt;0,AC1567/AC1575,"")</f>
        <v/>
      </c>
      <c r="AD1576" s="30">
        <f>IF(AD1575&gt;0,AD1567/AD1575,"")</f>
        <v/>
      </c>
      <c r="AE1576" s="30">
        <f>IF(AE1575&gt;0,AE1567/AE1575,"")</f>
        <v/>
      </c>
      <c r="AF1576" s="30">
        <f>IF(AF1575&gt;0,AF1567/AF1575,"")</f>
        <v/>
      </c>
      <c r="AG1576" s="30">
        <f>IF(AG1575&gt;0,AG1567/AG1575,"")</f>
        <v/>
      </c>
      <c r="AH1576" s="30">
        <f>IF(AH1575&gt;0,AH1567/AH1575,"")</f>
        <v/>
      </c>
      <c r="AI1576" s="30">
        <f>IF(AI1575&gt;0,AI1567/AI1575,"")</f>
        <v/>
      </c>
      <c r="AJ1576" s="30">
        <f>IF(AJ1575&gt;0,AJ1567/AJ1575,"")</f>
        <v/>
      </c>
    </row>
    <row r="1577">
      <c r="B1577" s="3" t="inlineStr">
        <is>
          <t>Project flows (unlevered, pre-tax)</t>
        </is>
      </c>
      <c r="C1577" s="5" t="inlineStr">
        <is>
          <t>$ million</t>
        </is>
      </c>
      <c r="D1577" s="23">
        <f>D1570+D1567</f>
        <v/>
      </c>
      <c r="E1577" s="23">
        <f>E1570+E1567</f>
        <v/>
      </c>
      <c r="F1577" s="23">
        <f>F1570+F1567</f>
        <v/>
      </c>
      <c r="G1577" s="23">
        <f>G1570+G1567</f>
        <v/>
      </c>
      <c r="H1577" s="23">
        <f>H1570+H1567</f>
        <v/>
      </c>
      <c r="I1577" s="23">
        <f>I1570+I1567</f>
        <v/>
      </c>
      <c r="J1577" s="23">
        <f>J1570+J1567</f>
        <v/>
      </c>
      <c r="K1577" s="23">
        <f>K1570+K1567</f>
        <v/>
      </c>
      <c r="L1577" s="23">
        <f>L1570+L1567</f>
        <v/>
      </c>
      <c r="M1577" s="23">
        <f>M1570+M1567</f>
        <v/>
      </c>
      <c r="N1577" s="23">
        <f>N1570+N1567</f>
        <v/>
      </c>
      <c r="O1577" s="23">
        <f>O1570+O1567</f>
        <v/>
      </c>
      <c r="P1577" s="23">
        <f>P1570+P1567</f>
        <v/>
      </c>
      <c r="Q1577" s="23">
        <f>Q1570+Q1567</f>
        <v/>
      </c>
      <c r="R1577" s="23">
        <f>R1570+R1567</f>
        <v/>
      </c>
      <c r="S1577" s="23">
        <f>S1570+S1567</f>
        <v/>
      </c>
      <c r="T1577" s="23">
        <f>T1570+T1567</f>
        <v/>
      </c>
      <c r="U1577" s="23">
        <f>U1570+U1567</f>
        <v/>
      </c>
      <c r="V1577" s="23">
        <f>V1570+V1567</f>
        <v/>
      </c>
      <c r="W1577" s="23">
        <f>W1570+W1567</f>
        <v/>
      </c>
      <c r="X1577" s="23">
        <f>X1570+X1567</f>
        <v/>
      </c>
      <c r="Y1577" s="23">
        <f>Y1570+Y1567</f>
        <v/>
      </c>
      <c r="Z1577" s="23">
        <f>Z1570+Z1567</f>
        <v/>
      </c>
      <c r="AA1577" s="23">
        <f>AA1570+AA1567</f>
        <v/>
      </c>
      <c r="AB1577" s="23">
        <f>AB1570+AB1567</f>
        <v/>
      </c>
      <c r="AC1577" s="23">
        <f>AC1570+AC1567</f>
        <v/>
      </c>
      <c r="AD1577" s="23">
        <f>AD1570+AD1567</f>
        <v/>
      </c>
      <c r="AE1577" s="23">
        <f>AE1570+AE1567</f>
        <v/>
      </c>
      <c r="AF1577" s="23">
        <f>AF1570+AF1567</f>
        <v/>
      </c>
      <c r="AG1577" s="23">
        <f>AG1570+AG1567</f>
        <v/>
      </c>
      <c r="AH1577" s="23">
        <f>AH1570+AH1567</f>
        <v/>
      </c>
      <c r="AI1577" s="23">
        <f>AI1570+AI1567</f>
        <v/>
      </c>
      <c r="AJ1577" s="23">
        <f>AJ1570+AJ1567</f>
        <v/>
      </c>
    </row>
    <row r="1578">
      <c r="B1578" s="3" t="inlineStr">
        <is>
          <t>Equity flows (pre-tax)</t>
        </is>
      </c>
      <c r="C1578" s="5" t="inlineStr">
        <is>
          <t>$ million</t>
        </is>
      </c>
      <c r="D1578" s="23">
        <f>D1570*(1-$D$1574)+D1567-D1575</f>
        <v/>
      </c>
      <c r="E1578" s="23">
        <f>E1570*(1-$D$1574)+E1567-E1575</f>
        <v/>
      </c>
      <c r="F1578" s="23">
        <f>F1570*(1-$D$1574)+F1567-F1575</f>
        <v/>
      </c>
      <c r="G1578" s="23">
        <f>G1570*(1-$D$1574)+G1567-G1575</f>
        <v/>
      </c>
      <c r="H1578" s="23">
        <f>H1570*(1-$D$1574)+H1567-H1575</f>
        <v/>
      </c>
      <c r="I1578" s="23">
        <f>I1570*(1-$D$1574)+I1567-I1575</f>
        <v/>
      </c>
      <c r="J1578" s="23">
        <f>J1570*(1-$D$1574)+J1567-J1575</f>
        <v/>
      </c>
      <c r="K1578" s="23">
        <f>K1570*(1-$D$1574)+K1567-K1575</f>
        <v/>
      </c>
      <c r="L1578" s="23">
        <f>L1570*(1-$D$1574)+L1567-L1575</f>
        <v/>
      </c>
      <c r="M1578" s="23">
        <f>M1570*(1-$D$1574)+M1567-M1575</f>
        <v/>
      </c>
      <c r="N1578" s="23">
        <f>N1570*(1-$D$1574)+N1567-N1575</f>
        <v/>
      </c>
      <c r="O1578" s="23">
        <f>O1570*(1-$D$1574)+O1567-O1575</f>
        <v/>
      </c>
      <c r="P1578" s="23">
        <f>P1570*(1-$D$1574)+P1567-P1575</f>
        <v/>
      </c>
      <c r="Q1578" s="23">
        <f>Q1570*(1-$D$1574)+Q1567-Q1575</f>
        <v/>
      </c>
      <c r="R1578" s="23">
        <f>R1570*(1-$D$1574)+R1567-R1575</f>
        <v/>
      </c>
      <c r="S1578" s="23">
        <f>S1570*(1-$D$1574)+S1567-S1575</f>
        <v/>
      </c>
      <c r="T1578" s="23">
        <f>T1570*(1-$D$1574)+T1567-T1575</f>
        <v/>
      </c>
      <c r="U1578" s="23">
        <f>U1570*(1-$D$1574)+U1567-U1575</f>
        <v/>
      </c>
      <c r="V1578" s="23">
        <f>V1570*(1-$D$1574)+V1567-V1575</f>
        <v/>
      </c>
      <c r="W1578" s="23">
        <f>W1570*(1-$D$1574)+W1567-W1575</f>
        <v/>
      </c>
      <c r="X1578" s="23">
        <f>X1570*(1-$D$1574)+X1567-X1575</f>
        <v/>
      </c>
      <c r="Y1578" s="23">
        <f>Y1570*(1-$D$1574)+Y1567-Y1575</f>
        <v/>
      </c>
      <c r="Z1578" s="23">
        <f>Z1570*(1-$D$1574)+Z1567-Z1575</f>
        <v/>
      </c>
      <c r="AA1578" s="23">
        <f>AA1570*(1-$D$1574)+AA1567-AA1575</f>
        <v/>
      </c>
      <c r="AB1578" s="23">
        <f>AB1570*(1-$D$1574)+AB1567-AB1575</f>
        <v/>
      </c>
      <c r="AC1578" s="23">
        <f>AC1570*(1-$D$1574)+AC1567-AC1575</f>
        <v/>
      </c>
      <c r="AD1578" s="23">
        <f>AD1570*(1-$D$1574)+AD1567-AD1575</f>
        <v/>
      </c>
      <c r="AE1578" s="23">
        <f>AE1570*(1-$D$1574)+AE1567-AE1575</f>
        <v/>
      </c>
      <c r="AF1578" s="23">
        <f>AF1570*(1-$D$1574)+AF1567-AF1575</f>
        <v/>
      </c>
      <c r="AG1578" s="23">
        <f>AG1570*(1-$D$1574)+AG1567-AG1575</f>
        <v/>
      </c>
      <c r="AH1578" s="23">
        <f>AH1570*(1-$D$1574)+AH1567-AH1575</f>
        <v/>
      </c>
      <c r="AI1578" s="23">
        <f>AI1570*(1-$D$1574)+AI1567-AI1575</f>
        <v/>
      </c>
      <c r="AJ1578" s="23">
        <f>AJ1570*(1-$D$1574)+AJ1567-AJ1575</f>
        <v/>
      </c>
    </row>
    <row r="1579">
      <c r="B1579" s="2" t="inlineStr">
        <is>
          <t>Project IRR</t>
        </is>
      </c>
      <c r="C1579" s="5" t="inlineStr">
        <is>
          <t>rate</t>
        </is>
      </c>
      <c r="D1579" s="27">
        <f>IRR($D$1577:AJ$1577,0.07)</f>
        <v/>
      </c>
    </row>
    <row r="1580">
      <c r="B1580" s="2" t="inlineStr">
        <is>
          <t>Equity IRR</t>
        </is>
      </c>
      <c r="C1580" s="5" t="inlineStr">
        <is>
          <t>rate</t>
        </is>
      </c>
      <c r="D1580" s="27">
        <f>IRR($D$1578:AJ$1578,0.1)</f>
        <v/>
      </c>
    </row>
    <row r="1581">
      <c r="B1581" s="2" t="inlineStr">
        <is>
          <t>Equity invested</t>
        </is>
      </c>
      <c r="C1581" s="5" t="inlineStr">
        <is>
          <t>$ million</t>
        </is>
      </c>
      <c r="D1581" s="23">
        <f>-SUMPRODUCT($D$1570:AJ$1570)*(1-$D$1574)</f>
        <v/>
      </c>
    </row>
    <row r="1584">
      <c r="B1584" s="6" t="inlineStr">
        <is>
          <t>C3: Availability 92 percent (Sorrel Bay, pre-tax, at the bid capacity charge)</t>
        </is>
      </c>
      <c r="C1584" s="7" t="n"/>
      <c r="D1584" s="7" t="n"/>
      <c r="E1584" s="7" t="n"/>
      <c r="F1584" s="7" t="n"/>
      <c r="G1584" s="7" t="n"/>
      <c r="H1584" s="7" t="n"/>
      <c r="I1584" s="7" t="n"/>
      <c r="J1584" s="7" t="n"/>
      <c r="K1584" s="7" t="n"/>
      <c r="L1584" s="7" t="n"/>
      <c r="M1584" s="7" t="n"/>
      <c r="N1584" s="7" t="n"/>
      <c r="O1584" s="7" t="n"/>
      <c r="P1584" s="7" t="n"/>
      <c r="Q1584" s="7" t="n"/>
      <c r="R1584" s="7" t="n"/>
      <c r="S1584" s="7" t="n"/>
      <c r="T1584" s="7" t="n"/>
      <c r="U1584" s="7" t="n"/>
      <c r="V1584" s="7" t="n"/>
      <c r="W1584" s="7" t="n"/>
      <c r="X1584" s="7" t="n"/>
      <c r="Y1584" s="7" t="n"/>
      <c r="Z1584" s="7" t="n"/>
      <c r="AA1584" s="7" t="n"/>
      <c r="AB1584" s="7" t="n"/>
      <c r="AC1584" s="7" t="n"/>
      <c r="AD1584" s="7" t="n"/>
      <c r="AE1584" s="7" t="n"/>
      <c r="AF1584" s="7" t="n"/>
      <c r="AG1584" s="7" t="n"/>
      <c r="AH1584" s="7" t="n"/>
      <c r="AI1584" s="7" t="n"/>
      <c r="AJ1584" s="7" t="n"/>
    </row>
    <row r="1585">
      <c r="B1585" s="2" t="inlineStr">
        <is>
          <t>Year (31 December)</t>
        </is>
      </c>
      <c r="D1585" s="26">
        <f>sb_start</f>
        <v/>
      </c>
      <c r="E1585" s="26">
        <f>D1585+1</f>
        <v/>
      </c>
      <c r="F1585" s="26">
        <f>E1585+1</f>
        <v/>
      </c>
      <c r="G1585" s="26">
        <f>F1585+1</f>
        <v/>
      </c>
      <c r="H1585" s="26">
        <f>G1585+1</f>
        <v/>
      </c>
      <c r="I1585" s="26">
        <f>H1585+1</f>
        <v/>
      </c>
      <c r="J1585" s="26">
        <f>I1585+1</f>
        <v/>
      </c>
      <c r="K1585" s="26">
        <f>J1585+1</f>
        <v/>
      </c>
      <c r="L1585" s="26">
        <f>K1585+1</f>
        <v/>
      </c>
      <c r="M1585" s="26">
        <f>L1585+1</f>
        <v/>
      </c>
      <c r="N1585" s="26">
        <f>M1585+1</f>
        <v/>
      </c>
      <c r="O1585" s="26">
        <f>N1585+1</f>
        <v/>
      </c>
      <c r="P1585" s="26">
        <f>O1585+1</f>
        <v/>
      </c>
      <c r="Q1585" s="26">
        <f>P1585+1</f>
        <v/>
      </c>
      <c r="R1585" s="26">
        <f>Q1585+1</f>
        <v/>
      </c>
      <c r="S1585" s="26">
        <f>R1585+1</f>
        <v/>
      </c>
      <c r="T1585" s="26">
        <f>S1585+1</f>
        <v/>
      </c>
      <c r="U1585" s="26">
        <f>T1585+1</f>
        <v/>
      </c>
      <c r="V1585" s="26">
        <f>U1585+1</f>
        <v/>
      </c>
      <c r="W1585" s="26">
        <f>V1585+1</f>
        <v/>
      </c>
      <c r="X1585" s="26">
        <f>W1585+1</f>
        <v/>
      </c>
      <c r="Y1585" s="26">
        <f>X1585+1</f>
        <v/>
      </c>
      <c r="Z1585" s="26">
        <f>Y1585+1</f>
        <v/>
      </c>
      <c r="AA1585" s="26">
        <f>Z1585+1</f>
        <v/>
      </c>
      <c r="AB1585" s="26">
        <f>AA1585+1</f>
        <v/>
      </c>
      <c r="AC1585" s="26">
        <f>AB1585+1</f>
        <v/>
      </c>
      <c r="AD1585" s="26">
        <f>AC1585+1</f>
        <v/>
      </c>
      <c r="AE1585" s="26">
        <f>AD1585+1</f>
        <v/>
      </c>
      <c r="AF1585" s="26">
        <f>AE1585+1</f>
        <v/>
      </c>
      <c r="AG1585" s="26">
        <f>AF1585+1</f>
        <v/>
      </c>
      <c r="AH1585" s="26">
        <f>AG1585+1</f>
        <v/>
      </c>
      <c r="AI1585" s="26">
        <f>AH1585+1</f>
        <v/>
      </c>
      <c r="AJ1585" s="26">
        <f>AI1585+1</f>
        <v/>
      </c>
    </row>
    <row r="1586">
      <c r="B1586" s="2" t="inlineStr">
        <is>
          <t>Operating year (1 = yes)</t>
        </is>
      </c>
      <c r="D1586" s="26">
        <f>IF(AND(D1585&gt;=sb_cod,D1585&lt;sb_cod+sb_term),1,0)</f>
        <v/>
      </c>
      <c r="E1586" s="26">
        <f>IF(AND(E1585&gt;=sb_cod,E1585&lt;sb_cod+sb_term),1,0)</f>
        <v/>
      </c>
      <c r="F1586" s="26">
        <f>IF(AND(F1585&gt;=sb_cod,F1585&lt;sb_cod+sb_term),1,0)</f>
        <v/>
      </c>
      <c r="G1586" s="26">
        <f>IF(AND(G1585&gt;=sb_cod,G1585&lt;sb_cod+sb_term),1,0)</f>
        <v/>
      </c>
      <c r="H1586" s="26">
        <f>IF(AND(H1585&gt;=sb_cod,H1585&lt;sb_cod+sb_term),1,0)</f>
        <v/>
      </c>
      <c r="I1586" s="26">
        <f>IF(AND(I1585&gt;=sb_cod,I1585&lt;sb_cod+sb_term),1,0)</f>
        <v/>
      </c>
      <c r="J1586" s="26">
        <f>IF(AND(J1585&gt;=sb_cod,J1585&lt;sb_cod+sb_term),1,0)</f>
        <v/>
      </c>
      <c r="K1586" s="26">
        <f>IF(AND(K1585&gt;=sb_cod,K1585&lt;sb_cod+sb_term),1,0)</f>
        <v/>
      </c>
      <c r="L1586" s="26">
        <f>IF(AND(L1585&gt;=sb_cod,L1585&lt;sb_cod+sb_term),1,0)</f>
        <v/>
      </c>
      <c r="M1586" s="26">
        <f>IF(AND(M1585&gt;=sb_cod,M1585&lt;sb_cod+sb_term),1,0)</f>
        <v/>
      </c>
      <c r="N1586" s="26">
        <f>IF(AND(N1585&gt;=sb_cod,N1585&lt;sb_cod+sb_term),1,0)</f>
        <v/>
      </c>
      <c r="O1586" s="26">
        <f>IF(AND(O1585&gt;=sb_cod,O1585&lt;sb_cod+sb_term),1,0)</f>
        <v/>
      </c>
      <c r="P1586" s="26">
        <f>IF(AND(P1585&gt;=sb_cod,P1585&lt;sb_cod+sb_term),1,0)</f>
        <v/>
      </c>
      <c r="Q1586" s="26">
        <f>IF(AND(Q1585&gt;=sb_cod,Q1585&lt;sb_cod+sb_term),1,0)</f>
        <v/>
      </c>
      <c r="R1586" s="26">
        <f>IF(AND(R1585&gt;=sb_cod,R1585&lt;sb_cod+sb_term),1,0)</f>
        <v/>
      </c>
      <c r="S1586" s="26">
        <f>IF(AND(S1585&gt;=sb_cod,S1585&lt;sb_cod+sb_term),1,0)</f>
        <v/>
      </c>
      <c r="T1586" s="26">
        <f>IF(AND(T1585&gt;=sb_cod,T1585&lt;sb_cod+sb_term),1,0)</f>
        <v/>
      </c>
      <c r="U1586" s="26">
        <f>IF(AND(U1585&gt;=sb_cod,U1585&lt;sb_cod+sb_term),1,0)</f>
        <v/>
      </c>
      <c r="V1586" s="26">
        <f>IF(AND(V1585&gt;=sb_cod,V1585&lt;sb_cod+sb_term),1,0)</f>
        <v/>
      </c>
      <c r="W1586" s="26">
        <f>IF(AND(W1585&gt;=sb_cod,W1585&lt;sb_cod+sb_term),1,0)</f>
        <v/>
      </c>
      <c r="X1586" s="26">
        <f>IF(AND(X1585&gt;=sb_cod,X1585&lt;sb_cod+sb_term),1,0)</f>
        <v/>
      </c>
      <c r="Y1586" s="26">
        <f>IF(AND(Y1585&gt;=sb_cod,Y1585&lt;sb_cod+sb_term),1,0)</f>
        <v/>
      </c>
      <c r="Z1586" s="26">
        <f>IF(AND(Z1585&gt;=sb_cod,Z1585&lt;sb_cod+sb_term),1,0)</f>
        <v/>
      </c>
      <c r="AA1586" s="26">
        <f>IF(AND(AA1585&gt;=sb_cod,AA1585&lt;sb_cod+sb_term),1,0)</f>
        <v/>
      </c>
      <c r="AB1586" s="26">
        <f>IF(AND(AB1585&gt;=sb_cod,AB1585&lt;sb_cod+sb_term),1,0)</f>
        <v/>
      </c>
      <c r="AC1586" s="26">
        <f>IF(AND(AC1585&gt;=sb_cod,AC1585&lt;sb_cod+sb_term),1,0)</f>
        <v/>
      </c>
      <c r="AD1586" s="26">
        <f>IF(AND(AD1585&gt;=sb_cod,AD1585&lt;sb_cod+sb_term),1,0)</f>
        <v/>
      </c>
      <c r="AE1586" s="26">
        <f>IF(AND(AE1585&gt;=sb_cod,AE1585&lt;sb_cod+sb_term),1,0)</f>
        <v/>
      </c>
      <c r="AF1586" s="26">
        <f>IF(AND(AF1585&gt;=sb_cod,AF1585&lt;sb_cod+sb_term),1,0)</f>
        <v/>
      </c>
      <c r="AG1586" s="26">
        <f>IF(AND(AG1585&gt;=sb_cod,AG1585&lt;sb_cod+sb_term),1,0)</f>
        <v/>
      </c>
      <c r="AH1586" s="26">
        <f>IF(AND(AH1585&gt;=sb_cod,AH1585&lt;sb_cod+sb_term),1,0)</f>
        <v/>
      </c>
      <c r="AI1586" s="26">
        <f>IF(AND(AI1585&gt;=sb_cod,AI1585&lt;sb_cod+sb_term),1,0)</f>
        <v/>
      </c>
      <c r="AJ1586" s="26">
        <f>IF(AND(AJ1585&gt;=sb_cod,AJ1585&lt;sb_cod+sb_term),1,0)</f>
        <v/>
      </c>
    </row>
    <row r="1587">
      <c r="B1587" s="2" t="inlineStr">
        <is>
          <t>Years since operation began</t>
        </is>
      </c>
      <c r="D1587" s="26">
        <f>D1585-sb_cod</f>
        <v/>
      </c>
      <c r="E1587" s="26">
        <f>E1585-sb_cod</f>
        <v/>
      </c>
      <c r="F1587" s="26">
        <f>F1585-sb_cod</f>
        <v/>
      </c>
      <c r="G1587" s="26">
        <f>G1585-sb_cod</f>
        <v/>
      </c>
      <c r="H1587" s="26">
        <f>H1585-sb_cod</f>
        <v/>
      </c>
      <c r="I1587" s="26">
        <f>I1585-sb_cod</f>
        <v/>
      </c>
      <c r="J1587" s="26">
        <f>J1585-sb_cod</f>
        <v/>
      </c>
      <c r="K1587" s="26">
        <f>K1585-sb_cod</f>
        <v/>
      </c>
      <c r="L1587" s="26">
        <f>L1585-sb_cod</f>
        <v/>
      </c>
      <c r="M1587" s="26">
        <f>M1585-sb_cod</f>
        <v/>
      </c>
      <c r="N1587" s="26">
        <f>N1585-sb_cod</f>
        <v/>
      </c>
      <c r="O1587" s="26">
        <f>O1585-sb_cod</f>
        <v/>
      </c>
      <c r="P1587" s="26">
        <f>P1585-sb_cod</f>
        <v/>
      </c>
      <c r="Q1587" s="26">
        <f>Q1585-sb_cod</f>
        <v/>
      </c>
      <c r="R1587" s="26">
        <f>R1585-sb_cod</f>
        <v/>
      </c>
      <c r="S1587" s="26">
        <f>S1585-sb_cod</f>
        <v/>
      </c>
      <c r="T1587" s="26">
        <f>T1585-sb_cod</f>
        <v/>
      </c>
      <c r="U1587" s="26">
        <f>U1585-sb_cod</f>
        <v/>
      </c>
      <c r="V1587" s="26">
        <f>V1585-sb_cod</f>
        <v/>
      </c>
      <c r="W1587" s="26">
        <f>W1585-sb_cod</f>
        <v/>
      </c>
      <c r="X1587" s="26">
        <f>X1585-sb_cod</f>
        <v/>
      </c>
      <c r="Y1587" s="26">
        <f>Y1585-sb_cod</f>
        <v/>
      </c>
      <c r="Z1587" s="26">
        <f>Z1585-sb_cod</f>
        <v/>
      </c>
      <c r="AA1587" s="26">
        <f>AA1585-sb_cod</f>
        <v/>
      </c>
      <c r="AB1587" s="26">
        <f>AB1585-sb_cod</f>
        <v/>
      </c>
      <c r="AC1587" s="26">
        <f>AC1585-sb_cod</f>
        <v/>
      </c>
      <c r="AD1587" s="26">
        <f>AD1585-sb_cod</f>
        <v/>
      </c>
      <c r="AE1587" s="26">
        <f>AE1585-sb_cod</f>
        <v/>
      </c>
      <c r="AF1587" s="26">
        <f>AF1585-sb_cod</f>
        <v/>
      </c>
      <c r="AG1587" s="26">
        <f>AG1585-sb_cod</f>
        <v/>
      </c>
      <c r="AH1587" s="26">
        <f>AH1585-sb_cod</f>
        <v/>
      </c>
      <c r="AI1587" s="26">
        <f>AI1585-sb_cod</f>
        <v/>
      </c>
      <c r="AJ1587" s="26">
        <f>AJ1585-sb_cod</f>
        <v/>
      </c>
    </row>
    <row r="1588">
      <c r="B1588" s="2" t="inlineStr">
        <is>
          <t>Indexation factor</t>
        </is>
      </c>
      <c r="D1588" s="28">
        <f>(1+sb_cpi)^D1587</f>
        <v/>
      </c>
      <c r="E1588" s="28">
        <f>(1+sb_cpi)^E1587</f>
        <v/>
      </c>
      <c r="F1588" s="28">
        <f>(1+sb_cpi)^F1587</f>
        <v/>
      </c>
      <c r="G1588" s="28">
        <f>(1+sb_cpi)^G1587</f>
        <v/>
      </c>
      <c r="H1588" s="28">
        <f>(1+sb_cpi)^H1587</f>
        <v/>
      </c>
      <c r="I1588" s="28">
        <f>(1+sb_cpi)^I1587</f>
        <v/>
      </c>
      <c r="J1588" s="28">
        <f>(1+sb_cpi)^J1587</f>
        <v/>
      </c>
      <c r="K1588" s="28">
        <f>(1+sb_cpi)^K1587</f>
        <v/>
      </c>
      <c r="L1588" s="28">
        <f>(1+sb_cpi)^L1587</f>
        <v/>
      </c>
      <c r="M1588" s="28">
        <f>(1+sb_cpi)^M1587</f>
        <v/>
      </c>
      <c r="N1588" s="28">
        <f>(1+sb_cpi)^N1587</f>
        <v/>
      </c>
      <c r="O1588" s="28">
        <f>(1+sb_cpi)^O1587</f>
        <v/>
      </c>
      <c r="P1588" s="28">
        <f>(1+sb_cpi)^P1587</f>
        <v/>
      </c>
      <c r="Q1588" s="28">
        <f>(1+sb_cpi)^Q1587</f>
        <v/>
      </c>
      <c r="R1588" s="28">
        <f>(1+sb_cpi)^R1587</f>
        <v/>
      </c>
      <c r="S1588" s="28">
        <f>(1+sb_cpi)^S1587</f>
        <v/>
      </c>
      <c r="T1588" s="28">
        <f>(1+sb_cpi)^T1587</f>
        <v/>
      </c>
      <c r="U1588" s="28">
        <f>(1+sb_cpi)^U1587</f>
        <v/>
      </c>
      <c r="V1588" s="28">
        <f>(1+sb_cpi)^V1587</f>
        <v/>
      </c>
      <c r="W1588" s="28">
        <f>(1+sb_cpi)^W1587</f>
        <v/>
      </c>
      <c r="X1588" s="28">
        <f>(1+sb_cpi)^X1587</f>
        <v/>
      </c>
      <c r="Y1588" s="28">
        <f>(1+sb_cpi)^Y1587</f>
        <v/>
      </c>
      <c r="Z1588" s="28">
        <f>(1+sb_cpi)^Z1587</f>
        <v/>
      </c>
      <c r="AA1588" s="28">
        <f>(1+sb_cpi)^AA1587</f>
        <v/>
      </c>
      <c r="AB1588" s="28">
        <f>(1+sb_cpi)^AB1587</f>
        <v/>
      </c>
      <c r="AC1588" s="28">
        <f>(1+sb_cpi)^AC1587</f>
        <v/>
      </c>
      <c r="AD1588" s="28">
        <f>(1+sb_cpi)^AD1587</f>
        <v/>
      </c>
      <c r="AE1588" s="28">
        <f>(1+sb_cpi)^AE1587</f>
        <v/>
      </c>
      <c r="AF1588" s="28">
        <f>(1+sb_cpi)^AF1587</f>
        <v/>
      </c>
      <c r="AG1588" s="28">
        <f>(1+sb_cpi)^AG1587</f>
        <v/>
      </c>
      <c r="AH1588" s="28">
        <f>(1+sb_cpi)^AH1587</f>
        <v/>
      </c>
      <c r="AI1588" s="28">
        <f>(1+sb_cpi)^AI1587</f>
        <v/>
      </c>
      <c r="AJ1588" s="28">
        <f>(1+sb_cpi)^AJ1587</f>
        <v/>
      </c>
    </row>
    <row r="1590">
      <c r="B1590" s="6" t="inlineStr">
        <is>
          <t>Plant scalars</t>
        </is>
      </c>
      <c r="C1590" s="7" t="n"/>
      <c r="D1590" s="7" t="n"/>
      <c r="E1590" s="7" t="n"/>
      <c r="F1590" s="7" t="n"/>
      <c r="G1590" s="7" t="n"/>
      <c r="H1590" s="7" t="n"/>
      <c r="I1590" s="7" t="n"/>
      <c r="J1590" s="7" t="n"/>
      <c r="K1590" s="7" t="n"/>
      <c r="L1590" s="7" t="n"/>
      <c r="M1590" s="7" t="n"/>
      <c r="N1590" s="7" t="n"/>
      <c r="O1590" s="7" t="n"/>
      <c r="P1590" s="7" t="n"/>
      <c r="Q1590" s="7" t="n"/>
      <c r="R1590" s="7" t="n"/>
      <c r="S1590" s="7" t="n"/>
      <c r="T1590" s="7" t="n"/>
      <c r="U1590" s="7" t="n"/>
      <c r="V1590" s="7" t="n"/>
      <c r="W1590" s="7" t="n"/>
      <c r="X1590" s="7" t="n"/>
      <c r="Y1590" s="7" t="n"/>
      <c r="Z1590" s="7" t="n"/>
      <c r="AA1590" s="7" t="n"/>
      <c r="AB1590" s="7" t="n"/>
      <c r="AC1590" s="7" t="n"/>
      <c r="AD1590" s="7" t="n"/>
      <c r="AE1590" s="7" t="n"/>
      <c r="AF1590" s="7" t="n"/>
      <c r="AG1590" s="7" t="n"/>
      <c r="AH1590" s="7" t="n"/>
      <c r="AI1590" s="7" t="n"/>
      <c r="AJ1590" s="7" t="n"/>
    </row>
    <row r="1591">
      <c r="B1591" s="2" t="inlineStr">
        <is>
          <t>Payment factor at expected availability</t>
        </is>
      </c>
      <c r="D1591" s="28">
        <f>IF(Inputs!$C$268&gt;=sb_guar,MIN(1,Inputs!$C$268/sb_guar),Inputs!$C$268/sb_guar-(sb_guar-Inputs!$C$268)/sb_guar)</f>
        <v/>
      </c>
    </row>
    <row r="1592">
      <c r="B1592" s="2" t="inlineStr">
        <is>
          <t>Paid capacity a year (m3)</t>
        </is>
      </c>
      <c r="C1592" s="5" t="inlineStr">
        <is>
          <t>m3</t>
        </is>
      </c>
      <c r="D1592" s="19">
        <f>sb_cap*365*sb_guar*$D$1591</f>
        <v/>
      </c>
    </row>
    <row r="1593">
      <c r="B1593" s="2" t="inlineStr">
        <is>
          <t>Water delivered a year (m3)</t>
        </is>
      </c>
      <c r="C1593" s="5" t="inlineStr">
        <is>
          <t>m3</t>
        </is>
      </c>
      <c r="D1593" s="19">
        <f>sb_cap*365*Inputs!$C$268*sb_dispatch</f>
        <v/>
      </c>
    </row>
    <row r="1594">
      <c r="B1594" s="2" t="inlineStr">
        <is>
          <t>Fixed O&amp;M charge, 2030 ($ per m3 of available capacity)</t>
        </is>
      </c>
      <c r="C1594" s="5" t="inlineStr">
        <is>
          <t>$ per m3</t>
        </is>
      </c>
      <c r="D1594" s="38">
        <f>sb_fom*1000000/(sb_cap*365*sb_guar)</f>
        <v/>
      </c>
    </row>
    <row r="1595">
      <c r="B1595" s="2" t="inlineStr">
        <is>
          <t>Capital cost</t>
        </is>
      </c>
      <c r="C1595" s="5" t="inlineStr">
        <is>
          <t>$ million</t>
        </is>
      </c>
      <c r="D1595" s="23">
        <f>(sb_cx_plant+sb_cx_marine+sb_cx_conv+sb_cx_grid+sb_cx_dev+sb_cx_fin)*(1+sb_capex_shift)</f>
        <v/>
      </c>
    </row>
    <row r="1596">
      <c r="B1596" s="2" t="inlineStr">
        <is>
          <t>Capacity charge used</t>
        </is>
      </c>
      <c r="C1596" s="5" t="inlineStr">
        <is>
          <t>$ per m3</t>
        </is>
      </c>
      <c r="D1596" s="38">
        <f>'SB_Finance'!$C$6</f>
        <v/>
      </c>
    </row>
    <row r="1598">
      <c r="B1598" s="6" t="inlineStr">
        <is>
          <t>Operations</t>
        </is>
      </c>
      <c r="C1598" s="7" t="n"/>
      <c r="D1598" s="7" t="n"/>
      <c r="E1598" s="7" t="n"/>
      <c r="F1598" s="7" t="n"/>
      <c r="G1598" s="7" t="n"/>
      <c r="H1598" s="7" t="n"/>
      <c r="I1598" s="7" t="n"/>
      <c r="J1598" s="7" t="n"/>
      <c r="K1598" s="7" t="n"/>
      <c r="L1598" s="7" t="n"/>
      <c r="M1598" s="7" t="n"/>
      <c r="N1598" s="7" t="n"/>
      <c r="O1598" s="7" t="n"/>
      <c r="P1598" s="7" t="n"/>
      <c r="Q1598" s="7" t="n"/>
      <c r="R1598" s="7" t="n"/>
      <c r="S1598" s="7" t="n"/>
      <c r="T1598" s="7" t="n"/>
      <c r="U1598" s="7" t="n"/>
      <c r="V1598" s="7" t="n"/>
      <c r="W1598" s="7" t="n"/>
      <c r="X1598" s="7" t="n"/>
      <c r="Y1598" s="7" t="n"/>
      <c r="Z1598" s="7" t="n"/>
      <c r="AA1598" s="7" t="n"/>
      <c r="AB1598" s="7" t="n"/>
      <c r="AC1598" s="7" t="n"/>
      <c r="AD1598" s="7" t="n"/>
      <c r="AE1598" s="7" t="n"/>
      <c r="AF1598" s="7" t="n"/>
      <c r="AG1598" s="7" t="n"/>
      <c r="AH1598" s="7" t="n"/>
      <c r="AI1598" s="7" t="n"/>
      <c r="AJ1598" s="7" t="n"/>
    </row>
    <row r="1599">
      <c r="B1599" s="2" t="inlineStr">
        <is>
          <t>Paid capacity (m3)</t>
        </is>
      </c>
      <c r="C1599" s="5" t="inlineStr">
        <is>
          <t>m3</t>
        </is>
      </c>
      <c r="D1599" s="19">
        <f>D1586*$D$1592</f>
        <v/>
      </c>
      <c r="E1599" s="19">
        <f>E1586*$D$1592</f>
        <v/>
      </c>
      <c r="F1599" s="19">
        <f>F1586*$D$1592</f>
        <v/>
      </c>
      <c r="G1599" s="19">
        <f>G1586*$D$1592</f>
        <v/>
      </c>
      <c r="H1599" s="19">
        <f>H1586*$D$1592</f>
        <v/>
      </c>
      <c r="I1599" s="19">
        <f>I1586*$D$1592</f>
        <v/>
      </c>
      <c r="J1599" s="19">
        <f>J1586*$D$1592</f>
        <v/>
      </c>
      <c r="K1599" s="19">
        <f>K1586*$D$1592</f>
        <v/>
      </c>
      <c r="L1599" s="19">
        <f>L1586*$D$1592</f>
        <v/>
      </c>
      <c r="M1599" s="19">
        <f>M1586*$D$1592</f>
        <v/>
      </c>
      <c r="N1599" s="19">
        <f>N1586*$D$1592</f>
        <v/>
      </c>
      <c r="O1599" s="19">
        <f>O1586*$D$1592</f>
        <v/>
      </c>
      <c r="P1599" s="19">
        <f>P1586*$D$1592</f>
        <v/>
      </c>
      <c r="Q1599" s="19">
        <f>Q1586*$D$1592</f>
        <v/>
      </c>
      <c r="R1599" s="19">
        <f>R1586*$D$1592</f>
        <v/>
      </c>
      <c r="S1599" s="19">
        <f>S1586*$D$1592</f>
        <v/>
      </c>
      <c r="T1599" s="19">
        <f>T1586*$D$1592</f>
        <v/>
      </c>
      <c r="U1599" s="19">
        <f>U1586*$D$1592</f>
        <v/>
      </c>
      <c r="V1599" s="19">
        <f>V1586*$D$1592</f>
        <v/>
      </c>
      <c r="W1599" s="19">
        <f>W1586*$D$1592</f>
        <v/>
      </c>
      <c r="X1599" s="19">
        <f>X1586*$D$1592</f>
        <v/>
      </c>
      <c r="Y1599" s="19">
        <f>Y1586*$D$1592</f>
        <v/>
      </c>
      <c r="Z1599" s="19">
        <f>Z1586*$D$1592</f>
        <v/>
      </c>
      <c r="AA1599" s="19">
        <f>AA1586*$D$1592</f>
        <v/>
      </c>
      <c r="AB1599" s="19">
        <f>AB1586*$D$1592</f>
        <v/>
      </c>
      <c r="AC1599" s="19">
        <f>AC1586*$D$1592</f>
        <v/>
      </c>
      <c r="AD1599" s="19">
        <f>AD1586*$D$1592</f>
        <v/>
      </c>
      <c r="AE1599" s="19">
        <f>AE1586*$D$1592</f>
        <v/>
      </c>
      <c r="AF1599" s="19">
        <f>AF1586*$D$1592</f>
        <v/>
      </c>
      <c r="AG1599" s="19">
        <f>AG1586*$D$1592</f>
        <v/>
      </c>
      <c r="AH1599" s="19">
        <f>AH1586*$D$1592</f>
        <v/>
      </c>
      <c r="AI1599" s="19">
        <f>AI1586*$D$1592</f>
        <v/>
      </c>
      <c r="AJ1599" s="19">
        <f>AJ1586*$D$1592</f>
        <v/>
      </c>
    </row>
    <row r="1600">
      <c r="B1600" s="2" t="inlineStr">
        <is>
          <t>Water delivered (m3)</t>
        </is>
      </c>
      <c r="C1600" s="5" t="inlineStr">
        <is>
          <t>m3</t>
        </is>
      </c>
      <c r="D1600" s="19">
        <f>D1586*$D$1593</f>
        <v/>
      </c>
      <c r="E1600" s="19">
        <f>E1586*$D$1593</f>
        <v/>
      </c>
      <c r="F1600" s="19">
        <f>F1586*$D$1593</f>
        <v/>
      </c>
      <c r="G1600" s="19">
        <f>G1586*$D$1593</f>
        <v/>
      </c>
      <c r="H1600" s="19">
        <f>H1586*$D$1593</f>
        <v/>
      </c>
      <c r="I1600" s="19">
        <f>I1586*$D$1593</f>
        <v/>
      </c>
      <c r="J1600" s="19">
        <f>J1586*$D$1593</f>
        <v/>
      </c>
      <c r="K1600" s="19">
        <f>K1586*$D$1593</f>
        <v/>
      </c>
      <c r="L1600" s="19">
        <f>L1586*$D$1593</f>
        <v/>
      </c>
      <c r="M1600" s="19">
        <f>M1586*$D$1593</f>
        <v/>
      </c>
      <c r="N1600" s="19">
        <f>N1586*$D$1593</f>
        <v/>
      </c>
      <c r="O1600" s="19">
        <f>O1586*$D$1593</f>
        <v/>
      </c>
      <c r="P1600" s="19">
        <f>P1586*$D$1593</f>
        <v/>
      </c>
      <c r="Q1600" s="19">
        <f>Q1586*$D$1593</f>
        <v/>
      </c>
      <c r="R1600" s="19">
        <f>R1586*$D$1593</f>
        <v/>
      </c>
      <c r="S1600" s="19">
        <f>S1586*$D$1593</f>
        <v/>
      </c>
      <c r="T1600" s="19">
        <f>T1586*$D$1593</f>
        <v/>
      </c>
      <c r="U1600" s="19">
        <f>U1586*$D$1593</f>
        <v/>
      </c>
      <c r="V1600" s="19">
        <f>V1586*$D$1593</f>
        <v/>
      </c>
      <c r="W1600" s="19">
        <f>W1586*$D$1593</f>
        <v/>
      </c>
      <c r="X1600" s="19">
        <f>X1586*$D$1593</f>
        <v/>
      </c>
      <c r="Y1600" s="19">
        <f>Y1586*$D$1593</f>
        <v/>
      </c>
      <c r="Z1600" s="19">
        <f>Z1586*$D$1593</f>
        <v/>
      </c>
      <c r="AA1600" s="19">
        <f>AA1586*$D$1593</f>
        <v/>
      </c>
      <c r="AB1600" s="19">
        <f>AB1586*$D$1593</f>
        <v/>
      </c>
      <c r="AC1600" s="19">
        <f>AC1586*$D$1593</f>
        <v/>
      </c>
      <c r="AD1600" s="19">
        <f>AD1586*$D$1593</f>
        <v/>
      </c>
      <c r="AE1600" s="19">
        <f>AE1586*$D$1593</f>
        <v/>
      </c>
      <c r="AF1600" s="19">
        <f>AF1586*$D$1593</f>
        <v/>
      </c>
      <c r="AG1600" s="19">
        <f>AG1586*$D$1593</f>
        <v/>
      </c>
      <c r="AH1600" s="19">
        <f>AH1586*$D$1593</f>
        <v/>
      </c>
      <c r="AI1600" s="19">
        <f>AI1586*$D$1593</f>
        <v/>
      </c>
      <c r="AJ1600" s="19">
        <f>AJ1586*$D$1593</f>
        <v/>
      </c>
    </row>
    <row r="1601">
      <c r="B1601" s="2" t="inlineStr">
        <is>
          <t>Power price paid</t>
        </is>
      </c>
      <c r="C1601" s="5" t="inlineStr">
        <is>
          <t>$ per MWh</t>
        </is>
      </c>
      <c r="D1601" s="22">
        <f>D1586*(sb_power*(1+sb_power_esc)^D1587+sb_power_shift)</f>
        <v/>
      </c>
      <c r="E1601" s="22">
        <f>E1586*(sb_power*(1+sb_power_esc)^E1587+sb_power_shift)</f>
        <v/>
      </c>
      <c r="F1601" s="22">
        <f>F1586*(sb_power*(1+sb_power_esc)^F1587+sb_power_shift)</f>
        <v/>
      </c>
      <c r="G1601" s="22">
        <f>G1586*(sb_power*(1+sb_power_esc)^G1587+sb_power_shift)</f>
        <v/>
      </c>
      <c r="H1601" s="22">
        <f>H1586*(sb_power*(1+sb_power_esc)^H1587+sb_power_shift)</f>
        <v/>
      </c>
      <c r="I1601" s="22">
        <f>I1586*(sb_power*(1+sb_power_esc)^I1587+sb_power_shift)</f>
        <v/>
      </c>
      <c r="J1601" s="22">
        <f>J1586*(sb_power*(1+sb_power_esc)^J1587+sb_power_shift)</f>
        <v/>
      </c>
      <c r="K1601" s="22">
        <f>K1586*(sb_power*(1+sb_power_esc)^K1587+sb_power_shift)</f>
        <v/>
      </c>
      <c r="L1601" s="22">
        <f>L1586*(sb_power*(1+sb_power_esc)^L1587+sb_power_shift)</f>
        <v/>
      </c>
      <c r="M1601" s="22">
        <f>M1586*(sb_power*(1+sb_power_esc)^M1587+sb_power_shift)</f>
        <v/>
      </c>
      <c r="N1601" s="22">
        <f>N1586*(sb_power*(1+sb_power_esc)^N1587+sb_power_shift)</f>
        <v/>
      </c>
      <c r="O1601" s="22">
        <f>O1586*(sb_power*(1+sb_power_esc)^O1587+sb_power_shift)</f>
        <v/>
      </c>
      <c r="P1601" s="22">
        <f>P1586*(sb_power*(1+sb_power_esc)^P1587+sb_power_shift)</f>
        <v/>
      </c>
      <c r="Q1601" s="22">
        <f>Q1586*(sb_power*(1+sb_power_esc)^Q1587+sb_power_shift)</f>
        <v/>
      </c>
      <c r="R1601" s="22">
        <f>R1586*(sb_power*(1+sb_power_esc)^R1587+sb_power_shift)</f>
        <v/>
      </c>
      <c r="S1601" s="22">
        <f>S1586*(sb_power*(1+sb_power_esc)^S1587+sb_power_shift)</f>
        <v/>
      </c>
      <c r="T1601" s="22">
        <f>T1586*(sb_power*(1+sb_power_esc)^T1587+sb_power_shift)</f>
        <v/>
      </c>
      <c r="U1601" s="22">
        <f>U1586*(sb_power*(1+sb_power_esc)^U1587+sb_power_shift)</f>
        <v/>
      </c>
      <c r="V1601" s="22">
        <f>V1586*(sb_power*(1+sb_power_esc)^V1587+sb_power_shift)</f>
        <v/>
      </c>
      <c r="W1601" s="22">
        <f>W1586*(sb_power*(1+sb_power_esc)^W1587+sb_power_shift)</f>
        <v/>
      </c>
      <c r="X1601" s="22">
        <f>X1586*(sb_power*(1+sb_power_esc)^X1587+sb_power_shift)</f>
        <v/>
      </c>
      <c r="Y1601" s="22">
        <f>Y1586*(sb_power*(1+sb_power_esc)^Y1587+sb_power_shift)</f>
        <v/>
      </c>
      <c r="Z1601" s="22">
        <f>Z1586*(sb_power*(1+sb_power_esc)^Z1587+sb_power_shift)</f>
        <v/>
      </c>
      <c r="AA1601" s="22">
        <f>AA1586*(sb_power*(1+sb_power_esc)^AA1587+sb_power_shift)</f>
        <v/>
      </c>
      <c r="AB1601" s="22">
        <f>AB1586*(sb_power*(1+sb_power_esc)^AB1587+sb_power_shift)</f>
        <v/>
      </c>
      <c r="AC1601" s="22">
        <f>AC1586*(sb_power*(1+sb_power_esc)^AC1587+sb_power_shift)</f>
        <v/>
      </c>
      <c r="AD1601" s="22">
        <f>AD1586*(sb_power*(1+sb_power_esc)^AD1587+sb_power_shift)</f>
        <v/>
      </c>
      <c r="AE1601" s="22">
        <f>AE1586*(sb_power*(1+sb_power_esc)^AE1587+sb_power_shift)</f>
        <v/>
      </c>
      <c r="AF1601" s="22">
        <f>AF1586*(sb_power*(1+sb_power_esc)^AF1587+sb_power_shift)</f>
        <v/>
      </c>
      <c r="AG1601" s="22">
        <f>AG1586*(sb_power*(1+sb_power_esc)^AG1587+sb_power_shift)</f>
        <v/>
      </c>
      <c r="AH1601" s="22">
        <f>AH1586*(sb_power*(1+sb_power_esc)^AH1587+sb_power_shift)</f>
        <v/>
      </c>
      <c r="AI1601" s="22">
        <f>AI1586*(sb_power*(1+sb_power_esc)^AI1587+sb_power_shift)</f>
        <v/>
      </c>
      <c r="AJ1601" s="22">
        <f>AJ1586*(sb_power*(1+sb_power_esc)^AJ1587+sb_power_shift)</f>
        <v/>
      </c>
    </row>
    <row r="1602">
      <c r="B1602" s="2" t="inlineStr">
        <is>
          <t>Power price in the energy charge</t>
        </is>
      </c>
      <c r="C1602" s="5" t="inlineStr">
        <is>
          <t>$ per MWh</t>
        </is>
      </c>
      <c r="D1602" s="22">
        <f>D1586*(sb_power*(1+sb_power_esc)^D1587+IF(sb_pass=1,sb_power_shift,0))</f>
        <v/>
      </c>
      <c r="E1602" s="22">
        <f>E1586*(sb_power*(1+sb_power_esc)^E1587+IF(sb_pass=1,sb_power_shift,0))</f>
        <v/>
      </c>
      <c r="F1602" s="22">
        <f>F1586*(sb_power*(1+sb_power_esc)^F1587+IF(sb_pass=1,sb_power_shift,0))</f>
        <v/>
      </c>
      <c r="G1602" s="22">
        <f>G1586*(sb_power*(1+sb_power_esc)^G1587+IF(sb_pass=1,sb_power_shift,0))</f>
        <v/>
      </c>
      <c r="H1602" s="22">
        <f>H1586*(sb_power*(1+sb_power_esc)^H1587+IF(sb_pass=1,sb_power_shift,0))</f>
        <v/>
      </c>
      <c r="I1602" s="22">
        <f>I1586*(sb_power*(1+sb_power_esc)^I1587+IF(sb_pass=1,sb_power_shift,0))</f>
        <v/>
      </c>
      <c r="J1602" s="22">
        <f>J1586*(sb_power*(1+sb_power_esc)^J1587+IF(sb_pass=1,sb_power_shift,0))</f>
        <v/>
      </c>
      <c r="K1602" s="22">
        <f>K1586*(sb_power*(1+sb_power_esc)^K1587+IF(sb_pass=1,sb_power_shift,0))</f>
        <v/>
      </c>
      <c r="L1602" s="22">
        <f>L1586*(sb_power*(1+sb_power_esc)^L1587+IF(sb_pass=1,sb_power_shift,0))</f>
        <v/>
      </c>
      <c r="M1602" s="22">
        <f>M1586*(sb_power*(1+sb_power_esc)^M1587+IF(sb_pass=1,sb_power_shift,0))</f>
        <v/>
      </c>
      <c r="N1602" s="22">
        <f>N1586*(sb_power*(1+sb_power_esc)^N1587+IF(sb_pass=1,sb_power_shift,0))</f>
        <v/>
      </c>
      <c r="O1602" s="22">
        <f>O1586*(sb_power*(1+sb_power_esc)^O1587+IF(sb_pass=1,sb_power_shift,0))</f>
        <v/>
      </c>
      <c r="P1602" s="22">
        <f>P1586*(sb_power*(1+sb_power_esc)^P1587+IF(sb_pass=1,sb_power_shift,0))</f>
        <v/>
      </c>
      <c r="Q1602" s="22">
        <f>Q1586*(sb_power*(1+sb_power_esc)^Q1587+IF(sb_pass=1,sb_power_shift,0))</f>
        <v/>
      </c>
      <c r="R1602" s="22">
        <f>R1586*(sb_power*(1+sb_power_esc)^R1587+IF(sb_pass=1,sb_power_shift,0))</f>
        <v/>
      </c>
      <c r="S1602" s="22">
        <f>S1586*(sb_power*(1+sb_power_esc)^S1587+IF(sb_pass=1,sb_power_shift,0))</f>
        <v/>
      </c>
      <c r="T1602" s="22">
        <f>T1586*(sb_power*(1+sb_power_esc)^T1587+IF(sb_pass=1,sb_power_shift,0))</f>
        <v/>
      </c>
      <c r="U1602" s="22">
        <f>U1586*(sb_power*(1+sb_power_esc)^U1587+IF(sb_pass=1,sb_power_shift,0))</f>
        <v/>
      </c>
      <c r="V1602" s="22">
        <f>V1586*(sb_power*(1+sb_power_esc)^V1587+IF(sb_pass=1,sb_power_shift,0))</f>
        <v/>
      </c>
      <c r="W1602" s="22">
        <f>W1586*(sb_power*(1+sb_power_esc)^W1587+IF(sb_pass=1,sb_power_shift,0))</f>
        <v/>
      </c>
      <c r="X1602" s="22">
        <f>X1586*(sb_power*(1+sb_power_esc)^X1587+IF(sb_pass=1,sb_power_shift,0))</f>
        <v/>
      </c>
      <c r="Y1602" s="22">
        <f>Y1586*(sb_power*(1+sb_power_esc)^Y1587+IF(sb_pass=1,sb_power_shift,0))</f>
        <v/>
      </c>
      <c r="Z1602" s="22">
        <f>Z1586*(sb_power*(1+sb_power_esc)^Z1587+IF(sb_pass=1,sb_power_shift,0))</f>
        <v/>
      </c>
      <c r="AA1602" s="22">
        <f>AA1586*(sb_power*(1+sb_power_esc)^AA1587+IF(sb_pass=1,sb_power_shift,0))</f>
        <v/>
      </c>
      <c r="AB1602" s="22">
        <f>AB1586*(sb_power*(1+sb_power_esc)^AB1587+IF(sb_pass=1,sb_power_shift,0))</f>
        <v/>
      </c>
      <c r="AC1602" s="22">
        <f>AC1586*(sb_power*(1+sb_power_esc)^AC1587+IF(sb_pass=1,sb_power_shift,0))</f>
        <v/>
      </c>
      <c r="AD1602" s="22">
        <f>AD1586*(sb_power*(1+sb_power_esc)^AD1587+IF(sb_pass=1,sb_power_shift,0))</f>
        <v/>
      </c>
      <c r="AE1602" s="22">
        <f>AE1586*(sb_power*(1+sb_power_esc)^AE1587+IF(sb_pass=1,sb_power_shift,0))</f>
        <v/>
      </c>
      <c r="AF1602" s="22">
        <f>AF1586*(sb_power*(1+sb_power_esc)^AF1587+IF(sb_pass=1,sb_power_shift,0))</f>
        <v/>
      </c>
      <c r="AG1602" s="22">
        <f>AG1586*(sb_power*(1+sb_power_esc)^AG1587+IF(sb_pass=1,sb_power_shift,0))</f>
        <v/>
      </c>
      <c r="AH1602" s="22">
        <f>AH1586*(sb_power*(1+sb_power_esc)^AH1587+IF(sb_pass=1,sb_power_shift,0))</f>
        <v/>
      </c>
      <c r="AI1602" s="22">
        <f>AI1586*(sb_power*(1+sb_power_esc)^AI1587+IF(sb_pass=1,sb_power_shift,0))</f>
        <v/>
      </c>
      <c r="AJ1602" s="22">
        <f>AJ1586*(sb_power*(1+sb_power_esc)^AJ1587+IF(sb_pass=1,sb_power_shift,0))</f>
        <v/>
      </c>
    </row>
    <row r="1603">
      <c r="B1603" s="2" t="inlineStr">
        <is>
          <t>Capacity payments</t>
        </is>
      </c>
      <c r="C1603" s="5" t="inlineStr">
        <is>
          <t>$ million</t>
        </is>
      </c>
      <c r="D1603" s="23">
        <f>$D$1596*D1599/1000000</f>
        <v/>
      </c>
      <c r="E1603" s="23">
        <f>$D$1596*E1599/1000000</f>
        <v/>
      </c>
      <c r="F1603" s="23">
        <f>$D$1596*F1599/1000000</f>
        <v/>
      </c>
      <c r="G1603" s="23">
        <f>$D$1596*G1599/1000000</f>
        <v/>
      </c>
      <c r="H1603" s="23">
        <f>$D$1596*H1599/1000000</f>
        <v/>
      </c>
      <c r="I1603" s="23">
        <f>$D$1596*I1599/1000000</f>
        <v/>
      </c>
      <c r="J1603" s="23">
        <f>$D$1596*J1599/1000000</f>
        <v/>
      </c>
      <c r="K1603" s="23">
        <f>$D$1596*K1599/1000000</f>
        <v/>
      </c>
      <c r="L1603" s="23">
        <f>$D$1596*L1599/1000000</f>
        <v/>
      </c>
      <c r="M1603" s="23">
        <f>$D$1596*M1599/1000000</f>
        <v/>
      </c>
      <c r="N1603" s="23">
        <f>$D$1596*N1599/1000000</f>
        <v/>
      </c>
      <c r="O1603" s="23">
        <f>$D$1596*O1599/1000000</f>
        <v/>
      </c>
      <c r="P1603" s="23">
        <f>$D$1596*P1599/1000000</f>
        <v/>
      </c>
      <c r="Q1603" s="23">
        <f>$D$1596*Q1599/1000000</f>
        <v/>
      </c>
      <c r="R1603" s="23">
        <f>$D$1596*R1599/1000000</f>
        <v/>
      </c>
      <c r="S1603" s="23">
        <f>$D$1596*S1599/1000000</f>
        <v/>
      </c>
      <c r="T1603" s="23">
        <f>$D$1596*T1599/1000000</f>
        <v/>
      </c>
      <c r="U1603" s="23">
        <f>$D$1596*U1599/1000000</f>
        <v/>
      </c>
      <c r="V1603" s="23">
        <f>$D$1596*V1599/1000000</f>
        <v/>
      </c>
      <c r="W1603" s="23">
        <f>$D$1596*W1599/1000000</f>
        <v/>
      </c>
      <c r="X1603" s="23">
        <f>$D$1596*X1599/1000000</f>
        <v/>
      </c>
      <c r="Y1603" s="23">
        <f>$D$1596*Y1599/1000000</f>
        <v/>
      </c>
      <c r="Z1603" s="23">
        <f>$D$1596*Z1599/1000000</f>
        <v/>
      </c>
      <c r="AA1603" s="23">
        <f>$D$1596*AA1599/1000000</f>
        <v/>
      </c>
      <c r="AB1603" s="23">
        <f>$D$1596*AB1599/1000000</f>
        <v/>
      </c>
      <c r="AC1603" s="23">
        <f>$D$1596*AC1599/1000000</f>
        <v/>
      </c>
      <c r="AD1603" s="23">
        <f>$D$1596*AD1599/1000000</f>
        <v/>
      </c>
      <c r="AE1603" s="23">
        <f>$D$1596*AE1599/1000000</f>
        <v/>
      </c>
      <c r="AF1603" s="23">
        <f>$D$1596*AF1599/1000000</f>
        <v/>
      </c>
      <c r="AG1603" s="23">
        <f>$D$1596*AG1599/1000000</f>
        <v/>
      </c>
      <c r="AH1603" s="23">
        <f>$D$1596*AH1599/1000000</f>
        <v/>
      </c>
      <c r="AI1603" s="23">
        <f>$D$1596*AI1599/1000000</f>
        <v/>
      </c>
      <c r="AJ1603" s="23">
        <f>$D$1596*AJ1599/1000000</f>
        <v/>
      </c>
    </row>
    <row r="1604">
      <c r="B1604" s="2" t="inlineStr">
        <is>
          <t>Fixed O&amp;M payments (indexed)</t>
        </is>
      </c>
      <c r="C1604" s="5" t="inlineStr">
        <is>
          <t>$ million</t>
        </is>
      </c>
      <c r="D1604" s="23">
        <f>$D$1594*D1588*D1599/1000000</f>
        <v/>
      </c>
      <c r="E1604" s="23">
        <f>$D$1594*E1588*E1599/1000000</f>
        <v/>
      </c>
      <c r="F1604" s="23">
        <f>$D$1594*F1588*F1599/1000000</f>
        <v/>
      </c>
      <c r="G1604" s="23">
        <f>$D$1594*G1588*G1599/1000000</f>
        <v/>
      </c>
      <c r="H1604" s="23">
        <f>$D$1594*H1588*H1599/1000000</f>
        <v/>
      </c>
      <c r="I1604" s="23">
        <f>$D$1594*I1588*I1599/1000000</f>
        <v/>
      </c>
      <c r="J1604" s="23">
        <f>$D$1594*J1588*J1599/1000000</f>
        <v/>
      </c>
      <c r="K1604" s="23">
        <f>$D$1594*K1588*K1599/1000000</f>
        <v/>
      </c>
      <c r="L1604" s="23">
        <f>$D$1594*L1588*L1599/1000000</f>
        <v/>
      </c>
      <c r="M1604" s="23">
        <f>$D$1594*M1588*M1599/1000000</f>
        <v/>
      </c>
      <c r="N1604" s="23">
        <f>$D$1594*N1588*N1599/1000000</f>
        <v/>
      </c>
      <c r="O1604" s="23">
        <f>$D$1594*O1588*O1599/1000000</f>
        <v/>
      </c>
      <c r="P1604" s="23">
        <f>$D$1594*P1588*P1599/1000000</f>
        <v/>
      </c>
      <c r="Q1604" s="23">
        <f>$D$1594*Q1588*Q1599/1000000</f>
        <v/>
      </c>
      <c r="R1604" s="23">
        <f>$D$1594*R1588*R1599/1000000</f>
        <v/>
      </c>
      <c r="S1604" s="23">
        <f>$D$1594*S1588*S1599/1000000</f>
        <v/>
      </c>
      <c r="T1604" s="23">
        <f>$D$1594*T1588*T1599/1000000</f>
        <v/>
      </c>
      <c r="U1604" s="23">
        <f>$D$1594*U1588*U1599/1000000</f>
        <v/>
      </c>
      <c r="V1604" s="23">
        <f>$D$1594*V1588*V1599/1000000</f>
        <v/>
      </c>
      <c r="W1604" s="23">
        <f>$D$1594*W1588*W1599/1000000</f>
        <v/>
      </c>
      <c r="X1604" s="23">
        <f>$D$1594*X1588*X1599/1000000</f>
        <v/>
      </c>
      <c r="Y1604" s="23">
        <f>$D$1594*Y1588*Y1599/1000000</f>
        <v/>
      </c>
      <c r="Z1604" s="23">
        <f>$D$1594*Z1588*Z1599/1000000</f>
        <v/>
      </c>
      <c r="AA1604" s="23">
        <f>$D$1594*AA1588*AA1599/1000000</f>
        <v/>
      </c>
      <c r="AB1604" s="23">
        <f>$D$1594*AB1588*AB1599/1000000</f>
        <v/>
      </c>
      <c r="AC1604" s="23">
        <f>$D$1594*AC1588*AC1599/1000000</f>
        <v/>
      </c>
      <c r="AD1604" s="23">
        <f>$D$1594*AD1588*AD1599/1000000</f>
        <v/>
      </c>
      <c r="AE1604" s="23">
        <f>$D$1594*AE1588*AE1599/1000000</f>
        <v/>
      </c>
      <c r="AF1604" s="23">
        <f>$D$1594*AF1588*AF1599/1000000</f>
        <v/>
      </c>
      <c r="AG1604" s="23">
        <f>$D$1594*AG1588*AG1599/1000000</f>
        <v/>
      </c>
      <c r="AH1604" s="23">
        <f>$D$1594*AH1588*AH1599/1000000</f>
        <v/>
      </c>
      <c r="AI1604" s="23">
        <f>$D$1594*AI1588*AI1599/1000000</f>
        <v/>
      </c>
      <c r="AJ1604" s="23">
        <f>$D$1594*AJ1588*AJ1599/1000000</f>
        <v/>
      </c>
    </row>
    <row r="1605">
      <c r="B1605" s="2" t="inlineStr">
        <is>
          <t>Energy charge (guaranteed kWh x power price)</t>
        </is>
      </c>
      <c r="C1605" s="5" t="inlineStr">
        <is>
          <t>$ million</t>
        </is>
      </c>
      <c r="D1605" s="23">
        <f>D1600*sb_sec*D1602/1000/1000000</f>
        <v/>
      </c>
      <c r="E1605" s="23">
        <f>E1600*sb_sec*E1602/1000/1000000</f>
        <v/>
      </c>
      <c r="F1605" s="23">
        <f>F1600*sb_sec*F1602/1000/1000000</f>
        <v/>
      </c>
      <c r="G1605" s="23">
        <f>G1600*sb_sec*G1602/1000/1000000</f>
        <v/>
      </c>
      <c r="H1605" s="23">
        <f>H1600*sb_sec*H1602/1000/1000000</f>
        <v/>
      </c>
      <c r="I1605" s="23">
        <f>I1600*sb_sec*I1602/1000/1000000</f>
        <v/>
      </c>
      <c r="J1605" s="23">
        <f>J1600*sb_sec*J1602/1000/1000000</f>
        <v/>
      </c>
      <c r="K1605" s="23">
        <f>K1600*sb_sec*K1602/1000/1000000</f>
        <v/>
      </c>
      <c r="L1605" s="23">
        <f>L1600*sb_sec*L1602/1000/1000000</f>
        <v/>
      </c>
      <c r="M1605" s="23">
        <f>M1600*sb_sec*M1602/1000/1000000</f>
        <v/>
      </c>
      <c r="N1605" s="23">
        <f>N1600*sb_sec*N1602/1000/1000000</f>
        <v/>
      </c>
      <c r="O1605" s="23">
        <f>O1600*sb_sec*O1602/1000/1000000</f>
        <v/>
      </c>
      <c r="P1605" s="23">
        <f>P1600*sb_sec*P1602/1000/1000000</f>
        <v/>
      </c>
      <c r="Q1605" s="23">
        <f>Q1600*sb_sec*Q1602/1000/1000000</f>
        <v/>
      </c>
      <c r="R1605" s="23">
        <f>R1600*sb_sec*R1602/1000/1000000</f>
        <v/>
      </c>
      <c r="S1605" s="23">
        <f>S1600*sb_sec*S1602/1000/1000000</f>
        <v/>
      </c>
      <c r="T1605" s="23">
        <f>T1600*sb_sec*T1602/1000/1000000</f>
        <v/>
      </c>
      <c r="U1605" s="23">
        <f>U1600*sb_sec*U1602/1000/1000000</f>
        <v/>
      </c>
      <c r="V1605" s="23">
        <f>V1600*sb_sec*V1602/1000/1000000</f>
        <v/>
      </c>
      <c r="W1605" s="23">
        <f>W1600*sb_sec*W1602/1000/1000000</f>
        <v/>
      </c>
      <c r="X1605" s="23">
        <f>X1600*sb_sec*X1602/1000/1000000</f>
        <v/>
      </c>
      <c r="Y1605" s="23">
        <f>Y1600*sb_sec*Y1602/1000/1000000</f>
        <v/>
      </c>
      <c r="Z1605" s="23">
        <f>Z1600*sb_sec*Z1602/1000/1000000</f>
        <v/>
      </c>
      <c r="AA1605" s="23">
        <f>AA1600*sb_sec*AA1602/1000/1000000</f>
        <v/>
      </c>
      <c r="AB1605" s="23">
        <f>AB1600*sb_sec*AB1602/1000/1000000</f>
        <v/>
      </c>
      <c r="AC1605" s="23">
        <f>AC1600*sb_sec*AC1602/1000/1000000</f>
        <v/>
      </c>
      <c r="AD1605" s="23">
        <f>AD1600*sb_sec*AD1602/1000/1000000</f>
        <v/>
      </c>
      <c r="AE1605" s="23">
        <f>AE1600*sb_sec*AE1602/1000/1000000</f>
        <v/>
      </c>
      <c r="AF1605" s="23">
        <f>AF1600*sb_sec*AF1602/1000/1000000</f>
        <v/>
      </c>
      <c r="AG1605" s="23">
        <f>AG1600*sb_sec*AG1602/1000/1000000</f>
        <v/>
      </c>
      <c r="AH1605" s="23">
        <f>AH1600*sb_sec*AH1602/1000/1000000</f>
        <v/>
      </c>
      <c r="AI1605" s="23">
        <f>AI1600*sb_sec*AI1602/1000/1000000</f>
        <v/>
      </c>
      <c r="AJ1605" s="23">
        <f>AJ1600*sb_sec*AJ1602/1000/1000000</f>
        <v/>
      </c>
    </row>
    <row r="1606">
      <c r="B1606" s="2" t="inlineStr">
        <is>
          <t>Chemicals charge (indexed)</t>
        </is>
      </c>
      <c r="C1606" s="5" t="inlineStr">
        <is>
          <t>$ million</t>
        </is>
      </c>
      <c r="D1606" s="23">
        <f>D1600*sb_chem*D1588/1000000</f>
        <v/>
      </c>
      <c r="E1606" s="23">
        <f>E1600*sb_chem*E1588/1000000</f>
        <v/>
      </c>
      <c r="F1606" s="23">
        <f>F1600*sb_chem*F1588/1000000</f>
        <v/>
      </c>
      <c r="G1606" s="23">
        <f>G1600*sb_chem*G1588/1000000</f>
        <v/>
      </c>
      <c r="H1606" s="23">
        <f>H1600*sb_chem*H1588/1000000</f>
        <v/>
      </c>
      <c r="I1606" s="23">
        <f>I1600*sb_chem*I1588/1000000</f>
        <v/>
      </c>
      <c r="J1606" s="23">
        <f>J1600*sb_chem*J1588/1000000</f>
        <v/>
      </c>
      <c r="K1606" s="23">
        <f>K1600*sb_chem*K1588/1000000</f>
        <v/>
      </c>
      <c r="L1606" s="23">
        <f>L1600*sb_chem*L1588/1000000</f>
        <v/>
      </c>
      <c r="M1606" s="23">
        <f>M1600*sb_chem*M1588/1000000</f>
        <v/>
      </c>
      <c r="N1606" s="23">
        <f>N1600*sb_chem*N1588/1000000</f>
        <v/>
      </c>
      <c r="O1606" s="23">
        <f>O1600*sb_chem*O1588/1000000</f>
        <v/>
      </c>
      <c r="P1606" s="23">
        <f>P1600*sb_chem*P1588/1000000</f>
        <v/>
      </c>
      <c r="Q1606" s="23">
        <f>Q1600*sb_chem*Q1588/1000000</f>
        <v/>
      </c>
      <c r="R1606" s="23">
        <f>R1600*sb_chem*R1588/1000000</f>
        <v/>
      </c>
      <c r="S1606" s="23">
        <f>S1600*sb_chem*S1588/1000000</f>
        <v/>
      </c>
      <c r="T1606" s="23">
        <f>T1600*sb_chem*T1588/1000000</f>
        <v/>
      </c>
      <c r="U1606" s="23">
        <f>U1600*sb_chem*U1588/1000000</f>
        <v/>
      </c>
      <c r="V1606" s="23">
        <f>V1600*sb_chem*V1588/1000000</f>
        <v/>
      </c>
      <c r="W1606" s="23">
        <f>W1600*sb_chem*W1588/1000000</f>
        <v/>
      </c>
      <c r="X1606" s="23">
        <f>X1600*sb_chem*X1588/1000000</f>
        <v/>
      </c>
      <c r="Y1606" s="23">
        <f>Y1600*sb_chem*Y1588/1000000</f>
        <v/>
      </c>
      <c r="Z1606" s="23">
        <f>Z1600*sb_chem*Z1588/1000000</f>
        <v/>
      </c>
      <c r="AA1606" s="23">
        <f>AA1600*sb_chem*AA1588/1000000</f>
        <v/>
      </c>
      <c r="AB1606" s="23">
        <f>AB1600*sb_chem*AB1588/1000000</f>
        <v/>
      </c>
      <c r="AC1606" s="23">
        <f>AC1600*sb_chem*AC1588/1000000</f>
        <v/>
      </c>
      <c r="AD1606" s="23">
        <f>AD1600*sb_chem*AD1588/1000000</f>
        <v/>
      </c>
      <c r="AE1606" s="23">
        <f>AE1600*sb_chem*AE1588/1000000</f>
        <v/>
      </c>
      <c r="AF1606" s="23">
        <f>AF1600*sb_chem*AF1588/1000000</f>
        <v/>
      </c>
      <c r="AG1606" s="23">
        <f>AG1600*sb_chem*AG1588/1000000</f>
        <v/>
      </c>
      <c r="AH1606" s="23">
        <f>AH1600*sb_chem*AH1588/1000000</f>
        <v/>
      </c>
      <c r="AI1606" s="23">
        <f>AI1600*sb_chem*AI1588/1000000</f>
        <v/>
      </c>
      <c r="AJ1606" s="23">
        <f>AJ1600*sb_chem*AJ1588/1000000</f>
        <v/>
      </c>
    </row>
    <row r="1607">
      <c r="B1607" s="2" t="inlineStr">
        <is>
          <t>Capacity payments lost to delay</t>
        </is>
      </c>
      <c r="C1607" s="5" t="inlineStr">
        <is>
          <t>$ million</t>
        </is>
      </c>
      <c r="D1607" s="23">
        <f>IF(D1585=sb_cod,D1603*sb_delay,0)</f>
        <v/>
      </c>
      <c r="E1607" s="23">
        <f>IF(E1585=sb_cod,E1603*sb_delay,0)</f>
        <v/>
      </c>
      <c r="F1607" s="23">
        <f>IF(F1585=sb_cod,F1603*sb_delay,0)</f>
        <v/>
      </c>
      <c r="G1607" s="23">
        <f>IF(G1585=sb_cod,G1603*sb_delay,0)</f>
        <v/>
      </c>
      <c r="H1607" s="23">
        <f>IF(H1585=sb_cod,H1603*sb_delay,0)</f>
        <v/>
      </c>
      <c r="I1607" s="23">
        <f>IF(I1585=sb_cod,I1603*sb_delay,0)</f>
        <v/>
      </c>
      <c r="J1607" s="23">
        <f>IF(J1585=sb_cod,J1603*sb_delay,0)</f>
        <v/>
      </c>
      <c r="K1607" s="23">
        <f>IF(K1585=sb_cod,K1603*sb_delay,0)</f>
        <v/>
      </c>
      <c r="L1607" s="23">
        <f>IF(L1585=sb_cod,L1603*sb_delay,0)</f>
        <v/>
      </c>
      <c r="M1607" s="23">
        <f>IF(M1585=sb_cod,M1603*sb_delay,0)</f>
        <v/>
      </c>
      <c r="N1607" s="23">
        <f>IF(N1585=sb_cod,N1603*sb_delay,0)</f>
        <v/>
      </c>
      <c r="O1607" s="23">
        <f>IF(O1585=sb_cod,O1603*sb_delay,0)</f>
        <v/>
      </c>
      <c r="P1607" s="23">
        <f>IF(P1585=sb_cod,P1603*sb_delay,0)</f>
        <v/>
      </c>
      <c r="Q1607" s="23">
        <f>IF(Q1585=sb_cod,Q1603*sb_delay,0)</f>
        <v/>
      </c>
      <c r="R1607" s="23">
        <f>IF(R1585=sb_cod,R1603*sb_delay,0)</f>
        <v/>
      </c>
      <c r="S1607" s="23">
        <f>IF(S1585=sb_cod,S1603*sb_delay,0)</f>
        <v/>
      </c>
      <c r="T1607" s="23">
        <f>IF(T1585=sb_cod,T1603*sb_delay,0)</f>
        <v/>
      </c>
      <c r="U1607" s="23">
        <f>IF(U1585=sb_cod,U1603*sb_delay,0)</f>
        <v/>
      </c>
      <c r="V1607" s="23">
        <f>IF(V1585=sb_cod,V1603*sb_delay,0)</f>
        <v/>
      </c>
      <c r="W1607" s="23">
        <f>IF(W1585=sb_cod,W1603*sb_delay,0)</f>
        <v/>
      </c>
      <c r="X1607" s="23">
        <f>IF(X1585=sb_cod,X1603*sb_delay,0)</f>
        <v/>
      </c>
      <c r="Y1607" s="23">
        <f>IF(Y1585=sb_cod,Y1603*sb_delay,0)</f>
        <v/>
      </c>
      <c r="Z1607" s="23">
        <f>IF(Z1585=sb_cod,Z1603*sb_delay,0)</f>
        <v/>
      </c>
      <c r="AA1607" s="23">
        <f>IF(AA1585=sb_cod,AA1603*sb_delay,0)</f>
        <v/>
      </c>
      <c r="AB1607" s="23">
        <f>IF(AB1585=sb_cod,AB1603*sb_delay,0)</f>
        <v/>
      </c>
      <c r="AC1607" s="23">
        <f>IF(AC1585=sb_cod,AC1603*sb_delay,0)</f>
        <v/>
      </c>
      <c r="AD1607" s="23">
        <f>IF(AD1585=sb_cod,AD1603*sb_delay,0)</f>
        <v/>
      </c>
      <c r="AE1607" s="23">
        <f>IF(AE1585=sb_cod,AE1603*sb_delay,0)</f>
        <v/>
      </c>
      <c r="AF1607" s="23">
        <f>IF(AF1585=sb_cod,AF1603*sb_delay,0)</f>
        <v/>
      </c>
      <c r="AG1607" s="23">
        <f>IF(AG1585=sb_cod,AG1603*sb_delay,0)</f>
        <v/>
      </c>
      <c r="AH1607" s="23">
        <f>IF(AH1585=sb_cod,AH1603*sb_delay,0)</f>
        <v/>
      </c>
      <c r="AI1607" s="23">
        <f>IF(AI1585=sb_cod,AI1603*sb_delay,0)</f>
        <v/>
      </c>
      <c r="AJ1607" s="23">
        <f>IF(AJ1585=sb_cod,AJ1603*sb_delay,0)</f>
        <v/>
      </c>
    </row>
    <row r="1608">
      <c r="B1608" s="2" t="inlineStr">
        <is>
          <t>Lost payments not covered by delay damages</t>
        </is>
      </c>
      <c r="C1608" s="5" t="inlineStr">
        <is>
          <t>$ million</t>
        </is>
      </c>
      <c r="D1608" s="23">
        <f>D1607*(1-sb_ld)</f>
        <v/>
      </c>
      <c r="E1608" s="23">
        <f>E1607*(1-sb_ld)</f>
        <v/>
      </c>
      <c r="F1608" s="23">
        <f>F1607*(1-sb_ld)</f>
        <v/>
      </c>
      <c r="G1608" s="23">
        <f>G1607*(1-sb_ld)</f>
        <v/>
      </c>
      <c r="H1608" s="23">
        <f>H1607*(1-sb_ld)</f>
        <v/>
      </c>
      <c r="I1608" s="23">
        <f>I1607*(1-sb_ld)</f>
        <v/>
      </c>
      <c r="J1608" s="23">
        <f>J1607*(1-sb_ld)</f>
        <v/>
      </c>
      <c r="K1608" s="23">
        <f>K1607*(1-sb_ld)</f>
        <v/>
      </c>
      <c r="L1608" s="23">
        <f>L1607*(1-sb_ld)</f>
        <v/>
      </c>
      <c r="M1608" s="23">
        <f>M1607*(1-sb_ld)</f>
        <v/>
      </c>
      <c r="N1608" s="23">
        <f>N1607*(1-sb_ld)</f>
        <v/>
      </c>
      <c r="O1608" s="23">
        <f>O1607*(1-sb_ld)</f>
        <v/>
      </c>
      <c r="P1608" s="23">
        <f>P1607*(1-sb_ld)</f>
        <v/>
      </c>
      <c r="Q1608" s="23">
        <f>Q1607*(1-sb_ld)</f>
        <v/>
      </c>
      <c r="R1608" s="23">
        <f>R1607*(1-sb_ld)</f>
        <v/>
      </c>
      <c r="S1608" s="23">
        <f>S1607*(1-sb_ld)</f>
        <v/>
      </c>
      <c r="T1608" s="23">
        <f>T1607*(1-sb_ld)</f>
        <v/>
      </c>
      <c r="U1608" s="23">
        <f>U1607*(1-sb_ld)</f>
        <v/>
      </c>
      <c r="V1608" s="23">
        <f>V1607*(1-sb_ld)</f>
        <v/>
      </c>
      <c r="W1608" s="23">
        <f>W1607*(1-sb_ld)</f>
        <v/>
      </c>
      <c r="X1608" s="23">
        <f>X1607*(1-sb_ld)</f>
        <v/>
      </c>
      <c r="Y1608" s="23">
        <f>Y1607*(1-sb_ld)</f>
        <v/>
      </c>
      <c r="Z1608" s="23">
        <f>Z1607*(1-sb_ld)</f>
        <v/>
      </c>
      <c r="AA1608" s="23">
        <f>AA1607*(1-sb_ld)</f>
        <v/>
      </c>
      <c r="AB1608" s="23">
        <f>AB1607*(1-sb_ld)</f>
        <v/>
      </c>
      <c r="AC1608" s="23">
        <f>AC1607*(1-sb_ld)</f>
        <v/>
      </c>
      <c r="AD1608" s="23">
        <f>AD1607*(1-sb_ld)</f>
        <v/>
      </c>
      <c r="AE1608" s="23">
        <f>AE1607*(1-sb_ld)</f>
        <v/>
      </c>
      <c r="AF1608" s="23">
        <f>AF1607*(1-sb_ld)</f>
        <v/>
      </c>
      <c r="AG1608" s="23">
        <f>AG1607*(1-sb_ld)</f>
        <v/>
      </c>
      <c r="AH1608" s="23">
        <f>AH1607*(1-sb_ld)</f>
        <v/>
      </c>
      <c r="AI1608" s="23">
        <f>AI1607*(1-sb_ld)</f>
        <v/>
      </c>
      <c r="AJ1608" s="23">
        <f>AJ1607*(1-sb_ld)</f>
        <v/>
      </c>
    </row>
    <row r="1609">
      <c r="B1609" s="3" t="inlineStr">
        <is>
          <t>Revenue</t>
        </is>
      </c>
      <c r="C1609" s="5" t="inlineStr">
        <is>
          <t>$ million</t>
        </is>
      </c>
      <c r="D1609" s="23">
        <f>D1603+D1604+D1605+D1606-D1608</f>
        <v/>
      </c>
      <c r="E1609" s="23">
        <f>E1603+E1604+E1605+E1606-E1608</f>
        <v/>
      </c>
      <c r="F1609" s="23">
        <f>F1603+F1604+F1605+F1606-F1608</f>
        <v/>
      </c>
      <c r="G1609" s="23">
        <f>G1603+G1604+G1605+G1606-G1608</f>
        <v/>
      </c>
      <c r="H1609" s="23">
        <f>H1603+H1604+H1605+H1606-H1608</f>
        <v/>
      </c>
      <c r="I1609" s="23">
        <f>I1603+I1604+I1605+I1606-I1608</f>
        <v/>
      </c>
      <c r="J1609" s="23">
        <f>J1603+J1604+J1605+J1606-J1608</f>
        <v/>
      </c>
      <c r="K1609" s="23">
        <f>K1603+K1604+K1605+K1606-K1608</f>
        <v/>
      </c>
      <c r="L1609" s="23">
        <f>L1603+L1604+L1605+L1606-L1608</f>
        <v/>
      </c>
      <c r="M1609" s="23">
        <f>M1603+M1604+M1605+M1606-M1608</f>
        <v/>
      </c>
      <c r="N1609" s="23">
        <f>N1603+N1604+N1605+N1606-N1608</f>
        <v/>
      </c>
      <c r="O1609" s="23">
        <f>O1603+O1604+O1605+O1606-O1608</f>
        <v/>
      </c>
      <c r="P1609" s="23">
        <f>P1603+P1604+P1605+P1606-P1608</f>
        <v/>
      </c>
      <c r="Q1609" s="23">
        <f>Q1603+Q1604+Q1605+Q1606-Q1608</f>
        <v/>
      </c>
      <c r="R1609" s="23">
        <f>R1603+R1604+R1605+R1606-R1608</f>
        <v/>
      </c>
      <c r="S1609" s="23">
        <f>S1603+S1604+S1605+S1606-S1608</f>
        <v/>
      </c>
      <c r="T1609" s="23">
        <f>T1603+T1604+T1605+T1606-T1608</f>
        <v/>
      </c>
      <c r="U1609" s="23">
        <f>U1603+U1604+U1605+U1606-U1608</f>
        <v/>
      </c>
      <c r="V1609" s="23">
        <f>V1603+V1604+V1605+V1606-V1608</f>
        <v/>
      </c>
      <c r="W1609" s="23">
        <f>W1603+W1604+W1605+W1606-W1608</f>
        <v/>
      </c>
      <c r="X1609" s="23">
        <f>X1603+X1604+X1605+X1606-X1608</f>
        <v/>
      </c>
      <c r="Y1609" s="23">
        <f>Y1603+Y1604+Y1605+Y1606-Y1608</f>
        <v/>
      </c>
      <c r="Z1609" s="23">
        <f>Z1603+Z1604+Z1605+Z1606-Z1608</f>
        <v/>
      </c>
      <c r="AA1609" s="23">
        <f>AA1603+AA1604+AA1605+AA1606-AA1608</f>
        <v/>
      </c>
      <c r="AB1609" s="23">
        <f>AB1603+AB1604+AB1605+AB1606-AB1608</f>
        <v/>
      </c>
      <c r="AC1609" s="23">
        <f>AC1603+AC1604+AC1605+AC1606-AC1608</f>
        <v/>
      </c>
      <c r="AD1609" s="23">
        <f>AD1603+AD1604+AD1605+AD1606-AD1608</f>
        <v/>
      </c>
      <c r="AE1609" s="23">
        <f>AE1603+AE1604+AE1605+AE1606-AE1608</f>
        <v/>
      </c>
      <c r="AF1609" s="23">
        <f>AF1603+AF1604+AF1605+AF1606-AF1608</f>
        <v/>
      </c>
      <c r="AG1609" s="23">
        <f>AG1603+AG1604+AG1605+AG1606-AG1608</f>
        <v/>
      </c>
      <c r="AH1609" s="23">
        <f>AH1603+AH1604+AH1605+AH1606-AH1608</f>
        <v/>
      </c>
      <c r="AI1609" s="23">
        <f>AI1603+AI1604+AI1605+AI1606-AI1608</f>
        <v/>
      </c>
      <c r="AJ1609" s="23">
        <f>AJ1603+AJ1604+AJ1605+AJ1606-AJ1608</f>
        <v/>
      </c>
    </row>
    <row r="1610">
      <c r="B1610" s="2" t="inlineStr">
        <is>
          <t>Fixed O&amp;M</t>
        </is>
      </c>
      <c r="C1610" s="5" t="inlineStr">
        <is>
          <t>$ million</t>
        </is>
      </c>
      <c r="D1610" s="23">
        <f>D1586*sb_fom*D1588</f>
        <v/>
      </c>
      <c r="E1610" s="23">
        <f>E1586*sb_fom*E1588</f>
        <v/>
      </c>
      <c r="F1610" s="23">
        <f>F1586*sb_fom*F1588</f>
        <v/>
      </c>
      <c r="G1610" s="23">
        <f>G1586*sb_fom*G1588</f>
        <v/>
      </c>
      <c r="H1610" s="23">
        <f>H1586*sb_fom*H1588</f>
        <v/>
      </c>
      <c r="I1610" s="23">
        <f>I1586*sb_fom*I1588</f>
        <v/>
      </c>
      <c r="J1610" s="23">
        <f>J1586*sb_fom*J1588</f>
        <v/>
      </c>
      <c r="K1610" s="23">
        <f>K1586*sb_fom*K1588</f>
        <v/>
      </c>
      <c r="L1610" s="23">
        <f>L1586*sb_fom*L1588</f>
        <v/>
      </c>
      <c r="M1610" s="23">
        <f>M1586*sb_fom*M1588</f>
        <v/>
      </c>
      <c r="N1610" s="23">
        <f>N1586*sb_fom*N1588</f>
        <v/>
      </c>
      <c r="O1610" s="23">
        <f>O1586*sb_fom*O1588</f>
        <v/>
      </c>
      <c r="P1610" s="23">
        <f>P1586*sb_fom*P1588</f>
        <v/>
      </c>
      <c r="Q1610" s="23">
        <f>Q1586*sb_fom*Q1588</f>
        <v/>
      </c>
      <c r="R1610" s="23">
        <f>R1586*sb_fom*R1588</f>
        <v/>
      </c>
      <c r="S1610" s="23">
        <f>S1586*sb_fom*S1588</f>
        <v/>
      </c>
      <c r="T1610" s="23">
        <f>T1586*sb_fom*T1588</f>
        <v/>
      </c>
      <c r="U1610" s="23">
        <f>U1586*sb_fom*U1588</f>
        <v/>
      </c>
      <c r="V1610" s="23">
        <f>V1586*sb_fom*V1588</f>
        <v/>
      </c>
      <c r="W1610" s="23">
        <f>W1586*sb_fom*W1588</f>
        <v/>
      </c>
      <c r="X1610" s="23">
        <f>X1586*sb_fom*X1588</f>
        <v/>
      </c>
      <c r="Y1610" s="23">
        <f>Y1586*sb_fom*Y1588</f>
        <v/>
      </c>
      <c r="Z1610" s="23">
        <f>Z1586*sb_fom*Z1588</f>
        <v/>
      </c>
      <c r="AA1610" s="23">
        <f>AA1586*sb_fom*AA1588</f>
        <v/>
      </c>
      <c r="AB1610" s="23">
        <f>AB1586*sb_fom*AB1588</f>
        <v/>
      </c>
      <c r="AC1610" s="23">
        <f>AC1586*sb_fom*AC1588</f>
        <v/>
      </c>
      <c r="AD1610" s="23">
        <f>AD1586*sb_fom*AD1588</f>
        <v/>
      </c>
      <c r="AE1610" s="23">
        <f>AE1586*sb_fom*AE1588</f>
        <v/>
      </c>
      <c r="AF1610" s="23">
        <f>AF1586*sb_fom*AF1588</f>
        <v/>
      </c>
      <c r="AG1610" s="23">
        <f>AG1586*sb_fom*AG1588</f>
        <v/>
      </c>
      <c r="AH1610" s="23">
        <f>AH1586*sb_fom*AH1588</f>
        <v/>
      </c>
      <c r="AI1610" s="23">
        <f>AI1586*sb_fom*AI1588</f>
        <v/>
      </c>
      <c r="AJ1610" s="23">
        <f>AJ1586*sb_fom*AJ1588</f>
        <v/>
      </c>
    </row>
    <row r="1611">
      <c r="B1611" s="2" t="inlineStr">
        <is>
          <t>Energy cost (actual kWh x power price)</t>
        </is>
      </c>
      <c r="C1611" s="5" t="inlineStr">
        <is>
          <t>$ million</t>
        </is>
      </c>
      <c r="D1611" s="23">
        <f>D1600*sb_sec_act*D1601/1000/1000000</f>
        <v/>
      </c>
      <c r="E1611" s="23">
        <f>E1600*sb_sec_act*E1601/1000/1000000</f>
        <v/>
      </c>
      <c r="F1611" s="23">
        <f>F1600*sb_sec_act*F1601/1000/1000000</f>
        <v/>
      </c>
      <c r="G1611" s="23">
        <f>G1600*sb_sec_act*G1601/1000/1000000</f>
        <v/>
      </c>
      <c r="H1611" s="23">
        <f>H1600*sb_sec_act*H1601/1000/1000000</f>
        <v/>
      </c>
      <c r="I1611" s="23">
        <f>I1600*sb_sec_act*I1601/1000/1000000</f>
        <v/>
      </c>
      <c r="J1611" s="23">
        <f>J1600*sb_sec_act*J1601/1000/1000000</f>
        <v/>
      </c>
      <c r="K1611" s="23">
        <f>K1600*sb_sec_act*K1601/1000/1000000</f>
        <v/>
      </c>
      <c r="L1611" s="23">
        <f>L1600*sb_sec_act*L1601/1000/1000000</f>
        <v/>
      </c>
      <c r="M1611" s="23">
        <f>M1600*sb_sec_act*M1601/1000/1000000</f>
        <v/>
      </c>
      <c r="N1611" s="23">
        <f>N1600*sb_sec_act*N1601/1000/1000000</f>
        <v/>
      </c>
      <c r="O1611" s="23">
        <f>O1600*sb_sec_act*O1601/1000/1000000</f>
        <v/>
      </c>
      <c r="P1611" s="23">
        <f>P1600*sb_sec_act*P1601/1000/1000000</f>
        <v/>
      </c>
      <c r="Q1611" s="23">
        <f>Q1600*sb_sec_act*Q1601/1000/1000000</f>
        <v/>
      </c>
      <c r="R1611" s="23">
        <f>R1600*sb_sec_act*R1601/1000/1000000</f>
        <v/>
      </c>
      <c r="S1611" s="23">
        <f>S1600*sb_sec_act*S1601/1000/1000000</f>
        <v/>
      </c>
      <c r="T1611" s="23">
        <f>T1600*sb_sec_act*T1601/1000/1000000</f>
        <v/>
      </c>
      <c r="U1611" s="23">
        <f>U1600*sb_sec_act*U1601/1000/1000000</f>
        <v/>
      </c>
      <c r="V1611" s="23">
        <f>V1600*sb_sec_act*V1601/1000/1000000</f>
        <v/>
      </c>
      <c r="W1611" s="23">
        <f>W1600*sb_sec_act*W1601/1000/1000000</f>
        <v/>
      </c>
      <c r="X1611" s="23">
        <f>X1600*sb_sec_act*X1601/1000/1000000</f>
        <v/>
      </c>
      <c r="Y1611" s="23">
        <f>Y1600*sb_sec_act*Y1601/1000/1000000</f>
        <v/>
      </c>
      <c r="Z1611" s="23">
        <f>Z1600*sb_sec_act*Z1601/1000/1000000</f>
        <v/>
      </c>
      <c r="AA1611" s="23">
        <f>AA1600*sb_sec_act*AA1601/1000/1000000</f>
        <v/>
      </c>
      <c r="AB1611" s="23">
        <f>AB1600*sb_sec_act*AB1601/1000/1000000</f>
        <v/>
      </c>
      <c r="AC1611" s="23">
        <f>AC1600*sb_sec_act*AC1601/1000/1000000</f>
        <v/>
      </c>
      <c r="AD1611" s="23">
        <f>AD1600*sb_sec_act*AD1601/1000/1000000</f>
        <v/>
      </c>
      <c r="AE1611" s="23">
        <f>AE1600*sb_sec_act*AE1601/1000/1000000</f>
        <v/>
      </c>
      <c r="AF1611" s="23">
        <f>AF1600*sb_sec_act*AF1601/1000/1000000</f>
        <v/>
      </c>
      <c r="AG1611" s="23">
        <f>AG1600*sb_sec_act*AG1601/1000/1000000</f>
        <v/>
      </c>
      <c r="AH1611" s="23">
        <f>AH1600*sb_sec_act*AH1601/1000/1000000</f>
        <v/>
      </c>
      <c r="AI1611" s="23">
        <f>AI1600*sb_sec_act*AI1601/1000/1000000</f>
        <v/>
      </c>
      <c r="AJ1611" s="23">
        <f>AJ1600*sb_sec_act*AJ1601/1000/1000000</f>
        <v/>
      </c>
    </row>
    <row r="1612">
      <c r="B1612" s="2" t="inlineStr">
        <is>
          <t>Chemicals</t>
        </is>
      </c>
      <c r="C1612" s="5" t="inlineStr">
        <is>
          <t>$ million</t>
        </is>
      </c>
      <c r="D1612" s="23">
        <f>D1606</f>
        <v/>
      </c>
      <c r="E1612" s="23">
        <f>E1606</f>
        <v/>
      </c>
      <c r="F1612" s="23">
        <f>F1606</f>
        <v/>
      </c>
      <c r="G1612" s="23">
        <f>G1606</f>
        <v/>
      </c>
      <c r="H1612" s="23">
        <f>H1606</f>
        <v/>
      </c>
      <c r="I1612" s="23">
        <f>I1606</f>
        <v/>
      </c>
      <c r="J1612" s="23">
        <f>J1606</f>
        <v/>
      </c>
      <c r="K1612" s="23">
        <f>K1606</f>
        <v/>
      </c>
      <c r="L1612" s="23">
        <f>L1606</f>
        <v/>
      </c>
      <c r="M1612" s="23">
        <f>M1606</f>
        <v/>
      </c>
      <c r="N1612" s="23">
        <f>N1606</f>
        <v/>
      </c>
      <c r="O1612" s="23">
        <f>O1606</f>
        <v/>
      </c>
      <c r="P1612" s="23">
        <f>P1606</f>
        <v/>
      </c>
      <c r="Q1612" s="23">
        <f>Q1606</f>
        <v/>
      </c>
      <c r="R1612" s="23">
        <f>R1606</f>
        <v/>
      </c>
      <c r="S1612" s="23">
        <f>S1606</f>
        <v/>
      </c>
      <c r="T1612" s="23">
        <f>T1606</f>
        <v/>
      </c>
      <c r="U1612" s="23">
        <f>U1606</f>
        <v/>
      </c>
      <c r="V1612" s="23">
        <f>V1606</f>
        <v/>
      </c>
      <c r="W1612" s="23">
        <f>W1606</f>
        <v/>
      </c>
      <c r="X1612" s="23">
        <f>X1606</f>
        <v/>
      </c>
      <c r="Y1612" s="23">
        <f>Y1606</f>
        <v/>
      </c>
      <c r="Z1612" s="23">
        <f>Z1606</f>
        <v/>
      </c>
      <c r="AA1612" s="23">
        <f>AA1606</f>
        <v/>
      </c>
      <c r="AB1612" s="23">
        <f>AB1606</f>
        <v/>
      </c>
      <c r="AC1612" s="23">
        <f>AC1606</f>
        <v/>
      </c>
      <c r="AD1612" s="23">
        <f>AD1606</f>
        <v/>
      </c>
      <c r="AE1612" s="23">
        <f>AE1606</f>
        <v/>
      </c>
      <c r="AF1612" s="23">
        <f>AF1606</f>
        <v/>
      </c>
      <c r="AG1612" s="23">
        <f>AG1606</f>
        <v/>
      </c>
      <c r="AH1612" s="23">
        <f>AH1606</f>
        <v/>
      </c>
      <c r="AI1612" s="23">
        <f>AI1606</f>
        <v/>
      </c>
      <c r="AJ1612" s="23">
        <f>AJ1606</f>
        <v/>
      </c>
    </row>
    <row r="1613">
      <c r="B1613" s="2" t="inlineStr">
        <is>
          <t>Major overhauls</t>
        </is>
      </c>
      <c r="C1613" s="5" t="inlineStr">
        <is>
          <t>$ million</t>
        </is>
      </c>
      <c r="D1613" s="23">
        <f>D1586*IF(OR(D1585=sb_major_y1,D1585=sb_major_y2),sb_major*D1588,0)</f>
        <v/>
      </c>
      <c r="E1613" s="23">
        <f>E1586*IF(OR(E1585=sb_major_y1,E1585=sb_major_y2),sb_major*E1588,0)</f>
        <v/>
      </c>
      <c r="F1613" s="23">
        <f>F1586*IF(OR(F1585=sb_major_y1,F1585=sb_major_y2),sb_major*F1588,0)</f>
        <v/>
      </c>
      <c r="G1613" s="23">
        <f>G1586*IF(OR(G1585=sb_major_y1,G1585=sb_major_y2),sb_major*G1588,0)</f>
        <v/>
      </c>
      <c r="H1613" s="23">
        <f>H1586*IF(OR(H1585=sb_major_y1,H1585=sb_major_y2),sb_major*H1588,0)</f>
        <v/>
      </c>
      <c r="I1613" s="23">
        <f>I1586*IF(OR(I1585=sb_major_y1,I1585=sb_major_y2),sb_major*I1588,0)</f>
        <v/>
      </c>
      <c r="J1613" s="23">
        <f>J1586*IF(OR(J1585=sb_major_y1,J1585=sb_major_y2),sb_major*J1588,0)</f>
        <v/>
      </c>
      <c r="K1613" s="23">
        <f>K1586*IF(OR(K1585=sb_major_y1,K1585=sb_major_y2),sb_major*K1588,0)</f>
        <v/>
      </c>
      <c r="L1613" s="23">
        <f>L1586*IF(OR(L1585=sb_major_y1,L1585=sb_major_y2),sb_major*L1588,0)</f>
        <v/>
      </c>
      <c r="M1613" s="23">
        <f>M1586*IF(OR(M1585=sb_major_y1,M1585=sb_major_y2),sb_major*M1588,0)</f>
        <v/>
      </c>
      <c r="N1613" s="23">
        <f>N1586*IF(OR(N1585=sb_major_y1,N1585=sb_major_y2),sb_major*N1588,0)</f>
        <v/>
      </c>
      <c r="O1613" s="23">
        <f>O1586*IF(OR(O1585=sb_major_y1,O1585=sb_major_y2),sb_major*O1588,0)</f>
        <v/>
      </c>
      <c r="P1613" s="23">
        <f>P1586*IF(OR(P1585=sb_major_y1,P1585=sb_major_y2),sb_major*P1588,0)</f>
        <v/>
      </c>
      <c r="Q1613" s="23">
        <f>Q1586*IF(OR(Q1585=sb_major_y1,Q1585=sb_major_y2),sb_major*Q1588,0)</f>
        <v/>
      </c>
      <c r="R1613" s="23">
        <f>R1586*IF(OR(R1585=sb_major_y1,R1585=sb_major_y2),sb_major*R1588,0)</f>
        <v/>
      </c>
      <c r="S1613" s="23">
        <f>S1586*IF(OR(S1585=sb_major_y1,S1585=sb_major_y2),sb_major*S1588,0)</f>
        <v/>
      </c>
      <c r="T1613" s="23">
        <f>T1586*IF(OR(T1585=sb_major_y1,T1585=sb_major_y2),sb_major*T1588,0)</f>
        <v/>
      </c>
      <c r="U1613" s="23">
        <f>U1586*IF(OR(U1585=sb_major_y1,U1585=sb_major_y2),sb_major*U1588,0)</f>
        <v/>
      </c>
      <c r="V1613" s="23">
        <f>V1586*IF(OR(V1585=sb_major_y1,V1585=sb_major_y2),sb_major*V1588,0)</f>
        <v/>
      </c>
      <c r="W1613" s="23">
        <f>W1586*IF(OR(W1585=sb_major_y1,W1585=sb_major_y2),sb_major*W1588,0)</f>
        <v/>
      </c>
      <c r="X1613" s="23">
        <f>X1586*IF(OR(X1585=sb_major_y1,X1585=sb_major_y2),sb_major*X1588,0)</f>
        <v/>
      </c>
      <c r="Y1613" s="23">
        <f>Y1586*IF(OR(Y1585=sb_major_y1,Y1585=sb_major_y2),sb_major*Y1588,0)</f>
        <v/>
      </c>
      <c r="Z1613" s="23">
        <f>Z1586*IF(OR(Z1585=sb_major_y1,Z1585=sb_major_y2),sb_major*Z1588,0)</f>
        <v/>
      </c>
      <c r="AA1613" s="23">
        <f>AA1586*IF(OR(AA1585=sb_major_y1,AA1585=sb_major_y2),sb_major*AA1588,0)</f>
        <v/>
      </c>
      <c r="AB1613" s="23">
        <f>AB1586*IF(OR(AB1585=sb_major_y1,AB1585=sb_major_y2),sb_major*AB1588,0)</f>
        <v/>
      </c>
      <c r="AC1613" s="23">
        <f>AC1586*IF(OR(AC1585=sb_major_y1,AC1585=sb_major_y2),sb_major*AC1588,0)</f>
        <v/>
      </c>
      <c r="AD1613" s="23">
        <f>AD1586*IF(OR(AD1585=sb_major_y1,AD1585=sb_major_y2),sb_major*AD1588,0)</f>
        <v/>
      </c>
      <c r="AE1613" s="23">
        <f>AE1586*IF(OR(AE1585=sb_major_y1,AE1585=sb_major_y2),sb_major*AE1588,0)</f>
        <v/>
      </c>
      <c r="AF1613" s="23">
        <f>AF1586*IF(OR(AF1585=sb_major_y1,AF1585=sb_major_y2),sb_major*AF1588,0)</f>
        <v/>
      </c>
      <c r="AG1613" s="23">
        <f>AG1586*IF(OR(AG1585=sb_major_y1,AG1585=sb_major_y2),sb_major*AG1588,0)</f>
        <v/>
      </c>
      <c r="AH1613" s="23">
        <f>AH1586*IF(OR(AH1585=sb_major_y1,AH1585=sb_major_y2),sb_major*AH1588,0)</f>
        <v/>
      </c>
      <c r="AI1613" s="23">
        <f>AI1586*IF(OR(AI1585=sb_major_y1,AI1585=sb_major_y2),sb_major*AI1588,0)</f>
        <v/>
      </c>
      <c r="AJ1613" s="23">
        <f>AJ1586*IF(OR(AJ1585=sb_major_y1,AJ1585=sb_major_y2),sb_major*AJ1588,0)</f>
        <v/>
      </c>
    </row>
    <row r="1614">
      <c r="B1614" s="2" t="inlineStr">
        <is>
          <t>Operating cost</t>
        </is>
      </c>
      <c r="C1614" s="5" t="inlineStr">
        <is>
          <t>$ million</t>
        </is>
      </c>
      <c r="D1614" s="23">
        <f>SUM(D1610:D1613)</f>
        <v/>
      </c>
      <c r="E1614" s="23">
        <f>SUM(E1610:E1613)</f>
        <v/>
      </c>
      <c r="F1614" s="23">
        <f>SUM(F1610:F1613)</f>
        <v/>
      </c>
      <c r="G1614" s="23">
        <f>SUM(G1610:G1613)</f>
        <v/>
      </c>
      <c r="H1614" s="23">
        <f>SUM(H1610:H1613)</f>
        <v/>
      </c>
      <c r="I1614" s="23">
        <f>SUM(I1610:I1613)</f>
        <v/>
      </c>
      <c r="J1614" s="23">
        <f>SUM(J1610:J1613)</f>
        <v/>
      </c>
      <c r="K1614" s="23">
        <f>SUM(K1610:K1613)</f>
        <v/>
      </c>
      <c r="L1614" s="23">
        <f>SUM(L1610:L1613)</f>
        <v/>
      </c>
      <c r="M1614" s="23">
        <f>SUM(M1610:M1613)</f>
        <v/>
      </c>
      <c r="N1614" s="23">
        <f>SUM(N1610:N1613)</f>
        <v/>
      </c>
      <c r="O1614" s="23">
        <f>SUM(O1610:O1613)</f>
        <v/>
      </c>
      <c r="P1614" s="23">
        <f>SUM(P1610:P1613)</f>
        <v/>
      </c>
      <c r="Q1614" s="23">
        <f>SUM(Q1610:Q1613)</f>
        <v/>
      </c>
      <c r="R1614" s="23">
        <f>SUM(R1610:R1613)</f>
        <v/>
      </c>
      <c r="S1614" s="23">
        <f>SUM(S1610:S1613)</f>
        <v/>
      </c>
      <c r="T1614" s="23">
        <f>SUM(T1610:T1613)</f>
        <v/>
      </c>
      <c r="U1614" s="23">
        <f>SUM(U1610:U1613)</f>
        <v/>
      </c>
      <c r="V1614" s="23">
        <f>SUM(V1610:V1613)</f>
        <v/>
      </c>
      <c r="W1614" s="23">
        <f>SUM(W1610:W1613)</f>
        <v/>
      </c>
      <c r="X1614" s="23">
        <f>SUM(X1610:X1613)</f>
        <v/>
      </c>
      <c r="Y1614" s="23">
        <f>SUM(Y1610:Y1613)</f>
        <v/>
      </c>
      <c r="Z1614" s="23">
        <f>SUM(Z1610:Z1613)</f>
        <v/>
      </c>
      <c r="AA1614" s="23">
        <f>SUM(AA1610:AA1613)</f>
        <v/>
      </c>
      <c r="AB1614" s="23">
        <f>SUM(AB1610:AB1613)</f>
        <v/>
      </c>
      <c r="AC1614" s="23">
        <f>SUM(AC1610:AC1613)</f>
        <v/>
      </c>
      <c r="AD1614" s="23">
        <f>SUM(AD1610:AD1613)</f>
        <v/>
      </c>
      <c r="AE1614" s="23">
        <f>SUM(AE1610:AE1613)</f>
        <v/>
      </c>
      <c r="AF1614" s="23">
        <f>SUM(AF1610:AF1613)</f>
        <v/>
      </c>
      <c r="AG1614" s="23">
        <f>SUM(AG1610:AG1613)</f>
        <v/>
      </c>
      <c r="AH1614" s="23">
        <f>SUM(AH1610:AH1613)</f>
        <v/>
      </c>
      <c r="AI1614" s="23">
        <f>SUM(AI1610:AI1613)</f>
        <v/>
      </c>
      <c r="AJ1614" s="23">
        <f>SUM(AJ1610:AJ1613)</f>
        <v/>
      </c>
    </row>
    <row r="1615">
      <c r="B1615" s="3" t="inlineStr">
        <is>
          <t>Cash flow available for debt service (CFADS)</t>
        </is>
      </c>
      <c r="C1615" s="5" t="inlineStr">
        <is>
          <t>$ million</t>
        </is>
      </c>
      <c r="D1615" s="23">
        <f>D1609-D1614</f>
        <v/>
      </c>
      <c r="E1615" s="23">
        <f>E1609-E1614</f>
        <v/>
      </c>
      <c r="F1615" s="23">
        <f>F1609-F1614</f>
        <v/>
      </c>
      <c r="G1615" s="23">
        <f>G1609-G1614</f>
        <v/>
      </c>
      <c r="H1615" s="23">
        <f>H1609-H1614</f>
        <v/>
      </c>
      <c r="I1615" s="23">
        <f>I1609-I1614</f>
        <v/>
      </c>
      <c r="J1615" s="23">
        <f>J1609-J1614</f>
        <v/>
      </c>
      <c r="K1615" s="23">
        <f>K1609-K1614</f>
        <v/>
      </c>
      <c r="L1615" s="23">
        <f>L1609-L1614</f>
        <v/>
      </c>
      <c r="M1615" s="23">
        <f>M1609-M1614</f>
        <v/>
      </c>
      <c r="N1615" s="23">
        <f>N1609-N1614</f>
        <v/>
      </c>
      <c r="O1615" s="23">
        <f>O1609-O1614</f>
        <v/>
      </c>
      <c r="P1615" s="23">
        <f>P1609-P1614</f>
        <v/>
      </c>
      <c r="Q1615" s="23">
        <f>Q1609-Q1614</f>
        <v/>
      </c>
      <c r="R1615" s="23">
        <f>R1609-R1614</f>
        <v/>
      </c>
      <c r="S1615" s="23">
        <f>S1609-S1614</f>
        <v/>
      </c>
      <c r="T1615" s="23">
        <f>T1609-T1614</f>
        <v/>
      </c>
      <c r="U1615" s="23">
        <f>U1609-U1614</f>
        <v/>
      </c>
      <c r="V1615" s="23">
        <f>V1609-V1614</f>
        <v/>
      </c>
      <c r="W1615" s="23">
        <f>W1609-W1614</f>
        <v/>
      </c>
      <c r="X1615" s="23">
        <f>X1609-X1614</f>
        <v/>
      </c>
      <c r="Y1615" s="23">
        <f>Y1609-Y1614</f>
        <v/>
      </c>
      <c r="Z1615" s="23">
        <f>Z1609-Z1614</f>
        <v/>
      </c>
      <c r="AA1615" s="23">
        <f>AA1609-AA1614</f>
        <v/>
      </c>
      <c r="AB1615" s="23">
        <f>AB1609-AB1614</f>
        <v/>
      </c>
      <c r="AC1615" s="23">
        <f>AC1609-AC1614</f>
        <v/>
      </c>
      <c r="AD1615" s="23">
        <f>AD1609-AD1614</f>
        <v/>
      </c>
      <c r="AE1615" s="23">
        <f>AE1609-AE1614</f>
        <v/>
      </c>
      <c r="AF1615" s="23">
        <f>AF1609-AF1614</f>
        <v/>
      </c>
      <c r="AG1615" s="23">
        <f>AG1609-AG1614</f>
        <v/>
      </c>
      <c r="AH1615" s="23">
        <f>AH1609-AH1614</f>
        <v/>
      </c>
      <c r="AI1615" s="23">
        <f>AI1609-AI1614</f>
        <v/>
      </c>
      <c r="AJ1615" s="23">
        <f>AJ1609-AJ1614</f>
        <v/>
      </c>
    </row>
    <row r="1617">
      <c r="B1617" s="6" t="inlineStr">
        <is>
          <t>Debt and flows</t>
        </is>
      </c>
      <c r="C1617" s="7" t="n"/>
      <c r="D1617" s="7" t="n"/>
      <c r="E1617" s="7" t="n"/>
      <c r="F1617" s="7" t="n"/>
      <c r="G1617" s="7" t="n"/>
      <c r="H1617" s="7" t="n"/>
      <c r="I1617" s="7" t="n"/>
      <c r="J1617" s="7" t="n"/>
      <c r="K1617" s="7" t="n"/>
      <c r="L1617" s="7" t="n"/>
      <c r="M1617" s="7" t="n"/>
      <c r="N1617" s="7" t="n"/>
      <c r="O1617" s="7" t="n"/>
      <c r="P1617" s="7" t="n"/>
      <c r="Q1617" s="7" t="n"/>
      <c r="R1617" s="7" t="n"/>
      <c r="S1617" s="7" t="n"/>
      <c r="T1617" s="7" t="n"/>
      <c r="U1617" s="7" t="n"/>
      <c r="V1617" s="7" t="n"/>
      <c r="W1617" s="7" t="n"/>
      <c r="X1617" s="7" t="n"/>
      <c r="Y1617" s="7" t="n"/>
      <c r="Z1617" s="7" t="n"/>
      <c r="AA1617" s="7" t="n"/>
      <c r="AB1617" s="7" t="n"/>
      <c r="AC1617" s="7" t="n"/>
      <c r="AD1617" s="7" t="n"/>
      <c r="AE1617" s="7" t="n"/>
      <c r="AF1617" s="7" t="n"/>
      <c r="AG1617" s="7" t="n"/>
      <c r="AH1617" s="7" t="n"/>
      <c r="AI1617" s="7" t="n"/>
      <c r="AJ1617" s="7" t="n"/>
    </row>
    <row r="1618">
      <c r="B1618" s="2" t="inlineStr">
        <is>
          <t>Capital cost paid</t>
        </is>
      </c>
      <c r="C1618" s="5" t="inlineStr">
        <is>
          <t>$ million</t>
        </is>
      </c>
      <c r="D1618" s="23">
        <f>-IF(D1585=sb_start+1,sb_phase1,IF(D1585=sb_start+2,1-sb_phase1,0))*$D$1595</f>
        <v/>
      </c>
      <c r="E1618" s="23">
        <f>-IF(E1585=sb_start+1,sb_phase1,IF(E1585=sb_start+2,1-sb_phase1,0))*$D$1595</f>
        <v/>
      </c>
      <c r="F1618" s="23">
        <f>-IF(F1585=sb_start+1,sb_phase1,IF(F1585=sb_start+2,1-sb_phase1,0))*$D$1595</f>
        <v/>
      </c>
      <c r="G1618" s="23">
        <f>-IF(G1585=sb_start+1,sb_phase1,IF(G1585=sb_start+2,1-sb_phase1,0))*$D$1595</f>
        <v/>
      </c>
      <c r="H1618" s="23">
        <f>-IF(H1585=sb_start+1,sb_phase1,IF(H1585=sb_start+2,1-sb_phase1,0))*$D$1595</f>
        <v/>
      </c>
      <c r="I1618" s="23">
        <f>-IF(I1585=sb_start+1,sb_phase1,IF(I1585=sb_start+2,1-sb_phase1,0))*$D$1595</f>
        <v/>
      </c>
      <c r="J1618" s="23">
        <f>-IF(J1585=sb_start+1,sb_phase1,IF(J1585=sb_start+2,1-sb_phase1,0))*$D$1595</f>
        <v/>
      </c>
      <c r="K1618" s="23">
        <f>-IF(K1585=sb_start+1,sb_phase1,IF(K1585=sb_start+2,1-sb_phase1,0))*$D$1595</f>
        <v/>
      </c>
      <c r="L1618" s="23">
        <f>-IF(L1585=sb_start+1,sb_phase1,IF(L1585=sb_start+2,1-sb_phase1,0))*$D$1595</f>
        <v/>
      </c>
      <c r="M1618" s="23">
        <f>-IF(M1585=sb_start+1,sb_phase1,IF(M1585=sb_start+2,1-sb_phase1,0))*$D$1595</f>
        <v/>
      </c>
      <c r="N1618" s="23">
        <f>-IF(N1585=sb_start+1,sb_phase1,IF(N1585=sb_start+2,1-sb_phase1,0))*$D$1595</f>
        <v/>
      </c>
      <c r="O1618" s="23">
        <f>-IF(O1585=sb_start+1,sb_phase1,IF(O1585=sb_start+2,1-sb_phase1,0))*$D$1595</f>
        <v/>
      </c>
      <c r="P1618" s="23">
        <f>-IF(P1585=sb_start+1,sb_phase1,IF(P1585=sb_start+2,1-sb_phase1,0))*$D$1595</f>
        <v/>
      </c>
      <c r="Q1618" s="23">
        <f>-IF(Q1585=sb_start+1,sb_phase1,IF(Q1585=sb_start+2,1-sb_phase1,0))*$D$1595</f>
        <v/>
      </c>
      <c r="R1618" s="23">
        <f>-IF(R1585=sb_start+1,sb_phase1,IF(R1585=sb_start+2,1-sb_phase1,0))*$D$1595</f>
        <v/>
      </c>
      <c r="S1618" s="23">
        <f>-IF(S1585=sb_start+1,sb_phase1,IF(S1585=sb_start+2,1-sb_phase1,0))*$D$1595</f>
        <v/>
      </c>
      <c r="T1618" s="23">
        <f>-IF(T1585=sb_start+1,sb_phase1,IF(T1585=sb_start+2,1-sb_phase1,0))*$D$1595</f>
        <v/>
      </c>
      <c r="U1618" s="23">
        <f>-IF(U1585=sb_start+1,sb_phase1,IF(U1585=sb_start+2,1-sb_phase1,0))*$D$1595</f>
        <v/>
      </c>
      <c r="V1618" s="23">
        <f>-IF(V1585=sb_start+1,sb_phase1,IF(V1585=sb_start+2,1-sb_phase1,0))*$D$1595</f>
        <v/>
      </c>
      <c r="W1618" s="23">
        <f>-IF(W1585=sb_start+1,sb_phase1,IF(W1585=sb_start+2,1-sb_phase1,0))*$D$1595</f>
        <v/>
      </c>
      <c r="X1618" s="23">
        <f>-IF(X1585=sb_start+1,sb_phase1,IF(X1585=sb_start+2,1-sb_phase1,0))*$D$1595</f>
        <v/>
      </c>
      <c r="Y1618" s="23">
        <f>-IF(Y1585=sb_start+1,sb_phase1,IF(Y1585=sb_start+2,1-sb_phase1,0))*$D$1595</f>
        <v/>
      </c>
      <c r="Z1618" s="23">
        <f>-IF(Z1585=sb_start+1,sb_phase1,IF(Z1585=sb_start+2,1-sb_phase1,0))*$D$1595</f>
        <v/>
      </c>
      <c r="AA1618" s="23">
        <f>-IF(AA1585=sb_start+1,sb_phase1,IF(AA1585=sb_start+2,1-sb_phase1,0))*$D$1595</f>
        <v/>
      </c>
      <c r="AB1618" s="23">
        <f>-IF(AB1585=sb_start+1,sb_phase1,IF(AB1585=sb_start+2,1-sb_phase1,0))*$D$1595</f>
        <v/>
      </c>
      <c r="AC1618" s="23">
        <f>-IF(AC1585=sb_start+1,sb_phase1,IF(AC1585=sb_start+2,1-sb_phase1,0))*$D$1595</f>
        <v/>
      </c>
      <c r="AD1618" s="23">
        <f>-IF(AD1585=sb_start+1,sb_phase1,IF(AD1585=sb_start+2,1-sb_phase1,0))*$D$1595</f>
        <v/>
      </c>
      <c r="AE1618" s="23">
        <f>-IF(AE1585=sb_start+1,sb_phase1,IF(AE1585=sb_start+2,1-sb_phase1,0))*$D$1595</f>
        <v/>
      </c>
      <c r="AF1618" s="23">
        <f>-IF(AF1585=sb_start+1,sb_phase1,IF(AF1585=sb_start+2,1-sb_phase1,0))*$D$1595</f>
        <v/>
      </c>
      <c r="AG1618" s="23">
        <f>-IF(AG1585=sb_start+1,sb_phase1,IF(AG1585=sb_start+2,1-sb_phase1,0))*$D$1595</f>
        <v/>
      </c>
      <c r="AH1618" s="23">
        <f>-IF(AH1585=sb_start+1,sb_phase1,IF(AH1585=sb_start+2,1-sb_phase1,0))*$D$1595</f>
        <v/>
      </c>
      <c r="AI1618" s="23">
        <f>-IF(AI1585=sb_start+1,sb_phase1,IF(AI1585=sb_start+2,1-sb_phase1,0))*$D$1595</f>
        <v/>
      </c>
      <c r="AJ1618" s="23">
        <f>-IF(AJ1585=sb_start+1,sb_phase1,IF(AJ1585=sb_start+2,1-sb_phase1,0))*$D$1595</f>
        <v/>
      </c>
    </row>
    <row r="1619">
      <c r="B1619" s="2" t="inlineStr">
        <is>
          <t>Debt discount factor (tenor years)</t>
        </is>
      </c>
      <c r="D1619" s="28">
        <f>IF(AND(D1586=1,D1587&lt;sb_tenor),1/(1+sb_kd)^(D1587+1),0)</f>
        <v/>
      </c>
      <c r="E1619" s="28">
        <f>IF(AND(E1586=1,E1587&lt;sb_tenor),1/(1+sb_kd)^(E1587+1),0)</f>
        <v/>
      </c>
      <c r="F1619" s="28">
        <f>IF(AND(F1586=1,F1587&lt;sb_tenor),1/(1+sb_kd)^(F1587+1),0)</f>
        <v/>
      </c>
      <c r="G1619" s="28">
        <f>IF(AND(G1586=1,G1587&lt;sb_tenor),1/(1+sb_kd)^(G1587+1),0)</f>
        <v/>
      </c>
      <c r="H1619" s="28">
        <f>IF(AND(H1586=1,H1587&lt;sb_tenor),1/(1+sb_kd)^(H1587+1),0)</f>
        <v/>
      </c>
      <c r="I1619" s="28">
        <f>IF(AND(I1586=1,I1587&lt;sb_tenor),1/(1+sb_kd)^(I1587+1),0)</f>
        <v/>
      </c>
      <c r="J1619" s="28">
        <f>IF(AND(J1586=1,J1587&lt;sb_tenor),1/(1+sb_kd)^(J1587+1),0)</f>
        <v/>
      </c>
      <c r="K1619" s="28">
        <f>IF(AND(K1586=1,K1587&lt;sb_tenor),1/(1+sb_kd)^(K1587+1),0)</f>
        <v/>
      </c>
      <c r="L1619" s="28">
        <f>IF(AND(L1586=1,L1587&lt;sb_tenor),1/(1+sb_kd)^(L1587+1),0)</f>
        <v/>
      </c>
      <c r="M1619" s="28">
        <f>IF(AND(M1586=1,M1587&lt;sb_tenor),1/(1+sb_kd)^(M1587+1),0)</f>
        <v/>
      </c>
      <c r="N1619" s="28">
        <f>IF(AND(N1586=1,N1587&lt;sb_tenor),1/(1+sb_kd)^(N1587+1),0)</f>
        <v/>
      </c>
      <c r="O1619" s="28">
        <f>IF(AND(O1586=1,O1587&lt;sb_tenor),1/(1+sb_kd)^(O1587+1),0)</f>
        <v/>
      </c>
      <c r="P1619" s="28">
        <f>IF(AND(P1586=1,P1587&lt;sb_tenor),1/(1+sb_kd)^(P1587+1),0)</f>
        <v/>
      </c>
      <c r="Q1619" s="28">
        <f>IF(AND(Q1586=1,Q1587&lt;sb_tenor),1/(1+sb_kd)^(Q1587+1),0)</f>
        <v/>
      </c>
      <c r="R1619" s="28">
        <f>IF(AND(R1586=1,R1587&lt;sb_tenor),1/(1+sb_kd)^(R1587+1),0)</f>
        <v/>
      </c>
      <c r="S1619" s="28">
        <f>IF(AND(S1586=1,S1587&lt;sb_tenor),1/(1+sb_kd)^(S1587+1),0)</f>
        <v/>
      </c>
      <c r="T1619" s="28">
        <f>IF(AND(T1586=1,T1587&lt;sb_tenor),1/(1+sb_kd)^(T1587+1),0)</f>
        <v/>
      </c>
      <c r="U1619" s="28">
        <f>IF(AND(U1586=1,U1587&lt;sb_tenor),1/(1+sb_kd)^(U1587+1),0)</f>
        <v/>
      </c>
      <c r="V1619" s="28">
        <f>IF(AND(V1586=1,V1587&lt;sb_tenor),1/(1+sb_kd)^(V1587+1),0)</f>
        <v/>
      </c>
      <c r="W1619" s="28">
        <f>IF(AND(W1586=1,W1587&lt;sb_tenor),1/(1+sb_kd)^(W1587+1),0)</f>
        <v/>
      </c>
      <c r="X1619" s="28">
        <f>IF(AND(X1586=1,X1587&lt;sb_tenor),1/(1+sb_kd)^(X1587+1),0)</f>
        <v/>
      </c>
      <c r="Y1619" s="28">
        <f>IF(AND(Y1586=1,Y1587&lt;sb_tenor),1/(1+sb_kd)^(Y1587+1),0)</f>
        <v/>
      </c>
      <c r="Z1619" s="28">
        <f>IF(AND(Z1586=1,Z1587&lt;sb_tenor),1/(1+sb_kd)^(Z1587+1),0)</f>
        <v/>
      </c>
      <c r="AA1619" s="28">
        <f>IF(AND(AA1586=1,AA1587&lt;sb_tenor),1/(1+sb_kd)^(AA1587+1),0)</f>
        <v/>
      </c>
      <c r="AB1619" s="28">
        <f>IF(AND(AB1586=1,AB1587&lt;sb_tenor),1/(1+sb_kd)^(AB1587+1),0)</f>
        <v/>
      </c>
      <c r="AC1619" s="28">
        <f>IF(AND(AC1586=1,AC1587&lt;sb_tenor),1/(1+sb_kd)^(AC1587+1),0)</f>
        <v/>
      </c>
      <c r="AD1619" s="28">
        <f>IF(AND(AD1586=1,AD1587&lt;sb_tenor),1/(1+sb_kd)^(AD1587+1),0)</f>
        <v/>
      </c>
      <c r="AE1619" s="28">
        <f>IF(AND(AE1586=1,AE1587&lt;sb_tenor),1/(1+sb_kd)^(AE1587+1),0)</f>
        <v/>
      </c>
      <c r="AF1619" s="28">
        <f>IF(AND(AF1586=1,AF1587&lt;sb_tenor),1/(1+sb_kd)^(AF1587+1),0)</f>
        <v/>
      </c>
      <c r="AG1619" s="28">
        <f>IF(AND(AG1586=1,AG1587&lt;sb_tenor),1/(1+sb_kd)^(AG1587+1),0)</f>
        <v/>
      </c>
      <c r="AH1619" s="28">
        <f>IF(AND(AH1586=1,AH1587&lt;sb_tenor),1/(1+sb_kd)^(AH1587+1),0)</f>
        <v/>
      </c>
      <c r="AI1619" s="28">
        <f>IF(AND(AI1586=1,AI1587&lt;sb_tenor),1/(1+sb_kd)^(AI1587+1),0)</f>
        <v/>
      </c>
      <c r="AJ1619" s="28">
        <f>IF(AND(AJ1586=1,AJ1587&lt;sb_tenor),1/(1+sb_kd)^(AJ1587+1),0)</f>
        <v/>
      </c>
    </row>
    <row r="1620">
      <c r="B1620" s="2" t="inlineStr">
        <is>
          <t>Debt capacity at the sizing cover (PV of CFADS / cover)</t>
        </is>
      </c>
      <c r="C1620" s="5" t="inlineStr">
        <is>
          <t>$ million</t>
        </is>
      </c>
      <c r="D1620" s="23">
        <f>SUMPRODUCT($D$1615:AJ$1615,$D$1619:AJ$1619)/sb_dscr</f>
        <v/>
      </c>
    </row>
    <row r="1621">
      <c r="B1621" s="2" t="inlineStr">
        <is>
          <t>Senior debt (lower of cover sizing and gearing cap)</t>
        </is>
      </c>
      <c r="C1621" s="5" t="inlineStr">
        <is>
          <t>$ million</t>
        </is>
      </c>
      <c r="D1621" s="23">
        <f>MIN($D$1620,sb_gear*$D$1595)</f>
        <v/>
      </c>
    </row>
    <row r="1622">
      <c r="B1622" s="2" t="inlineStr">
        <is>
          <t>Gearing</t>
        </is>
      </c>
      <c r="C1622" s="5" t="inlineStr">
        <is>
          <t>share</t>
        </is>
      </c>
      <c r="D1622" s="20">
        <f>$D$1621/$D$1595</f>
        <v/>
      </c>
    </row>
    <row r="1623">
      <c r="B1623" s="2" t="inlineStr">
        <is>
          <t>Debt service (sculpted)</t>
        </is>
      </c>
      <c r="C1623" s="5" t="inlineStr">
        <is>
          <t>$ million</t>
        </is>
      </c>
      <c r="D1623" s="23">
        <f>IF(D1619&gt;0,D1615/sb_dscr*$D$1621/$D$1620,0)</f>
        <v/>
      </c>
      <c r="E1623" s="23">
        <f>IF(E1619&gt;0,E1615/sb_dscr*$D$1621/$D$1620,0)</f>
        <v/>
      </c>
      <c r="F1623" s="23">
        <f>IF(F1619&gt;0,F1615/sb_dscr*$D$1621/$D$1620,0)</f>
        <v/>
      </c>
      <c r="G1623" s="23">
        <f>IF(G1619&gt;0,G1615/sb_dscr*$D$1621/$D$1620,0)</f>
        <v/>
      </c>
      <c r="H1623" s="23">
        <f>IF(H1619&gt;0,H1615/sb_dscr*$D$1621/$D$1620,0)</f>
        <v/>
      </c>
      <c r="I1623" s="23">
        <f>IF(I1619&gt;0,I1615/sb_dscr*$D$1621/$D$1620,0)</f>
        <v/>
      </c>
      <c r="J1623" s="23">
        <f>IF(J1619&gt;0,J1615/sb_dscr*$D$1621/$D$1620,0)</f>
        <v/>
      </c>
      <c r="K1623" s="23">
        <f>IF(K1619&gt;0,K1615/sb_dscr*$D$1621/$D$1620,0)</f>
        <v/>
      </c>
      <c r="L1623" s="23">
        <f>IF(L1619&gt;0,L1615/sb_dscr*$D$1621/$D$1620,0)</f>
        <v/>
      </c>
      <c r="M1623" s="23">
        <f>IF(M1619&gt;0,M1615/sb_dscr*$D$1621/$D$1620,0)</f>
        <v/>
      </c>
      <c r="N1623" s="23">
        <f>IF(N1619&gt;0,N1615/sb_dscr*$D$1621/$D$1620,0)</f>
        <v/>
      </c>
      <c r="O1623" s="23">
        <f>IF(O1619&gt;0,O1615/sb_dscr*$D$1621/$D$1620,0)</f>
        <v/>
      </c>
      <c r="P1623" s="23">
        <f>IF(P1619&gt;0,P1615/sb_dscr*$D$1621/$D$1620,0)</f>
        <v/>
      </c>
      <c r="Q1623" s="23">
        <f>IF(Q1619&gt;0,Q1615/sb_dscr*$D$1621/$D$1620,0)</f>
        <v/>
      </c>
      <c r="R1623" s="23">
        <f>IF(R1619&gt;0,R1615/sb_dscr*$D$1621/$D$1620,0)</f>
        <v/>
      </c>
      <c r="S1623" s="23">
        <f>IF(S1619&gt;0,S1615/sb_dscr*$D$1621/$D$1620,0)</f>
        <v/>
      </c>
      <c r="T1623" s="23">
        <f>IF(T1619&gt;0,T1615/sb_dscr*$D$1621/$D$1620,0)</f>
        <v/>
      </c>
      <c r="U1623" s="23">
        <f>IF(U1619&gt;0,U1615/sb_dscr*$D$1621/$D$1620,0)</f>
        <v/>
      </c>
      <c r="V1623" s="23">
        <f>IF(V1619&gt;0,V1615/sb_dscr*$D$1621/$D$1620,0)</f>
        <v/>
      </c>
      <c r="W1623" s="23">
        <f>IF(W1619&gt;0,W1615/sb_dscr*$D$1621/$D$1620,0)</f>
        <v/>
      </c>
      <c r="X1623" s="23">
        <f>IF(X1619&gt;0,X1615/sb_dscr*$D$1621/$D$1620,0)</f>
        <v/>
      </c>
      <c r="Y1623" s="23">
        <f>IF(Y1619&gt;0,Y1615/sb_dscr*$D$1621/$D$1620,0)</f>
        <v/>
      </c>
      <c r="Z1623" s="23">
        <f>IF(Z1619&gt;0,Z1615/sb_dscr*$D$1621/$D$1620,0)</f>
        <v/>
      </c>
      <c r="AA1623" s="23">
        <f>IF(AA1619&gt;0,AA1615/sb_dscr*$D$1621/$D$1620,0)</f>
        <v/>
      </c>
      <c r="AB1623" s="23">
        <f>IF(AB1619&gt;0,AB1615/sb_dscr*$D$1621/$D$1620,0)</f>
        <v/>
      </c>
      <c r="AC1623" s="23">
        <f>IF(AC1619&gt;0,AC1615/sb_dscr*$D$1621/$D$1620,0)</f>
        <v/>
      </c>
      <c r="AD1623" s="23">
        <f>IF(AD1619&gt;0,AD1615/sb_dscr*$D$1621/$D$1620,0)</f>
        <v/>
      </c>
      <c r="AE1623" s="23">
        <f>IF(AE1619&gt;0,AE1615/sb_dscr*$D$1621/$D$1620,0)</f>
        <v/>
      </c>
      <c r="AF1623" s="23">
        <f>IF(AF1619&gt;0,AF1615/sb_dscr*$D$1621/$D$1620,0)</f>
        <v/>
      </c>
      <c r="AG1623" s="23">
        <f>IF(AG1619&gt;0,AG1615/sb_dscr*$D$1621/$D$1620,0)</f>
        <v/>
      </c>
      <c r="AH1623" s="23">
        <f>IF(AH1619&gt;0,AH1615/sb_dscr*$D$1621/$D$1620,0)</f>
        <v/>
      </c>
      <c r="AI1623" s="23">
        <f>IF(AI1619&gt;0,AI1615/sb_dscr*$D$1621/$D$1620,0)</f>
        <v/>
      </c>
      <c r="AJ1623" s="23">
        <f>IF(AJ1619&gt;0,AJ1615/sb_dscr*$D$1621/$D$1620,0)</f>
        <v/>
      </c>
    </row>
    <row r="1624">
      <c r="B1624" s="2" t="inlineStr">
        <is>
          <t>Debt service cover</t>
        </is>
      </c>
      <c r="C1624" s="5" t="inlineStr">
        <is>
          <t>x</t>
        </is>
      </c>
      <c r="D1624" s="30">
        <f>IF(D1623&gt;0,D1615/D1623,"")</f>
        <v/>
      </c>
      <c r="E1624" s="30">
        <f>IF(E1623&gt;0,E1615/E1623,"")</f>
        <v/>
      </c>
      <c r="F1624" s="30">
        <f>IF(F1623&gt;0,F1615/F1623,"")</f>
        <v/>
      </c>
      <c r="G1624" s="30">
        <f>IF(G1623&gt;0,G1615/G1623,"")</f>
        <v/>
      </c>
      <c r="H1624" s="30">
        <f>IF(H1623&gt;0,H1615/H1623,"")</f>
        <v/>
      </c>
      <c r="I1624" s="30">
        <f>IF(I1623&gt;0,I1615/I1623,"")</f>
        <v/>
      </c>
      <c r="J1624" s="30">
        <f>IF(J1623&gt;0,J1615/J1623,"")</f>
        <v/>
      </c>
      <c r="K1624" s="30">
        <f>IF(K1623&gt;0,K1615/K1623,"")</f>
        <v/>
      </c>
      <c r="L1624" s="30">
        <f>IF(L1623&gt;0,L1615/L1623,"")</f>
        <v/>
      </c>
      <c r="M1624" s="30">
        <f>IF(M1623&gt;0,M1615/M1623,"")</f>
        <v/>
      </c>
      <c r="N1624" s="30">
        <f>IF(N1623&gt;0,N1615/N1623,"")</f>
        <v/>
      </c>
      <c r="O1624" s="30">
        <f>IF(O1623&gt;0,O1615/O1623,"")</f>
        <v/>
      </c>
      <c r="P1624" s="30">
        <f>IF(P1623&gt;0,P1615/P1623,"")</f>
        <v/>
      </c>
      <c r="Q1624" s="30">
        <f>IF(Q1623&gt;0,Q1615/Q1623,"")</f>
        <v/>
      </c>
      <c r="R1624" s="30">
        <f>IF(R1623&gt;0,R1615/R1623,"")</f>
        <v/>
      </c>
      <c r="S1624" s="30">
        <f>IF(S1623&gt;0,S1615/S1623,"")</f>
        <v/>
      </c>
      <c r="T1624" s="30">
        <f>IF(T1623&gt;0,T1615/T1623,"")</f>
        <v/>
      </c>
      <c r="U1624" s="30">
        <f>IF(U1623&gt;0,U1615/U1623,"")</f>
        <v/>
      </c>
      <c r="V1624" s="30">
        <f>IF(V1623&gt;0,V1615/V1623,"")</f>
        <v/>
      </c>
      <c r="W1624" s="30">
        <f>IF(W1623&gt;0,W1615/W1623,"")</f>
        <v/>
      </c>
      <c r="X1624" s="30">
        <f>IF(X1623&gt;0,X1615/X1623,"")</f>
        <v/>
      </c>
      <c r="Y1624" s="30">
        <f>IF(Y1623&gt;0,Y1615/Y1623,"")</f>
        <v/>
      </c>
      <c r="Z1624" s="30">
        <f>IF(Z1623&gt;0,Z1615/Z1623,"")</f>
        <v/>
      </c>
      <c r="AA1624" s="30">
        <f>IF(AA1623&gt;0,AA1615/AA1623,"")</f>
        <v/>
      </c>
      <c r="AB1624" s="30">
        <f>IF(AB1623&gt;0,AB1615/AB1623,"")</f>
        <v/>
      </c>
      <c r="AC1624" s="30">
        <f>IF(AC1623&gt;0,AC1615/AC1623,"")</f>
        <v/>
      </c>
      <c r="AD1624" s="30">
        <f>IF(AD1623&gt;0,AD1615/AD1623,"")</f>
        <v/>
      </c>
      <c r="AE1624" s="30">
        <f>IF(AE1623&gt;0,AE1615/AE1623,"")</f>
        <v/>
      </c>
      <c r="AF1624" s="30">
        <f>IF(AF1623&gt;0,AF1615/AF1623,"")</f>
        <v/>
      </c>
      <c r="AG1624" s="30">
        <f>IF(AG1623&gt;0,AG1615/AG1623,"")</f>
        <v/>
      </c>
      <c r="AH1624" s="30">
        <f>IF(AH1623&gt;0,AH1615/AH1623,"")</f>
        <v/>
      </c>
      <c r="AI1624" s="30">
        <f>IF(AI1623&gt;0,AI1615/AI1623,"")</f>
        <v/>
      </c>
      <c r="AJ1624" s="30">
        <f>IF(AJ1623&gt;0,AJ1615/AJ1623,"")</f>
        <v/>
      </c>
    </row>
    <row r="1625">
      <c r="B1625" s="3" t="inlineStr">
        <is>
          <t>Project flows (unlevered, pre-tax)</t>
        </is>
      </c>
      <c r="C1625" s="5" t="inlineStr">
        <is>
          <t>$ million</t>
        </is>
      </c>
      <c r="D1625" s="23">
        <f>D1618+D1615</f>
        <v/>
      </c>
      <c r="E1625" s="23">
        <f>E1618+E1615</f>
        <v/>
      </c>
      <c r="F1625" s="23">
        <f>F1618+F1615</f>
        <v/>
      </c>
      <c r="G1625" s="23">
        <f>G1618+G1615</f>
        <v/>
      </c>
      <c r="H1625" s="23">
        <f>H1618+H1615</f>
        <v/>
      </c>
      <c r="I1625" s="23">
        <f>I1618+I1615</f>
        <v/>
      </c>
      <c r="J1625" s="23">
        <f>J1618+J1615</f>
        <v/>
      </c>
      <c r="K1625" s="23">
        <f>K1618+K1615</f>
        <v/>
      </c>
      <c r="L1625" s="23">
        <f>L1618+L1615</f>
        <v/>
      </c>
      <c r="M1625" s="23">
        <f>M1618+M1615</f>
        <v/>
      </c>
      <c r="N1625" s="23">
        <f>N1618+N1615</f>
        <v/>
      </c>
      <c r="O1625" s="23">
        <f>O1618+O1615</f>
        <v/>
      </c>
      <c r="P1625" s="23">
        <f>P1618+P1615</f>
        <v/>
      </c>
      <c r="Q1625" s="23">
        <f>Q1618+Q1615</f>
        <v/>
      </c>
      <c r="R1625" s="23">
        <f>R1618+R1615</f>
        <v/>
      </c>
      <c r="S1625" s="23">
        <f>S1618+S1615</f>
        <v/>
      </c>
      <c r="T1625" s="23">
        <f>T1618+T1615</f>
        <v/>
      </c>
      <c r="U1625" s="23">
        <f>U1618+U1615</f>
        <v/>
      </c>
      <c r="V1625" s="23">
        <f>V1618+V1615</f>
        <v/>
      </c>
      <c r="W1625" s="23">
        <f>W1618+W1615</f>
        <v/>
      </c>
      <c r="X1625" s="23">
        <f>X1618+X1615</f>
        <v/>
      </c>
      <c r="Y1625" s="23">
        <f>Y1618+Y1615</f>
        <v/>
      </c>
      <c r="Z1625" s="23">
        <f>Z1618+Z1615</f>
        <v/>
      </c>
      <c r="AA1625" s="23">
        <f>AA1618+AA1615</f>
        <v/>
      </c>
      <c r="AB1625" s="23">
        <f>AB1618+AB1615</f>
        <v/>
      </c>
      <c r="AC1625" s="23">
        <f>AC1618+AC1615</f>
        <v/>
      </c>
      <c r="AD1625" s="23">
        <f>AD1618+AD1615</f>
        <v/>
      </c>
      <c r="AE1625" s="23">
        <f>AE1618+AE1615</f>
        <v/>
      </c>
      <c r="AF1625" s="23">
        <f>AF1618+AF1615</f>
        <v/>
      </c>
      <c r="AG1625" s="23">
        <f>AG1618+AG1615</f>
        <v/>
      </c>
      <c r="AH1625" s="23">
        <f>AH1618+AH1615</f>
        <v/>
      </c>
      <c r="AI1625" s="23">
        <f>AI1618+AI1615</f>
        <v/>
      </c>
      <c r="AJ1625" s="23">
        <f>AJ1618+AJ1615</f>
        <v/>
      </c>
    </row>
    <row r="1626">
      <c r="B1626" s="3" t="inlineStr">
        <is>
          <t>Equity flows (pre-tax)</t>
        </is>
      </c>
      <c r="C1626" s="5" t="inlineStr">
        <is>
          <t>$ million</t>
        </is>
      </c>
      <c r="D1626" s="23">
        <f>D1618*(1-$D$1622)+D1615-D1623</f>
        <v/>
      </c>
      <c r="E1626" s="23">
        <f>E1618*(1-$D$1622)+E1615-E1623</f>
        <v/>
      </c>
      <c r="F1626" s="23">
        <f>F1618*(1-$D$1622)+F1615-F1623</f>
        <v/>
      </c>
      <c r="G1626" s="23">
        <f>G1618*(1-$D$1622)+G1615-G1623</f>
        <v/>
      </c>
      <c r="H1626" s="23">
        <f>H1618*(1-$D$1622)+H1615-H1623</f>
        <v/>
      </c>
      <c r="I1626" s="23">
        <f>I1618*(1-$D$1622)+I1615-I1623</f>
        <v/>
      </c>
      <c r="J1626" s="23">
        <f>J1618*(1-$D$1622)+J1615-J1623</f>
        <v/>
      </c>
      <c r="K1626" s="23">
        <f>K1618*(1-$D$1622)+K1615-K1623</f>
        <v/>
      </c>
      <c r="L1626" s="23">
        <f>L1618*(1-$D$1622)+L1615-L1623</f>
        <v/>
      </c>
      <c r="M1626" s="23">
        <f>M1618*(1-$D$1622)+M1615-M1623</f>
        <v/>
      </c>
      <c r="N1626" s="23">
        <f>N1618*(1-$D$1622)+N1615-N1623</f>
        <v/>
      </c>
      <c r="O1626" s="23">
        <f>O1618*(1-$D$1622)+O1615-O1623</f>
        <v/>
      </c>
      <c r="P1626" s="23">
        <f>P1618*(1-$D$1622)+P1615-P1623</f>
        <v/>
      </c>
      <c r="Q1626" s="23">
        <f>Q1618*(1-$D$1622)+Q1615-Q1623</f>
        <v/>
      </c>
      <c r="R1626" s="23">
        <f>R1618*(1-$D$1622)+R1615-R1623</f>
        <v/>
      </c>
      <c r="S1626" s="23">
        <f>S1618*(1-$D$1622)+S1615-S1623</f>
        <v/>
      </c>
      <c r="T1626" s="23">
        <f>T1618*(1-$D$1622)+T1615-T1623</f>
        <v/>
      </c>
      <c r="U1626" s="23">
        <f>U1618*(1-$D$1622)+U1615-U1623</f>
        <v/>
      </c>
      <c r="V1626" s="23">
        <f>V1618*(1-$D$1622)+V1615-V1623</f>
        <v/>
      </c>
      <c r="W1626" s="23">
        <f>W1618*(1-$D$1622)+W1615-W1623</f>
        <v/>
      </c>
      <c r="X1626" s="23">
        <f>X1618*(1-$D$1622)+X1615-X1623</f>
        <v/>
      </c>
      <c r="Y1626" s="23">
        <f>Y1618*(1-$D$1622)+Y1615-Y1623</f>
        <v/>
      </c>
      <c r="Z1626" s="23">
        <f>Z1618*(1-$D$1622)+Z1615-Z1623</f>
        <v/>
      </c>
      <c r="AA1626" s="23">
        <f>AA1618*(1-$D$1622)+AA1615-AA1623</f>
        <v/>
      </c>
      <c r="AB1626" s="23">
        <f>AB1618*(1-$D$1622)+AB1615-AB1623</f>
        <v/>
      </c>
      <c r="AC1626" s="23">
        <f>AC1618*(1-$D$1622)+AC1615-AC1623</f>
        <v/>
      </c>
      <c r="AD1626" s="23">
        <f>AD1618*(1-$D$1622)+AD1615-AD1623</f>
        <v/>
      </c>
      <c r="AE1626" s="23">
        <f>AE1618*(1-$D$1622)+AE1615-AE1623</f>
        <v/>
      </c>
      <c r="AF1626" s="23">
        <f>AF1618*(1-$D$1622)+AF1615-AF1623</f>
        <v/>
      </c>
      <c r="AG1626" s="23">
        <f>AG1618*(1-$D$1622)+AG1615-AG1623</f>
        <v/>
      </c>
      <c r="AH1626" s="23">
        <f>AH1618*(1-$D$1622)+AH1615-AH1623</f>
        <v/>
      </c>
      <c r="AI1626" s="23">
        <f>AI1618*(1-$D$1622)+AI1615-AI1623</f>
        <v/>
      </c>
      <c r="AJ1626" s="23">
        <f>AJ1618*(1-$D$1622)+AJ1615-AJ1623</f>
        <v/>
      </c>
    </row>
    <row r="1627">
      <c r="B1627" s="2" t="inlineStr">
        <is>
          <t>Project IRR</t>
        </is>
      </c>
      <c r="C1627" s="5" t="inlineStr">
        <is>
          <t>rate</t>
        </is>
      </c>
      <c r="D1627" s="27">
        <f>IRR($D$1625:AJ$1625,0.07)</f>
        <v/>
      </c>
    </row>
    <row r="1628">
      <c r="B1628" s="2" t="inlineStr">
        <is>
          <t>Equity IRR</t>
        </is>
      </c>
      <c r="C1628" s="5" t="inlineStr">
        <is>
          <t>rate</t>
        </is>
      </c>
      <c r="D1628" s="27">
        <f>IRR($D$1626:AJ$1626,0.1)</f>
        <v/>
      </c>
    </row>
    <row r="1629">
      <c r="B1629" s="2" t="inlineStr">
        <is>
          <t>Equity invested</t>
        </is>
      </c>
      <c r="C1629" s="5" t="inlineStr">
        <is>
          <t>$ million</t>
        </is>
      </c>
      <c r="D1629" s="23">
        <f>-SUMPRODUCT($D$1618:AJ$1618)*(1-$D$1622)</f>
        <v/>
      </c>
    </row>
    <row r="1632">
      <c r="B1632" s="6" t="inlineStr">
        <is>
          <t>C4: Power price +$20 per MWh, passed through (Sorrel Bay, pre-tax, at the bid capacity charge)</t>
        </is>
      </c>
      <c r="C1632" s="7" t="n"/>
      <c r="D1632" s="7" t="n"/>
      <c r="E1632" s="7" t="n"/>
      <c r="F1632" s="7" t="n"/>
      <c r="G1632" s="7" t="n"/>
      <c r="H1632" s="7" t="n"/>
      <c r="I1632" s="7" t="n"/>
      <c r="J1632" s="7" t="n"/>
      <c r="K1632" s="7" t="n"/>
      <c r="L1632" s="7" t="n"/>
      <c r="M1632" s="7" t="n"/>
      <c r="N1632" s="7" t="n"/>
      <c r="O1632" s="7" t="n"/>
      <c r="P1632" s="7" t="n"/>
      <c r="Q1632" s="7" t="n"/>
      <c r="R1632" s="7" t="n"/>
      <c r="S1632" s="7" t="n"/>
      <c r="T1632" s="7" t="n"/>
      <c r="U1632" s="7" t="n"/>
      <c r="V1632" s="7" t="n"/>
      <c r="W1632" s="7" t="n"/>
      <c r="X1632" s="7" t="n"/>
      <c r="Y1632" s="7" t="n"/>
      <c r="Z1632" s="7" t="n"/>
      <c r="AA1632" s="7" t="n"/>
      <c r="AB1632" s="7" t="n"/>
      <c r="AC1632" s="7" t="n"/>
      <c r="AD1632" s="7" t="n"/>
      <c r="AE1632" s="7" t="n"/>
      <c r="AF1632" s="7" t="n"/>
      <c r="AG1632" s="7" t="n"/>
      <c r="AH1632" s="7" t="n"/>
      <c r="AI1632" s="7" t="n"/>
      <c r="AJ1632" s="7" t="n"/>
    </row>
    <row r="1633">
      <c r="B1633" s="2" t="inlineStr">
        <is>
          <t>Year (31 December)</t>
        </is>
      </c>
      <c r="D1633" s="26">
        <f>sb_start</f>
        <v/>
      </c>
      <c r="E1633" s="26">
        <f>D1633+1</f>
        <v/>
      </c>
      <c r="F1633" s="26">
        <f>E1633+1</f>
        <v/>
      </c>
      <c r="G1633" s="26">
        <f>F1633+1</f>
        <v/>
      </c>
      <c r="H1633" s="26">
        <f>G1633+1</f>
        <v/>
      </c>
      <c r="I1633" s="26">
        <f>H1633+1</f>
        <v/>
      </c>
      <c r="J1633" s="26">
        <f>I1633+1</f>
        <v/>
      </c>
      <c r="K1633" s="26">
        <f>J1633+1</f>
        <v/>
      </c>
      <c r="L1633" s="26">
        <f>K1633+1</f>
        <v/>
      </c>
      <c r="M1633" s="26">
        <f>L1633+1</f>
        <v/>
      </c>
      <c r="N1633" s="26">
        <f>M1633+1</f>
        <v/>
      </c>
      <c r="O1633" s="26">
        <f>N1633+1</f>
        <v/>
      </c>
      <c r="P1633" s="26">
        <f>O1633+1</f>
        <v/>
      </c>
      <c r="Q1633" s="26">
        <f>P1633+1</f>
        <v/>
      </c>
      <c r="R1633" s="26">
        <f>Q1633+1</f>
        <v/>
      </c>
      <c r="S1633" s="26">
        <f>R1633+1</f>
        <v/>
      </c>
      <c r="T1633" s="26">
        <f>S1633+1</f>
        <v/>
      </c>
      <c r="U1633" s="26">
        <f>T1633+1</f>
        <v/>
      </c>
      <c r="V1633" s="26">
        <f>U1633+1</f>
        <v/>
      </c>
      <c r="W1633" s="26">
        <f>V1633+1</f>
        <v/>
      </c>
      <c r="X1633" s="26">
        <f>W1633+1</f>
        <v/>
      </c>
      <c r="Y1633" s="26">
        <f>X1633+1</f>
        <v/>
      </c>
      <c r="Z1633" s="26">
        <f>Y1633+1</f>
        <v/>
      </c>
      <c r="AA1633" s="26">
        <f>Z1633+1</f>
        <v/>
      </c>
      <c r="AB1633" s="26">
        <f>AA1633+1</f>
        <v/>
      </c>
      <c r="AC1633" s="26">
        <f>AB1633+1</f>
        <v/>
      </c>
      <c r="AD1633" s="26">
        <f>AC1633+1</f>
        <v/>
      </c>
      <c r="AE1633" s="26">
        <f>AD1633+1</f>
        <v/>
      </c>
      <c r="AF1633" s="26">
        <f>AE1633+1</f>
        <v/>
      </c>
      <c r="AG1633" s="26">
        <f>AF1633+1</f>
        <v/>
      </c>
      <c r="AH1633" s="26">
        <f>AG1633+1</f>
        <v/>
      </c>
      <c r="AI1633" s="26">
        <f>AH1633+1</f>
        <v/>
      </c>
      <c r="AJ1633" s="26">
        <f>AI1633+1</f>
        <v/>
      </c>
    </row>
    <row r="1634">
      <c r="B1634" s="2" t="inlineStr">
        <is>
          <t>Operating year (1 = yes)</t>
        </is>
      </c>
      <c r="D1634" s="26">
        <f>IF(AND(D1633&gt;=sb_cod,D1633&lt;sb_cod+sb_term),1,0)</f>
        <v/>
      </c>
      <c r="E1634" s="26">
        <f>IF(AND(E1633&gt;=sb_cod,E1633&lt;sb_cod+sb_term),1,0)</f>
        <v/>
      </c>
      <c r="F1634" s="26">
        <f>IF(AND(F1633&gt;=sb_cod,F1633&lt;sb_cod+sb_term),1,0)</f>
        <v/>
      </c>
      <c r="G1634" s="26">
        <f>IF(AND(G1633&gt;=sb_cod,G1633&lt;sb_cod+sb_term),1,0)</f>
        <v/>
      </c>
      <c r="H1634" s="26">
        <f>IF(AND(H1633&gt;=sb_cod,H1633&lt;sb_cod+sb_term),1,0)</f>
        <v/>
      </c>
      <c r="I1634" s="26">
        <f>IF(AND(I1633&gt;=sb_cod,I1633&lt;sb_cod+sb_term),1,0)</f>
        <v/>
      </c>
      <c r="J1634" s="26">
        <f>IF(AND(J1633&gt;=sb_cod,J1633&lt;sb_cod+sb_term),1,0)</f>
        <v/>
      </c>
      <c r="K1634" s="26">
        <f>IF(AND(K1633&gt;=sb_cod,K1633&lt;sb_cod+sb_term),1,0)</f>
        <v/>
      </c>
      <c r="L1634" s="26">
        <f>IF(AND(L1633&gt;=sb_cod,L1633&lt;sb_cod+sb_term),1,0)</f>
        <v/>
      </c>
      <c r="M1634" s="26">
        <f>IF(AND(M1633&gt;=sb_cod,M1633&lt;sb_cod+sb_term),1,0)</f>
        <v/>
      </c>
      <c r="N1634" s="26">
        <f>IF(AND(N1633&gt;=sb_cod,N1633&lt;sb_cod+sb_term),1,0)</f>
        <v/>
      </c>
      <c r="O1634" s="26">
        <f>IF(AND(O1633&gt;=sb_cod,O1633&lt;sb_cod+sb_term),1,0)</f>
        <v/>
      </c>
      <c r="P1634" s="26">
        <f>IF(AND(P1633&gt;=sb_cod,P1633&lt;sb_cod+sb_term),1,0)</f>
        <v/>
      </c>
      <c r="Q1634" s="26">
        <f>IF(AND(Q1633&gt;=sb_cod,Q1633&lt;sb_cod+sb_term),1,0)</f>
        <v/>
      </c>
      <c r="R1634" s="26">
        <f>IF(AND(R1633&gt;=sb_cod,R1633&lt;sb_cod+sb_term),1,0)</f>
        <v/>
      </c>
      <c r="S1634" s="26">
        <f>IF(AND(S1633&gt;=sb_cod,S1633&lt;sb_cod+sb_term),1,0)</f>
        <v/>
      </c>
      <c r="T1634" s="26">
        <f>IF(AND(T1633&gt;=sb_cod,T1633&lt;sb_cod+sb_term),1,0)</f>
        <v/>
      </c>
      <c r="U1634" s="26">
        <f>IF(AND(U1633&gt;=sb_cod,U1633&lt;sb_cod+sb_term),1,0)</f>
        <v/>
      </c>
      <c r="V1634" s="26">
        <f>IF(AND(V1633&gt;=sb_cod,V1633&lt;sb_cod+sb_term),1,0)</f>
        <v/>
      </c>
      <c r="W1634" s="26">
        <f>IF(AND(W1633&gt;=sb_cod,W1633&lt;sb_cod+sb_term),1,0)</f>
        <v/>
      </c>
      <c r="X1634" s="26">
        <f>IF(AND(X1633&gt;=sb_cod,X1633&lt;sb_cod+sb_term),1,0)</f>
        <v/>
      </c>
      <c r="Y1634" s="26">
        <f>IF(AND(Y1633&gt;=sb_cod,Y1633&lt;sb_cod+sb_term),1,0)</f>
        <v/>
      </c>
      <c r="Z1634" s="26">
        <f>IF(AND(Z1633&gt;=sb_cod,Z1633&lt;sb_cod+sb_term),1,0)</f>
        <v/>
      </c>
      <c r="AA1634" s="26">
        <f>IF(AND(AA1633&gt;=sb_cod,AA1633&lt;sb_cod+sb_term),1,0)</f>
        <v/>
      </c>
      <c r="AB1634" s="26">
        <f>IF(AND(AB1633&gt;=sb_cod,AB1633&lt;sb_cod+sb_term),1,0)</f>
        <v/>
      </c>
      <c r="AC1634" s="26">
        <f>IF(AND(AC1633&gt;=sb_cod,AC1633&lt;sb_cod+sb_term),1,0)</f>
        <v/>
      </c>
      <c r="AD1634" s="26">
        <f>IF(AND(AD1633&gt;=sb_cod,AD1633&lt;sb_cod+sb_term),1,0)</f>
        <v/>
      </c>
      <c r="AE1634" s="26">
        <f>IF(AND(AE1633&gt;=sb_cod,AE1633&lt;sb_cod+sb_term),1,0)</f>
        <v/>
      </c>
      <c r="AF1634" s="26">
        <f>IF(AND(AF1633&gt;=sb_cod,AF1633&lt;sb_cod+sb_term),1,0)</f>
        <v/>
      </c>
      <c r="AG1634" s="26">
        <f>IF(AND(AG1633&gt;=sb_cod,AG1633&lt;sb_cod+sb_term),1,0)</f>
        <v/>
      </c>
      <c r="AH1634" s="26">
        <f>IF(AND(AH1633&gt;=sb_cod,AH1633&lt;sb_cod+sb_term),1,0)</f>
        <v/>
      </c>
      <c r="AI1634" s="26">
        <f>IF(AND(AI1633&gt;=sb_cod,AI1633&lt;sb_cod+sb_term),1,0)</f>
        <v/>
      </c>
      <c r="AJ1634" s="26">
        <f>IF(AND(AJ1633&gt;=sb_cod,AJ1633&lt;sb_cod+sb_term),1,0)</f>
        <v/>
      </c>
    </row>
    <row r="1635">
      <c r="B1635" s="2" t="inlineStr">
        <is>
          <t>Years since operation began</t>
        </is>
      </c>
      <c r="D1635" s="26">
        <f>D1633-sb_cod</f>
        <v/>
      </c>
      <c r="E1635" s="26">
        <f>E1633-sb_cod</f>
        <v/>
      </c>
      <c r="F1635" s="26">
        <f>F1633-sb_cod</f>
        <v/>
      </c>
      <c r="G1635" s="26">
        <f>G1633-sb_cod</f>
        <v/>
      </c>
      <c r="H1635" s="26">
        <f>H1633-sb_cod</f>
        <v/>
      </c>
      <c r="I1635" s="26">
        <f>I1633-sb_cod</f>
        <v/>
      </c>
      <c r="J1635" s="26">
        <f>J1633-sb_cod</f>
        <v/>
      </c>
      <c r="K1635" s="26">
        <f>K1633-sb_cod</f>
        <v/>
      </c>
      <c r="L1635" s="26">
        <f>L1633-sb_cod</f>
        <v/>
      </c>
      <c r="M1635" s="26">
        <f>M1633-sb_cod</f>
        <v/>
      </c>
      <c r="N1635" s="26">
        <f>N1633-sb_cod</f>
        <v/>
      </c>
      <c r="O1635" s="26">
        <f>O1633-sb_cod</f>
        <v/>
      </c>
      <c r="P1635" s="26">
        <f>P1633-sb_cod</f>
        <v/>
      </c>
      <c r="Q1635" s="26">
        <f>Q1633-sb_cod</f>
        <v/>
      </c>
      <c r="R1635" s="26">
        <f>R1633-sb_cod</f>
        <v/>
      </c>
      <c r="S1635" s="26">
        <f>S1633-sb_cod</f>
        <v/>
      </c>
      <c r="T1635" s="26">
        <f>T1633-sb_cod</f>
        <v/>
      </c>
      <c r="U1635" s="26">
        <f>U1633-sb_cod</f>
        <v/>
      </c>
      <c r="V1635" s="26">
        <f>V1633-sb_cod</f>
        <v/>
      </c>
      <c r="W1635" s="26">
        <f>W1633-sb_cod</f>
        <v/>
      </c>
      <c r="X1635" s="26">
        <f>X1633-sb_cod</f>
        <v/>
      </c>
      <c r="Y1635" s="26">
        <f>Y1633-sb_cod</f>
        <v/>
      </c>
      <c r="Z1635" s="26">
        <f>Z1633-sb_cod</f>
        <v/>
      </c>
      <c r="AA1635" s="26">
        <f>AA1633-sb_cod</f>
        <v/>
      </c>
      <c r="AB1635" s="26">
        <f>AB1633-sb_cod</f>
        <v/>
      </c>
      <c r="AC1635" s="26">
        <f>AC1633-sb_cod</f>
        <v/>
      </c>
      <c r="AD1635" s="26">
        <f>AD1633-sb_cod</f>
        <v/>
      </c>
      <c r="AE1635" s="26">
        <f>AE1633-sb_cod</f>
        <v/>
      </c>
      <c r="AF1635" s="26">
        <f>AF1633-sb_cod</f>
        <v/>
      </c>
      <c r="AG1635" s="26">
        <f>AG1633-sb_cod</f>
        <v/>
      </c>
      <c r="AH1635" s="26">
        <f>AH1633-sb_cod</f>
        <v/>
      </c>
      <c r="AI1635" s="26">
        <f>AI1633-sb_cod</f>
        <v/>
      </c>
      <c r="AJ1635" s="26">
        <f>AJ1633-sb_cod</f>
        <v/>
      </c>
    </row>
    <row r="1636">
      <c r="B1636" s="2" t="inlineStr">
        <is>
          <t>Indexation factor</t>
        </is>
      </c>
      <c r="D1636" s="28">
        <f>(1+sb_cpi)^D1635</f>
        <v/>
      </c>
      <c r="E1636" s="28">
        <f>(1+sb_cpi)^E1635</f>
        <v/>
      </c>
      <c r="F1636" s="28">
        <f>(1+sb_cpi)^F1635</f>
        <v/>
      </c>
      <c r="G1636" s="28">
        <f>(1+sb_cpi)^G1635</f>
        <v/>
      </c>
      <c r="H1636" s="28">
        <f>(1+sb_cpi)^H1635</f>
        <v/>
      </c>
      <c r="I1636" s="28">
        <f>(1+sb_cpi)^I1635</f>
        <v/>
      </c>
      <c r="J1636" s="28">
        <f>(1+sb_cpi)^J1635</f>
        <v/>
      </c>
      <c r="K1636" s="28">
        <f>(1+sb_cpi)^K1635</f>
        <v/>
      </c>
      <c r="L1636" s="28">
        <f>(1+sb_cpi)^L1635</f>
        <v/>
      </c>
      <c r="M1636" s="28">
        <f>(1+sb_cpi)^M1635</f>
        <v/>
      </c>
      <c r="N1636" s="28">
        <f>(1+sb_cpi)^N1635</f>
        <v/>
      </c>
      <c r="O1636" s="28">
        <f>(1+sb_cpi)^O1635</f>
        <v/>
      </c>
      <c r="P1636" s="28">
        <f>(1+sb_cpi)^P1635</f>
        <v/>
      </c>
      <c r="Q1636" s="28">
        <f>(1+sb_cpi)^Q1635</f>
        <v/>
      </c>
      <c r="R1636" s="28">
        <f>(1+sb_cpi)^R1635</f>
        <v/>
      </c>
      <c r="S1636" s="28">
        <f>(1+sb_cpi)^S1635</f>
        <v/>
      </c>
      <c r="T1636" s="28">
        <f>(1+sb_cpi)^T1635</f>
        <v/>
      </c>
      <c r="U1636" s="28">
        <f>(1+sb_cpi)^U1635</f>
        <v/>
      </c>
      <c r="V1636" s="28">
        <f>(1+sb_cpi)^V1635</f>
        <v/>
      </c>
      <c r="W1636" s="28">
        <f>(1+sb_cpi)^W1635</f>
        <v/>
      </c>
      <c r="X1636" s="28">
        <f>(1+sb_cpi)^X1635</f>
        <v/>
      </c>
      <c r="Y1636" s="28">
        <f>(1+sb_cpi)^Y1635</f>
        <v/>
      </c>
      <c r="Z1636" s="28">
        <f>(1+sb_cpi)^Z1635</f>
        <v/>
      </c>
      <c r="AA1636" s="28">
        <f>(1+sb_cpi)^AA1635</f>
        <v/>
      </c>
      <c r="AB1636" s="28">
        <f>(1+sb_cpi)^AB1635</f>
        <v/>
      </c>
      <c r="AC1636" s="28">
        <f>(1+sb_cpi)^AC1635</f>
        <v/>
      </c>
      <c r="AD1636" s="28">
        <f>(1+sb_cpi)^AD1635</f>
        <v/>
      </c>
      <c r="AE1636" s="28">
        <f>(1+sb_cpi)^AE1635</f>
        <v/>
      </c>
      <c r="AF1636" s="28">
        <f>(1+sb_cpi)^AF1635</f>
        <v/>
      </c>
      <c r="AG1636" s="28">
        <f>(1+sb_cpi)^AG1635</f>
        <v/>
      </c>
      <c r="AH1636" s="28">
        <f>(1+sb_cpi)^AH1635</f>
        <v/>
      </c>
      <c r="AI1636" s="28">
        <f>(1+sb_cpi)^AI1635</f>
        <v/>
      </c>
      <c r="AJ1636" s="28">
        <f>(1+sb_cpi)^AJ1635</f>
        <v/>
      </c>
    </row>
    <row r="1638">
      <c r="B1638" s="6" t="inlineStr">
        <is>
          <t>Plant scalars</t>
        </is>
      </c>
      <c r="C1638" s="7" t="n"/>
      <c r="D1638" s="7" t="n"/>
      <c r="E1638" s="7" t="n"/>
      <c r="F1638" s="7" t="n"/>
      <c r="G1638" s="7" t="n"/>
      <c r="H1638" s="7" t="n"/>
      <c r="I1638" s="7" t="n"/>
      <c r="J1638" s="7" t="n"/>
      <c r="K1638" s="7" t="n"/>
      <c r="L1638" s="7" t="n"/>
      <c r="M1638" s="7" t="n"/>
      <c r="N1638" s="7" t="n"/>
      <c r="O1638" s="7" t="n"/>
      <c r="P1638" s="7" t="n"/>
      <c r="Q1638" s="7" t="n"/>
      <c r="R1638" s="7" t="n"/>
      <c r="S1638" s="7" t="n"/>
      <c r="T1638" s="7" t="n"/>
      <c r="U1638" s="7" t="n"/>
      <c r="V1638" s="7" t="n"/>
      <c r="W1638" s="7" t="n"/>
      <c r="X1638" s="7" t="n"/>
      <c r="Y1638" s="7" t="n"/>
      <c r="Z1638" s="7" t="n"/>
      <c r="AA1638" s="7" t="n"/>
      <c r="AB1638" s="7" t="n"/>
      <c r="AC1638" s="7" t="n"/>
      <c r="AD1638" s="7" t="n"/>
      <c r="AE1638" s="7" t="n"/>
      <c r="AF1638" s="7" t="n"/>
      <c r="AG1638" s="7" t="n"/>
      <c r="AH1638" s="7" t="n"/>
      <c r="AI1638" s="7" t="n"/>
      <c r="AJ1638" s="7" t="n"/>
    </row>
    <row r="1639">
      <c r="B1639" s="2" t="inlineStr">
        <is>
          <t>Payment factor at expected availability</t>
        </is>
      </c>
      <c r="D1639" s="28">
        <f>IF(sb_avail&gt;=sb_guar,MIN(1,sb_avail/sb_guar),sb_avail/sb_guar-(sb_guar-sb_avail)/sb_guar)</f>
        <v/>
      </c>
    </row>
    <row r="1640">
      <c r="B1640" s="2" t="inlineStr">
        <is>
          <t>Paid capacity a year (m3)</t>
        </is>
      </c>
      <c r="C1640" s="5" t="inlineStr">
        <is>
          <t>m3</t>
        </is>
      </c>
      <c r="D1640" s="19">
        <f>sb_cap*365*sb_guar*$D$1639</f>
        <v/>
      </c>
    </row>
    <row r="1641">
      <c r="B1641" s="2" t="inlineStr">
        <is>
          <t>Water delivered a year (m3)</t>
        </is>
      </c>
      <c r="C1641" s="5" t="inlineStr">
        <is>
          <t>m3</t>
        </is>
      </c>
      <c r="D1641" s="19">
        <f>sb_cap*365*sb_avail*sb_dispatch</f>
        <v/>
      </c>
    </row>
    <row r="1642">
      <c r="B1642" s="2" t="inlineStr">
        <is>
          <t>Fixed O&amp;M charge, 2030 ($ per m3 of available capacity)</t>
        </is>
      </c>
      <c r="C1642" s="5" t="inlineStr">
        <is>
          <t>$ per m3</t>
        </is>
      </c>
      <c r="D1642" s="38">
        <f>sb_fom*1000000/(sb_cap*365*sb_guar)</f>
        <v/>
      </c>
    </row>
    <row r="1643">
      <c r="B1643" s="2" t="inlineStr">
        <is>
          <t>Capital cost</t>
        </is>
      </c>
      <c r="C1643" s="5" t="inlineStr">
        <is>
          <t>$ million</t>
        </is>
      </c>
      <c r="D1643" s="23">
        <f>(sb_cx_plant+sb_cx_marine+sb_cx_conv+sb_cx_grid+sb_cx_dev+sb_cx_fin)*(1+sb_capex_shift)</f>
        <v/>
      </c>
    </row>
    <row r="1644">
      <c r="B1644" s="2" t="inlineStr">
        <is>
          <t>Capacity charge used</t>
        </is>
      </c>
      <c r="C1644" s="5" t="inlineStr">
        <is>
          <t>$ per m3</t>
        </is>
      </c>
      <c r="D1644" s="38">
        <f>'SB_Finance'!$C$6</f>
        <v/>
      </c>
    </row>
    <row r="1646">
      <c r="B1646" s="6" t="inlineStr">
        <is>
          <t>Operations</t>
        </is>
      </c>
      <c r="C1646" s="7" t="n"/>
      <c r="D1646" s="7" t="n"/>
      <c r="E1646" s="7" t="n"/>
      <c r="F1646" s="7" t="n"/>
      <c r="G1646" s="7" t="n"/>
      <c r="H1646" s="7" t="n"/>
      <c r="I1646" s="7" t="n"/>
      <c r="J1646" s="7" t="n"/>
      <c r="K1646" s="7" t="n"/>
      <c r="L1646" s="7" t="n"/>
      <c r="M1646" s="7" t="n"/>
      <c r="N1646" s="7" t="n"/>
      <c r="O1646" s="7" t="n"/>
      <c r="P1646" s="7" t="n"/>
      <c r="Q1646" s="7" t="n"/>
      <c r="R1646" s="7" t="n"/>
      <c r="S1646" s="7" t="n"/>
      <c r="T1646" s="7" t="n"/>
      <c r="U1646" s="7" t="n"/>
      <c r="V1646" s="7" t="n"/>
      <c r="W1646" s="7" t="n"/>
      <c r="X1646" s="7" t="n"/>
      <c r="Y1646" s="7" t="n"/>
      <c r="Z1646" s="7" t="n"/>
      <c r="AA1646" s="7" t="n"/>
      <c r="AB1646" s="7" t="n"/>
      <c r="AC1646" s="7" t="n"/>
      <c r="AD1646" s="7" t="n"/>
      <c r="AE1646" s="7" t="n"/>
      <c r="AF1646" s="7" t="n"/>
      <c r="AG1646" s="7" t="n"/>
      <c r="AH1646" s="7" t="n"/>
      <c r="AI1646" s="7" t="n"/>
      <c r="AJ1646" s="7" t="n"/>
    </row>
    <row r="1647">
      <c r="B1647" s="2" t="inlineStr">
        <is>
          <t>Paid capacity (m3)</t>
        </is>
      </c>
      <c r="C1647" s="5" t="inlineStr">
        <is>
          <t>m3</t>
        </is>
      </c>
      <c r="D1647" s="19">
        <f>D1634*$D$1640</f>
        <v/>
      </c>
      <c r="E1647" s="19">
        <f>E1634*$D$1640</f>
        <v/>
      </c>
      <c r="F1647" s="19">
        <f>F1634*$D$1640</f>
        <v/>
      </c>
      <c r="G1647" s="19">
        <f>G1634*$D$1640</f>
        <v/>
      </c>
      <c r="H1647" s="19">
        <f>H1634*$D$1640</f>
        <v/>
      </c>
      <c r="I1647" s="19">
        <f>I1634*$D$1640</f>
        <v/>
      </c>
      <c r="J1647" s="19">
        <f>J1634*$D$1640</f>
        <v/>
      </c>
      <c r="K1647" s="19">
        <f>K1634*$D$1640</f>
        <v/>
      </c>
      <c r="L1647" s="19">
        <f>L1634*$D$1640</f>
        <v/>
      </c>
      <c r="M1647" s="19">
        <f>M1634*$D$1640</f>
        <v/>
      </c>
      <c r="N1647" s="19">
        <f>N1634*$D$1640</f>
        <v/>
      </c>
      <c r="O1647" s="19">
        <f>O1634*$D$1640</f>
        <v/>
      </c>
      <c r="P1647" s="19">
        <f>P1634*$D$1640</f>
        <v/>
      </c>
      <c r="Q1647" s="19">
        <f>Q1634*$D$1640</f>
        <v/>
      </c>
      <c r="R1647" s="19">
        <f>R1634*$D$1640</f>
        <v/>
      </c>
      <c r="S1647" s="19">
        <f>S1634*$D$1640</f>
        <v/>
      </c>
      <c r="T1647" s="19">
        <f>T1634*$D$1640</f>
        <v/>
      </c>
      <c r="U1647" s="19">
        <f>U1634*$D$1640</f>
        <v/>
      </c>
      <c r="V1647" s="19">
        <f>V1634*$D$1640</f>
        <v/>
      </c>
      <c r="W1647" s="19">
        <f>W1634*$D$1640</f>
        <v/>
      </c>
      <c r="X1647" s="19">
        <f>X1634*$D$1640</f>
        <v/>
      </c>
      <c r="Y1647" s="19">
        <f>Y1634*$D$1640</f>
        <v/>
      </c>
      <c r="Z1647" s="19">
        <f>Z1634*$D$1640</f>
        <v/>
      </c>
      <c r="AA1647" s="19">
        <f>AA1634*$D$1640</f>
        <v/>
      </c>
      <c r="AB1647" s="19">
        <f>AB1634*$D$1640</f>
        <v/>
      </c>
      <c r="AC1647" s="19">
        <f>AC1634*$D$1640</f>
        <v/>
      </c>
      <c r="AD1647" s="19">
        <f>AD1634*$D$1640</f>
        <v/>
      </c>
      <c r="AE1647" s="19">
        <f>AE1634*$D$1640</f>
        <v/>
      </c>
      <c r="AF1647" s="19">
        <f>AF1634*$D$1640</f>
        <v/>
      </c>
      <c r="AG1647" s="19">
        <f>AG1634*$D$1640</f>
        <v/>
      </c>
      <c r="AH1647" s="19">
        <f>AH1634*$D$1640</f>
        <v/>
      </c>
      <c r="AI1647" s="19">
        <f>AI1634*$D$1640</f>
        <v/>
      </c>
      <c r="AJ1647" s="19">
        <f>AJ1634*$D$1640</f>
        <v/>
      </c>
    </row>
    <row r="1648">
      <c r="B1648" s="2" t="inlineStr">
        <is>
          <t>Water delivered (m3)</t>
        </is>
      </c>
      <c r="C1648" s="5" t="inlineStr">
        <is>
          <t>m3</t>
        </is>
      </c>
      <c r="D1648" s="19">
        <f>D1634*$D$1641</f>
        <v/>
      </c>
      <c r="E1648" s="19">
        <f>E1634*$D$1641</f>
        <v/>
      </c>
      <c r="F1648" s="19">
        <f>F1634*$D$1641</f>
        <v/>
      </c>
      <c r="G1648" s="19">
        <f>G1634*$D$1641</f>
        <v/>
      </c>
      <c r="H1648" s="19">
        <f>H1634*$D$1641</f>
        <v/>
      </c>
      <c r="I1648" s="19">
        <f>I1634*$D$1641</f>
        <v/>
      </c>
      <c r="J1648" s="19">
        <f>J1634*$D$1641</f>
        <v/>
      </c>
      <c r="K1648" s="19">
        <f>K1634*$D$1641</f>
        <v/>
      </c>
      <c r="L1648" s="19">
        <f>L1634*$D$1641</f>
        <v/>
      </c>
      <c r="M1648" s="19">
        <f>M1634*$D$1641</f>
        <v/>
      </c>
      <c r="N1648" s="19">
        <f>N1634*$D$1641</f>
        <v/>
      </c>
      <c r="O1648" s="19">
        <f>O1634*$D$1641</f>
        <v/>
      </c>
      <c r="P1648" s="19">
        <f>P1634*$D$1641</f>
        <v/>
      </c>
      <c r="Q1648" s="19">
        <f>Q1634*$D$1641</f>
        <v/>
      </c>
      <c r="R1648" s="19">
        <f>R1634*$D$1641</f>
        <v/>
      </c>
      <c r="S1648" s="19">
        <f>S1634*$D$1641</f>
        <v/>
      </c>
      <c r="T1648" s="19">
        <f>T1634*$D$1641</f>
        <v/>
      </c>
      <c r="U1648" s="19">
        <f>U1634*$D$1641</f>
        <v/>
      </c>
      <c r="V1648" s="19">
        <f>V1634*$D$1641</f>
        <v/>
      </c>
      <c r="W1648" s="19">
        <f>W1634*$D$1641</f>
        <v/>
      </c>
      <c r="X1648" s="19">
        <f>X1634*$D$1641</f>
        <v/>
      </c>
      <c r="Y1648" s="19">
        <f>Y1634*$D$1641</f>
        <v/>
      </c>
      <c r="Z1648" s="19">
        <f>Z1634*$D$1641</f>
        <v/>
      </c>
      <c r="AA1648" s="19">
        <f>AA1634*$D$1641</f>
        <v/>
      </c>
      <c r="AB1648" s="19">
        <f>AB1634*$D$1641</f>
        <v/>
      </c>
      <c r="AC1648" s="19">
        <f>AC1634*$D$1641</f>
        <v/>
      </c>
      <c r="AD1648" s="19">
        <f>AD1634*$D$1641</f>
        <v/>
      </c>
      <c r="AE1648" s="19">
        <f>AE1634*$D$1641</f>
        <v/>
      </c>
      <c r="AF1648" s="19">
        <f>AF1634*$D$1641</f>
        <v/>
      </c>
      <c r="AG1648" s="19">
        <f>AG1634*$D$1641</f>
        <v/>
      </c>
      <c r="AH1648" s="19">
        <f>AH1634*$D$1641</f>
        <v/>
      </c>
      <c r="AI1648" s="19">
        <f>AI1634*$D$1641</f>
        <v/>
      </c>
      <c r="AJ1648" s="19">
        <f>AJ1634*$D$1641</f>
        <v/>
      </c>
    </row>
    <row r="1649">
      <c r="B1649" s="2" t="inlineStr">
        <is>
          <t>Power price paid</t>
        </is>
      </c>
      <c r="C1649" s="5" t="inlineStr">
        <is>
          <t>$ per MWh</t>
        </is>
      </c>
      <c r="D1649" s="22">
        <f>D1634*(sb_power*(1+sb_power_esc)^D1635+Inputs!$C$269)</f>
        <v/>
      </c>
      <c r="E1649" s="22">
        <f>E1634*(sb_power*(1+sb_power_esc)^E1635+Inputs!$C$269)</f>
        <v/>
      </c>
      <c r="F1649" s="22">
        <f>F1634*(sb_power*(1+sb_power_esc)^F1635+Inputs!$C$269)</f>
        <v/>
      </c>
      <c r="G1649" s="22">
        <f>G1634*(sb_power*(1+sb_power_esc)^G1635+Inputs!$C$269)</f>
        <v/>
      </c>
      <c r="H1649" s="22">
        <f>H1634*(sb_power*(1+sb_power_esc)^H1635+Inputs!$C$269)</f>
        <v/>
      </c>
      <c r="I1649" s="22">
        <f>I1634*(sb_power*(1+sb_power_esc)^I1635+Inputs!$C$269)</f>
        <v/>
      </c>
      <c r="J1649" s="22">
        <f>J1634*(sb_power*(1+sb_power_esc)^J1635+Inputs!$C$269)</f>
        <v/>
      </c>
      <c r="K1649" s="22">
        <f>K1634*(sb_power*(1+sb_power_esc)^K1635+Inputs!$C$269)</f>
        <v/>
      </c>
      <c r="L1649" s="22">
        <f>L1634*(sb_power*(1+sb_power_esc)^L1635+Inputs!$C$269)</f>
        <v/>
      </c>
      <c r="M1649" s="22">
        <f>M1634*(sb_power*(1+sb_power_esc)^M1635+Inputs!$C$269)</f>
        <v/>
      </c>
      <c r="N1649" s="22">
        <f>N1634*(sb_power*(1+sb_power_esc)^N1635+Inputs!$C$269)</f>
        <v/>
      </c>
      <c r="O1649" s="22">
        <f>O1634*(sb_power*(1+sb_power_esc)^O1635+Inputs!$C$269)</f>
        <v/>
      </c>
      <c r="P1649" s="22">
        <f>P1634*(sb_power*(1+sb_power_esc)^P1635+Inputs!$C$269)</f>
        <v/>
      </c>
      <c r="Q1649" s="22">
        <f>Q1634*(sb_power*(1+sb_power_esc)^Q1635+Inputs!$C$269)</f>
        <v/>
      </c>
      <c r="R1649" s="22">
        <f>R1634*(sb_power*(1+sb_power_esc)^R1635+Inputs!$C$269)</f>
        <v/>
      </c>
      <c r="S1649" s="22">
        <f>S1634*(sb_power*(1+sb_power_esc)^S1635+Inputs!$C$269)</f>
        <v/>
      </c>
      <c r="T1649" s="22">
        <f>T1634*(sb_power*(1+sb_power_esc)^T1635+Inputs!$C$269)</f>
        <v/>
      </c>
      <c r="U1649" s="22">
        <f>U1634*(sb_power*(1+sb_power_esc)^U1635+Inputs!$C$269)</f>
        <v/>
      </c>
      <c r="V1649" s="22">
        <f>V1634*(sb_power*(1+sb_power_esc)^V1635+Inputs!$C$269)</f>
        <v/>
      </c>
      <c r="W1649" s="22">
        <f>W1634*(sb_power*(1+sb_power_esc)^W1635+Inputs!$C$269)</f>
        <v/>
      </c>
      <c r="X1649" s="22">
        <f>X1634*(sb_power*(1+sb_power_esc)^X1635+Inputs!$C$269)</f>
        <v/>
      </c>
      <c r="Y1649" s="22">
        <f>Y1634*(sb_power*(1+sb_power_esc)^Y1635+Inputs!$C$269)</f>
        <v/>
      </c>
      <c r="Z1649" s="22">
        <f>Z1634*(sb_power*(1+sb_power_esc)^Z1635+Inputs!$C$269)</f>
        <v/>
      </c>
      <c r="AA1649" s="22">
        <f>AA1634*(sb_power*(1+sb_power_esc)^AA1635+Inputs!$C$269)</f>
        <v/>
      </c>
      <c r="AB1649" s="22">
        <f>AB1634*(sb_power*(1+sb_power_esc)^AB1635+Inputs!$C$269)</f>
        <v/>
      </c>
      <c r="AC1649" s="22">
        <f>AC1634*(sb_power*(1+sb_power_esc)^AC1635+Inputs!$C$269)</f>
        <v/>
      </c>
      <c r="AD1649" s="22">
        <f>AD1634*(sb_power*(1+sb_power_esc)^AD1635+Inputs!$C$269)</f>
        <v/>
      </c>
      <c r="AE1649" s="22">
        <f>AE1634*(sb_power*(1+sb_power_esc)^AE1635+Inputs!$C$269)</f>
        <v/>
      </c>
      <c r="AF1649" s="22">
        <f>AF1634*(sb_power*(1+sb_power_esc)^AF1635+Inputs!$C$269)</f>
        <v/>
      </c>
      <c r="AG1649" s="22">
        <f>AG1634*(sb_power*(1+sb_power_esc)^AG1635+Inputs!$C$269)</f>
        <v/>
      </c>
      <c r="AH1649" s="22">
        <f>AH1634*(sb_power*(1+sb_power_esc)^AH1635+Inputs!$C$269)</f>
        <v/>
      </c>
      <c r="AI1649" s="22">
        <f>AI1634*(sb_power*(1+sb_power_esc)^AI1635+Inputs!$C$269)</f>
        <v/>
      </c>
      <c r="AJ1649" s="22">
        <f>AJ1634*(sb_power*(1+sb_power_esc)^AJ1635+Inputs!$C$269)</f>
        <v/>
      </c>
    </row>
    <row r="1650">
      <c r="B1650" s="2" t="inlineStr">
        <is>
          <t>Power price in the energy charge</t>
        </is>
      </c>
      <c r="C1650" s="5" t="inlineStr">
        <is>
          <t>$ per MWh</t>
        </is>
      </c>
      <c r="D1650" s="22">
        <f>D1634*(sb_power*(1+sb_power_esc)^D1635+IF(Inputs!$C$270=1,Inputs!$C$269,0))</f>
        <v/>
      </c>
      <c r="E1650" s="22">
        <f>E1634*(sb_power*(1+sb_power_esc)^E1635+IF(Inputs!$C$270=1,Inputs!$C$269,0))</f>
        <v/>
      </c>
      <c r="F1650" s="22">
        <f>F1634*(sb_power*(1+sb_power_esc)^F1635+IF(Inputs!$C$270=1,Inputs!$C$269,0))</f>
        <v/>
      </c>
      <c r="G1650" s="22">
        <f>G1634*(sb_power*(1+sb_power_esc)^G1635+IF(Inputs!$C$270=1,Inputs!$C$269,0))</f>
        <v/>
      </c>
      <c r="H1650" s="22">
        <f>H1634*(sb_power*(1+sb_power_esc)^H1635+IF(Inputs!$C$270=1,Inputs!$C$269,0))</f>
        <v/>
      </c>
      <c r="I1650" s="22">
        <f>I1634*(sb_power*(1+sb_power_esc)^I1635+IF(Inputs!$C$270=1,Inputs!$C$269,0))</f>
        <v/>
      </c>
      <c r="J1650" s="22">
        <f>J1634*(sb_power*(1+sb_power_esc)^J1635+IF(Inputs!$C$270=1,Inputs!$C$269,0))</f>
        <v/>
      </c>
      <c r="K1650" s="22">
        <f>K1634*(sb_power*(1+sb_power_esc)^K1635+IF(Inputs!$C$270=1,Inputs!$C$269,0))</f>
        <v/>
      </c>
      <c r="L1650" s="22">
        <f>L1634*(sb_power*(1+sb_power_esc)^L1635+IF(Inputs!$C$270=1,Inputs!$C$269,0))</f>
        <v/>
      </c>
      <c r="M1650" s="22">
        <f>M1634*(sb_power*(1+sb_power_esc)^M1635+IF(Inputs!$C$270=1,Inputs!$C$269,0))</f>
        <v/>
      </c>
      <c r="N1650" s="22">
        <f>N1634*(sb_power*(1+sb_power_esc)^N1635+IF(Inputs!$C$270=1,Inputs!$C$269,0))</f>
        <v/>
      </c>
      <c r="O1650" s="22">
        <f>O1634*(sb_power*(1+sb_power_esc)^O1635+IF(Inputs!$C$270=1,Inputs!$C$269,0))</f>
        <v/>
      </c>
      <c r="P1650" s="22">
        <f>P1634*(sb_power*(1+sb_power_esc)^P1635+IF(Inputs!$C$270=1,Inputs!$C$269,0))</f>
        <v/>
      </c>
      <c r="Q1650" s="22">
        <f>Q1634*(sb_power*(1+sb_power_esc)^Q1635+IF(Inputs!$C$270=1,Inputs!$C$269,0))</f>
        <v/>
      </c>
      <c r="R1650" s="22">
        <f>R1634*(sb_power*(1+sb_power_esc)^R1635+IF(Inputs!$C$270=1,Inputs!$C$269,0))</f>
        <v/>
      </c>
      <c r="S1650" s="22">
        <f>S1634*(sb_power*(1+sb_power_esc)^S1635+IF(Inputs!$C$270=1,Inputs!$C$269,0))</f>
        <v/>
      </c>
      <c r="T1650" s="22">
        <f>T1634*(sb_power*(1+sb_power_esc)^T1635+IF(Inputs!$C$270=1,Inputs!$C$269,0))</f>
        <v/>
      </c>
      <c r="U1650" s="22">
        <f>U1634*(sb_power*(1+sb_power_esc)^U1635+IF(Inputs!$C$270=1,Inputs!$C$269,0))</f>
        <v/>
      </c>
      <c r="V1650" s="22">
        <f>V1634*(sb_power*(1+sb_power_esc)^V1635+IF(Inputs!$C$270=1,Inputs!$C$269,0))</f>
        <v/>
      </c>
      <c r="W1650" s="22">
        <f>W1634*(sb_power*(1+sb_power_esc)^W1635+IF(Inputs!$C$270=1,Inputs!$C$269,0))</f>
        <v/>
      </c>
      <c r="X1650" s="22">
        <f>X1634*(sb_power*(1+sb_power_esc)^X1635+IF(Inputs!$C$270=1,Inputs!$C$269,0))</f>
        <v/>
      </c>
      <c r="Y1650" s="22">
        <f>Y1634*(sb_power*(1+sb_power_esc)^Y1635+IF(Inputs!$C$270=1,Inputs!$C$269,0))</f>
        <v/>
      </c>
      <c r="Z1650" s="22">
        <f>Z1634*(sb_power*(1+sb_power_esc)^Z1635+IF(Inputs!$C$270=1,Inputs!$C$269,0))</f>
        <v/>
      </c>
      <c r="AA1650" s="22">
        <f>AA1634*(sb_power*(1+sb_power_esc)^AA1635+IF(Inputs!$C$270=1,Inputs!$C$269,0))</f>
        <v/>
      </c>
      <c r="AB1650" s="22">
        <f>AB1634*(sb_power*(1+sb_power_esc)^AB1635+IF(Inputs!$C$270=1,Inputs!$C$269,0))</f>
        <v/>
      </c>
      <c r="AC1650" s="22">
        <f>AC1634*(sb_power*(1+sb_power_esc)^AC1635+IF(Inputs!$C$270=1,Inputs!$C$269,0))</f>
        <v/>
      </c>
      <c r="AD1650" s="22">
        <f>AD1634*(sb_power*(1+sb_power_esc)^AD1635+IF(Inputs!$C$270=1,Inputs!$C$269,0))</f>
        <v/>
      </c>
      <c r="AE1650" s="22">
        <f>AE1634*(sb_power*(1+sb_power_esc)^AE1635+IF(Inputs!$C$270=1,Inputs!$C$269,0))</f>
        <v/>
      </c>
      <c r="AF1650" s="22">
        <f>AF1634*(sb_power*(1+sb_power_esc)^AF1635+IF(Inputs!$C$270=1,Inputs!$C$269,0))</f>
        <v/>
      </c>
      <c r="AG1650" s="22">
        <f>AG1634*(sb_power*(1+sb_power_esc)^AG1635+IF(Inputs!$C$270=1,Inputs!$C$269,0))</f>
        <v/>
      </c>
      <c r="AH1650" s="22">
        <f>AH1634*(sb_power*(1+sb_power_esc)^AH1635+IF(Inputs!$C$270=1,Inputs!$C$269,0))</f>
        <v/>
      </c>
      <c r="AI1650" s="22">
        <f>AI1634*(sb_power*(1+sb_power_esc)^AI1635+IF(Inputs!$C$270=1,Inputs!$C$269,0))</f>
        <v/>
      </c>
      <c r="AJ1650" s="22">
        <f>AJ1634*(sb_power*(1+sb_power_esc)^AJ1635+IF(Inputs!$C$270=1,Inputs!$C$269,0))</f>
        <v/>
      </c>
    </row>
    <row r="1651">
      <c r="B1651" s="2" t="inlineStr">
        <is>
          <t>Capacity payments</t>
        </is>
      </c>
      <c r="C1651" s="5" t="inlineStr">
        <is>
          <t>$ million</t>
        </is>
      </c>
      <c r="D1651" s="23">
        <f>$D$1644*D1647/1000000</f>
        <v/>
      </c>
      <c r="E1651" s="23">
        <f>$D$1644*E1647/1000000</f>
        <v/>
      </c>
      <c r="F1651" s="23">
        <f>$D$1644*F1647/1000000</f>
        <v/>
      </c>
      <c r="G1651" s="23">
        <f>$D$1644*G1647/1000000</f>
        <v/>
      </c>
      <c r="H1651" s="23">
        <f>$D$1644*H1647/1000000</f>
        <v/>
      </c>
      <c r="I1651" s="23">
        <f>$D$1644*I1647/1000000</f>
        <v/>
      </c>
      <c r="J1651" s="23">
        <f>$D$1644*J1647/1000000</f>
        <v/>
      </c>
      <c r="K1651" s="23">
        <f>$D$1644*K1647/1000000</f>
        <v/>
      </c>
      <c r="L1651" s="23">
        <f>$D$1644*L1647/1000000</f>
        <v/>
      </c>
      <c r="M1651" s="23">
        <f>$D$1644*M1647/1000000</f>
        <v/>
      </c>
      <c r="N1651" s="23">
        <f>$D$1644*N1647/1000000</f>
        <v/>
      </c>
      <c r="O1651" s="23">
        <f>$D$1644*O1647/1000000</f>
        <v/>
      </c>
      <c r="P1651" s="23">
        <f>$D$1644*P1647/1000000</f>
        <v/>
      </c>
      <c r="Q1651" s="23">
        <f>$D$1644*Q1647/1000000</f>
        <v/>
      </c>
      <c r="R1651" s="23">
        <f>$D$1644*R1647/1000000</f>
        <v/>
      </c>
      <c r="S1651" s="23">
        <f>$D$1644*S1647/1000000</f>
        <v/>
      </c>
      <c r="T1651" s="23">
        <f>$D$1644*T1647/1000000</f>
        <v/>
      </c>
      <c r="U1651" s="23">
        <f>$D$1644*U1647/1000000</f>
        <v/>
      </c>
      <c r="V1651" s="23">
        <f>$D$1644*V1647/1000000</f>
        <v/>
      </c>
      <c r="W1651" s="23">
        <f>$D$1644*W1647/1000000</f>
        <v/>
      </c>
      <c r="X1651" s="23">
        <f>$D$1644*X1647/1000000</f>
        <v/>
      </c>
      <c r="Y1651" s="23">
        <f>$D$1644*Y1647/1000000</f>
        <v/>
      </c>
      <c r="Z1651" s="23">
        <f>$D$1644*Z1647/1000000</f>
        <v/>
      </c>
      <c r="AA1651" s="23">
        <f>$D$1644*AA1647/1000000</f>
        <v/>
      </c>
      <c r="AB1651" s="23">
        <f>$D$1644*AB1647/1000000</f>
        <v/>
      </c>
      <c r="AC1651" s="23">
        <f>$D$1644*AC1647/1000000</f>
        <v/>
      </c>
      <c r="AD1651" s="23">
        <f>$D$1644*AD1647/1000000</f>
        <v/>
      </c>
      <c r="AE1651" s="23">
        <f>$D$1644*AE1647/1000000</f>
        <v/>
      </c>
      <c r="AF1651" s="23">
        <f>$D$1644*AF1647/1000000</f>
        <v/>
      </c>
      <c r="AG1651" s="23">
        <f>$D$1644*AG1647/1000000</f>
        <v/>
      </c>
      <c r="AH1651" s="23">
        <f>$D$1644*AH1647/1000000</f>
        <v/>
      </c>
      <c r="AI1651" s="23">
        <f>$D$1644*AI1647/1000000</f>
        <v/>
      </c>
      <c r="AJ1651" s="23">
        <f>$D$1644*AJ1647/1000000</f>
        <v/>
      </c>
    </row>
    <row r="1652">
      <c r="B1652" s="2" t="inlineStr">
        <is>
          <t>Fixed O&amp;M payments (indexed)</t>
        </is>
      </c>
      <c r="C1652" s="5" t="inlineStr">
        <is>
          <t>$ million</t>
        </is>
      </c>
      <c r="D1652" s="23">
        <f>$D$1642*D1636*D1647/1000000</f>
        <v/>
      </c>
      <c r="E1652" s="23">
        <f>$D$1642*E1636*E1647/1000000</f>
        <v/>
      </c>
      <c r="F1652" s="23">
        <f>$D$1642*F1636*F1647/1000000</f>
        <v/>
      </c>
      <c r="G1652" s="23">
        <f>$D$1642*G1636*G1647/1000000</f>
        <v/>
      </c>
      <c r="H1652" s="23">
        <f>$D$1642*H1636*H1647/1000000</f>
        <v/>
      </c>
      <c r="I1652" s="23">
        <f>$D$1642*I1636*I1647/1000000</f>
        <v/>
      </c>
      <c r="J1652" s="23">
        <f>$D$1642*J1636*J1647/1000000</f>
        <v/>
      </c>
      <c r="K1652" s="23">
        <f>$D$1642*K1636*K1647/1000000</f>
        <v/>
      </c>
      <c r="L1652" s="23">
        <f>$D$1642*L1636*L1647/1000000</f>
        <v/>
      </c>
      <c r="M1652" s="23">
        <f>$D$1642*M1636*M1647/1000000</f>
        <v/>
      </c>
      <c r="N1652" s="23">
        <f>$D$1642*N1636*N1647/1000000</f>
        <v/>
      </c>
      <c r="O1652" s="23">
        <f>$D$1642*O1636*O1647/1000000</f>
        <v/>
      </c>
      <c r="P1652" s="23">
        <f>$D$1642*P1636*P1647/1000000</f>
        <v/>
      </c>
      <c r="Q1652" s="23">
        <f>$D$1642*Q1636*Q1647/1000000</f>
        <v/>
      </c>
      <c r="R1652" s="23">
        <f>$D$1642*R1636*R1647/1000000</f>
        <v/>
      </c>
      <c r="S1652" s="23">
        <f>$D$1642*S1636*S1647/1000000</f>
        <v/>
      </c>
      <c r="T1652" s="23">
        <f>$D$1642*T1636*T1647/1000000</f>
        <v/>
      </c>
      <c r="U1652" s="23">
        <f>$D$1642*U1636*U1647/1000000</f>
        <v/>
      </c>
      <c r="V1652" s="23">
        <f>$D$1642*V1636*V1647/1000000</f>
        <v/>
      </c>
      <c r="W1652" s="23">
        <f>$D$1642*W1636*W1647/1000000</f>
        <v/>
      </c>
      <c r="X1652" s="23">
        <f>$D$1642*X1636*X1647/1000000</f>
        <v/>
      </c>
      <c r="Y1652" s="23">
        <f>$D$1642*Y1636*Y1647/1000000</f>
        <v/>
      </c>
      <c r="Z1652" s="23">
        <f>$D$1642*Z1636*Z1647/1000000</f>
        <v/>
      </c>
      <c r="AA1652" s="23">
        <f>$D$1642*AA1636*AA1647/1000000</f>
        <v/>
      </c>
      <c r="AB1652" s="23">
        <f>$D$1642*AB1636*AB1647/1000000</f>
        <v/>
      </c>
      <c r="AC1652" s="23">
        <f>$D$1642*AC1636*AC1647/1000000</f>
        <v/>
      </c>
      <c r="AD1652" s="23">
        <f>$D$1642*AD1636*AD1647/1000000</f>
        <v/>
      </c>
      <c r="AE1652" s="23">
        <f>$D$1642*AE1636*AE1647/1000000</f>
        <v/>
      </c>
      <c r="AF1652" s="23">
        <f>$D$1642*AF1636*AF1647/1000000</f>
        <v/>
      </c>
      <c r="AG1652" s="23">
        <f>$D$1642*AG1636*AG1647/1000000</f>
        <v/>
      </c>
      <c r="AH1652" s="23">
        <f>$D$1642*AH1636*AH1647/1000000</f>
        <v/>
      </c>
      <c r="AI1652" s="23">
        <f>$D$1642*AI1636*AI1647/1000000</f>
        <v/>
      </c>
      <c r="AJ1652" s="23">
        <f>$D$1642*AJ1636*AJ1647/1000000</f>
        <v/>
      </c>
    </row>
    <row r="1653">
      <c r="B1653" s="2" t="inlineStr">
        <is>
          <t>Energy charge (guaranteed kWh x power price)</t>
        </is>
      </c>
      <c r="C1653" s="5" t="inlineStr">
        <is>
          <t>$ million</t>
        </is>
      </c>
      <c r="D1653" s="23">
        <f>D1648*sb_sec*D1650/1000/1000000</f>
        <v/>
      </c>
      <c r="E1653" s="23">
        <f>E1648*sb_sec*E1650/1000/1000000</f>
        <v/>
      </c>
      <c r="F1653" s="23">
        <f>F1648*sb_sec*F1650/1000/1000000</f>
        <v/>
      </c>
      <c r="G1653" s="23">
        <f>G1648*sb_sec*G1650/1000/1000000</f>
        <v/>
      </c>
      <c r="H1653" s="23">
        <f>H1648*sb_sec*H1650/1000/1000000</f>
        <v/>
      </c>
      <c r="I1653" s="23">
        <f>I1648*sb_sec*I1650/1000/1000000</f>
        <v/>
      </c>
      <c r="J1653" s="23">
        <f>J1648*sb_sec*J1650/1000/1000000</f>
        <v/>
      </c>
      <c r="K1653" s="23">
        <f>K1648*sb_sec*K1650/1000/1000000</f>
        <v/>
      </c>
      <c r="L1653" s="23">
        <f>L1648*sb_sec*L1650/1000/1000000</f>
        <v/>
      </c>
      <c r="M1653" s="23">
        <f>M1648*sb_sec*M1650/1000/1000000</f>
        <v/>
      </c>
      <c r="N1653" s="23">
        <f>N1648*sb_sec*N1650/1000/1000000</f>
        <v/>
      </c>
      <c r="O1653" s="23">
        <f>O1648*sb_sec*O1650/1000/1000000</f>
        <v/>
      </c>
      <c r="P1653" s="23">
        <f>P1648*sb_sec*P1650/1000/1000000</f>
        <v/>
      </c>
      <c r="Q1653" s="23">
        <f>Q1648*sb_sec*Q1650/1000/1000000</f>
        <v/>
      </c>
      <c r="R1653" s="23">
        <f>R1648*sb_sec*R1650/1000/1000000</f>
        <v/>
      </c>
      <c r="S1653" s="23">
        <f>S1648*sb_sec*S1650/1000/1000000</f>
        <v/>
      </c>
      <c r="T1653" s="23">
        <f>T1648*sb_sec*T1650/1000/1000000</f>
        <v/>
      </c>
      <c r="U1653" s="23">
        <f>U1648*sb_sec*U1650/1000/1000000</f>
        <v/>
      </c>
      <c r="V1653" s="23">
        <f>V1648*sb_sec*V1650/1000/1000000</f>
        <v/>
      </c>
      <c r="W1653" s="23">
        <f>W1648*sb_sec*W1650/1000/1000000</f>
        <v/>
      </c>
      <c r="X1653" s="23">
        <f>X1648*sb_sec*X1650/1000/1000000</f>
        <v/>
      </c>
      <c r="Y1653" s="23">
        <f>Y1648*sb_sec*Y1650/1000/1000000</f>
        <v/>
      </c>
      <c r="Z1653" s="23">
        <f>Z1648*sb_sec*Z1650/1000/1000000</f>
        <v/>
      </c>
      <c r="AA1653" s="23">
        <f>AA1648*sb_sec*AA1650/1000/1000000</f>
        <v/>
      </c>
      <c r="AB1653" s="23">
        <f>AB1648*sb_sec*AB1650/1000/1000000</f>
        <v/>
      </c>
      <c r="AC1653" s="23">
        <f>AC1648*sb_sec*AC1650/1000/1000000</f>
        <v/>
      </c>
      <c r="AD1653" s="23">
        <f>AD1648*sb_sec*AD1650/1000/1000000</f>
        <v/>
      </c>
      <c r="AE1653" s="23">
        <f>AE1648*sb_sec*AE1650/1000/1000000</f>
        <v/>
      </c>
      <c r="AF1653" s="23">
        <f>AF1648*sb_sec*AF1650/1000/1000000</f>
        <v/>
      </c>
      <c r="AG1653" s="23">
        <f>AG1648*sb_sec*AG1650/1000/1000000</f>
        <v/>
      </c>
      <c r="AH1653" s="23">
        <f>AH1648*sb_sec*AH1650/1000/1000000</f>
        <v/>
      </c>
      <c r="AI1653" s="23">
        <f>AI1648*sb_sec*AI1650/1000/1000000</f>
        <v/>
      </c>
      <c r="AJ1653" s="23">
        <f>AJ1648*sb_sec*AJ1650/1000/1000000</f>
        <v/>
      </c>
    </row>
    <row r="1654">
      <c r="B1654" s="2" t="inlineStr">
        <is>
          <t>Chemicals charge (indexed)</t>
        </is>
      </c>
      <c r="C1654" s="5" t="inlineStr">
        <is>
          <t>$ million</t>
        </is>
      </c>
      <c r="D1654" s="23">
        <f>D1648*sb_chem*D1636/1000000</f>
        <v/>
      </c>
      <c r="E1654" s="23">
        <f>E1648*sb_chem*E1636/1000000</f>
        <v/>
      </c>
      <c r="F1654" s="23">
        <f>F1648*sb_chem*F1636/1000000</f>
        <v/>
      </c>
      <c r="G1654" s="23">
        <f>G1648*sb_chem*G1636/1000000</f>
        <v/>
      </c>
      <c r="H1654" s="23">
        <f>H1648*sb_chem*H1636/1000000</f>
        <v/>
      </c>
      <c r="I1654" s="23">
        <f>I1648*sb_chem*I1636/1000000</f>
        <v/>
      </c>
      <c r="J1654" s="23">
        <f>J1648*sb_chem*J1636/1000000</f>
        <v/>
      </c>
      <c r="K1654" s="23">
        <f>K1648*sb_chem*K1636/1000000</f>
        <v/>
      </c>
      <c r="L1654" s="23">
        <f>L1648*sb_chem*L1636/1000000</f>
        <v/>
      </c>
      <c r="M1654" s="23">
        <f>M1648*sb_chem*M1636/1000000</f>
        <v/>
      </c>
      <c r="N1654" s="23">
        <f>N1648*sb_chem*N1636/1000000</f>
        <v/>
      </c>
      <c r="O1654" s="23">
        <f>O1648*sb_chem*O1636/1000000</f>
        <v/>
      </c>
      <c r="P1654" s="23">
        <f>P1648*sb_chem*P1636/1000000</f>
        <v/>
      </c>
      <c r="Q1654" s="23">
        <f>Q1648*sb_chem*Q1636/1000000</f>
        <v/>
      </c>
      <c r="R1654" s="23">
        <f>R1648*sb_chem*R1636/1000000</f>
        <v/>
      </c>
      <c r="S1654" s="23">
        <f>S1648*sb_chem*S1636/1000000</f>
        <v/>
      </c>
      <c r="T1654" s="23">
        <f>T1648*sb_chem*T1636/1000000</f>
        <v/>
      </c>
      <c r="U1654" s="23">
        <f>U1648*sb_chem*U1636/1000000</f>
        <v/>
      </c>
      <c r="V1654" s="23">
        <f>V1648*sb_chem*V1636/1000000</f>
        <v/>
      </c>
      <c r="W1654" s="23">
        <f>W1648*sb_chem*W1636/1000000</f>
        <v/>
      </c>
      <c r="X1654" s="23">
        <f>X1648*sb_chem*X1636/1000000</f>
        <v/>
      </c>
      <c r="Y1654" s="23">
        <f>Y1648*sb_chem*Y1636/1000000</f>
        <v/>
      </c>
      <c r="Z1654" s="23">
        <f>Z1648*sb_chem*Z1636/1000000</f>
        <v/>
      </c>
      <c r="AA1654" s="23">
        <f>AA1648*sb_chem*AA1636/1000000</f>
        <v/>
      </c>
      <c r="AB1654" s="23">
        <f>AB1648*sb_chem*AB1636/1000000</f>
        <v/>
      </c>
      <c r="AC1654" s="23">
        <f>AC1648*sb_chem*AC1636/1000000</f>
        <v/>
      </c>
      <c r="AD1654" s="23">
        <f>AD1648*sb_chem*AD1636/1000000</f>
        <v/>
      </c>
      <c r="AE1654" s="23">
        <f>AE1648*sb_chem*AE1636/1000000</f>
        <v/>
      </c>
      <c r="AF1654" s="23">
        <f>AF1648*sb_chem*AF1636/1000000</f>
        <v/>
      </c>
      <c r="AG1654" s="23">
        <f>AG1648*sb_chem*AG1636/1000000</f>
        <v/>
      </c>
      <c r="AH1654" s="23">
        <f>AH1648*sb_chem*AH1636/1000000</f>
        <v/>
      </c>
      <c r="AI1654" s="23">
        <f>AI1648*sb_chem*AI1636/1000000</f>
        <v/>
      </c>
      <c r="AJ1654" s="23">
        <f>AJ1648*sb_chem*AJ1636/1000000</f>
        <v/>
      </c>
    </row>
    <row r="1655">
      <c r="B1655" s="2" t="inlineStr">
        <is>
          <t>Capacity payments lost to delay</t>
        </is>
      </c>
      <c r="C1655" s="5" t="inlineStr">
        <is>
          <t>$ million</t>
        </is>
      </c>
      <c r="D1655" s="23">
        <f>IF(D1633=sb_cod,D1651*sb_delay,0)</f>
        <v/>
      </c>
      <c r="E1655" s="23">
        <f>IF(E1633=sb_cod,E1651*sb_delay,0)</f>
        <v/>
      </c>
      <c r="F1655" s="23">
        <f>IF(F1633=sb_cod,F1651*sb_delay,0)</f>
        <v/>
      </c>
      <c r="G1655" s="23">
        <f>IF(G1633=sb_cod,G1651*sb_delay,0)</f>
        <v/>
      </c>
      <c r="H1655" s="23">
        <f>IF(H1633=sb_cod,H1651*sb_delay,0)</f>
        <v/>
      </c>
      <c r="I1655" s="23">
        <f>IF(I1633=sb_cod,I1651*sb_delay,0)</f>
        <v/>
      </c>
      <c r="J1655" s="23">
        <f>IF(J1633=sb_cod,J1651*sb_delay,0)</f>
        <v/>
      </c>
      <c r="K1655" s="23">
        <f>IF(K1633=sb_cod,K1651*sb_delay,0)</f>
        <v/>
      </c>
      <c r="L1655" s="23">
        <f>IF(L1633=sb_cod,L1651*sb_delay,0)</f>
        <v/>
      </c>
      <c r="M1655" s="23">
        <f>IF(M1633=sb_cod,M1651*sb_delay,0)</f>
        <v/>
      </c>
      <c r="N1655" s="23">
        <f>IF(N1633=sb_cod,N1651*sb_delay,0)</f>
        <v/>
      </c>
      <c r="O1655" s="23">
        <f>IF(O1633=sb_cod,O1651*sb_delay,0)</f>
        <v/>
      </c>
      <c r="P1655" s="23">
        <f>IF(P1633=sb_cod,P1651*sb_delay,0)</f>
        <v/>
      </c>
      <c r="Q1655" s="23">
        <f>IF(Q1633=sb_cod,Q1651*sb_delay,0)</f>
        <v/>
      </c>
      <c r="R1655" s="23">
        <f>IF(R1633=sb_cod,R1651*sb_delay,0)</f>
        <v/>
      </c>
      <c r="S1655" s="23">
        <f>IF(S1633=sb_cod,S1651*sb_delay,0)</f>
        <v/>
      </c>
      <c r="T1655" s="23">
        <f>IF(T1633=sb_cod,T1651*sb_delay,0)</f>
        <v/>
      </c>
      <c r="U1655" s="23">
        <f>IF(U1633=sb_cod,U1651*sb_delay,0)</f>
        <v/>
      </c>
      <c r="V1655" s="23">
        <f>IF(V1633=sb_cod,V1651*sb_delay,0)</f>
        <v/>
      </c>
      <c r="W1655" s="23">
        <f>IF(W1633=sb_cod,W1651*sb_delay,0)</f>
        <v/>
      </c>
      <c r="X1655" s="23">
        <f>IF(X1633=sb_cod,X1651*sb_delay,0)</f>
        <v/>
      </c>
      <c r="Y1655" s="23">
        <f>IF(Y1633=sb_cod,Y1651*sb_delay,0)</f>
        <v/>
      </c>
      <c r="Z1655" s="23">
        <f>IF(Z1633=sb_cod,Z1651*sb_delay,0)</f>
        <v/>
      </c>
      <c r="AA1655" s="23">
        <f>IF(AA1633=sb_cod,AA1651*sb_delay,0)</f>
        <v/>
      </c>
      <c r="AB1655" s="23">
        <f>IF(AB1633=sb_cod,AB1651*sb_delay,0)</f>
        <v/>
      </c>
      <c r="AC1655" s="23">
        <f>IF(AC1633=sb_cod,AC1651*sb_delay,0)</f>
        <v/>
      </c>
      <c r="AD1655" s="23">
        <f>IF(AD1633=sb_cod,AD1651*sb_delay,0)</f>
        <v/>
      </c>
      <c r="AE1655" s="23">
        <f>IF(AE1633=sb_cod,AE1651*sb_delay,0)</f>
        <v/>
      </c>
      <c r="AF1655" s="23">
        <f>IF(AF1633=sb_cod,AF1651*sb_delay,0)</f>
        <v/>
      </c>
      <c r="AG1655" s="23">
        <f>IF(AG1633=sb_cod,AG1651*sb_delay,0)</f>
        <v/>
      </c>
      <c r="AH1655" s="23">
        <f>IF(AH1633=sb_cod,AH1651*sb_delay,0)</f>
        <v/>
      </c>
      <c r="AI1655" s="23">
        <f>IF(AI1633=sb_cod,AI1651*sb_delay,0)</f>
        <v/>
      </c>
      <c r="AJ1655" s="23">
        <f>IF(AJ1633=sb_cod,AJ1651*sb_delay,0)</f>
        <v/>
      </c>
    </row>
    <row r="1656">
      <c r="B1656" s="2" t="inlineStr">
        <is>
          <t>Lost payments not covered by delay damages</t>
        </is>
      </c>
      <c r="C1656" s="5" t="inlineStr">
        <is>
          <t>$ million</t>
        </is>
      </c>
      <c r="D1656" s="23">
        <f>D1655*(1-sb_ld)</f>
        <v/>
      </c>
      <c r="E1656" s="23">
        <f>E1655*(1-sb_ld)</f>
        <v/>
      </c>
      <c r="F1656" s="23">
        <f>F1655*(1-sb_ld)</f>
        <v/>
      </c>
      <c r="G1656" s="23">
        <f>G1655*(1-sb_ld)</f>
        <v/>
      </c>
      <c r="H1656" s="23">
        <f>H1655*(1-sb_ld)</f>
        <v/>
      </c>
      <c r="I1656" s="23">
        <f>I1655*(1-sb_ld)</f>
        <v/>
      </c>
      <c r="J1656" s="23">
        <f>J1655*(1-sb_ld)</f>
        <v/>
      </c>
      <c r="K1656" s="23">
        <f>K1655*(1-sb_ld)</f>
        <v/>
      </c>
      <c r="L1656" s="23">
        <f>L1655*(1-sb_ld)</f>
        <v/>
      </c>
      <c r="M1656" s="23">
        <f>M1655*(1-sb_ld)</f>
        <v/>
      </c>
      <c r="N1656" s="23">
        <f>N1655*(1-sb_ld)</f>
        <v/>
      </c>
      <c r="O1656" s="23">
        <f>O1655*(1-sb_ld)</f>
        <v/>
      </c>
      <c r="P1656" s="23">
        <f>P1655*(1-sb_ld)</f>
        <v/>
      </c>
      <c r="Q1656" s="23">
        <f>Q1655*(1-sb_ld)</f>
        <v/>
      </c>
      <c r="R1656" s="23">
        <f>R1655*(1-sb_ld)</f>
        <v/>
      </c>
      <c r="S1656" s="23">
        <f>S1655*(1-sb_ld)</f>
        <v/>
      </c>
      <c r="T1656" s="23">
        <f>T1655*(1-sb_ld)</f>
        <v/>
      </c>
      <c r="U1656" s="23">
        <f>U1655*(1-sb_ld)</f>
        <v/>
      </c>
      <c r="V1656" s="23">
        <f>V1655*(1-sb_ld)</f>
        <v/>
      </c>
      <c r="W1656" s="23">
        <f>W1655*(1-sb_ld)</f>
        <v/>
      </c>
      <c r="X1656" s="23">
        <f>X1655*(1-sb_ld)</f>
        <v/>
      </c>
      <c r="Y1656" s="23">
        <f>Y1655*(1-sb_ld)</f>
        <v/>
      </c>
      <c r="Z1656" s="23">
        <f>Z1655*(1-sb_ld)</f>
        <v/>
      </c>
      <c r="AA1656" s="23">
        <f>AA1655*(1-sb_ld)</f>
        <v/>
      </c>
      <c r="AB1656" s="23">
        <f>AB1655*(1-sb_ld)</f>
        <v/>
      </c>
      <c r="AC1656" s="23">
        <f>AC1655*(1-sb_ld)</f>
        <v/>
      </c>
      <c r="AD1656" s="23">
        <f>AD1655*(1-sb_ld)</f>
        <v/>
      </c>
      <c r="AE1656" s="23">
        <f>AE1655*(1-sb_ld)</f>
        <v/>
      </c>
      <c r="AF1656" s="23">
        <f>AF1655*(1-sb_ld)</f>
        <v/>
      </c>
      <c r="AG1656" s="23">
        <f>AG1655*(1-sb_ld)</f>
        <v/>
      </c>
      <c r="AH1656" s="23">
        <f>AH1655*(1-sb_ld)</f>
        <v/>
      </c>
      <c r="AI1656" s="23">
        <f>AI1655*(1-sb_ld)</f>
        <v/>
      </c>
      <c r="AJ1656" s="23">
        <f>AJ1655*(1-sb_ld)</f>
        <v/>
      </c>
    </row>
    <row r="1657">
      <c r="B1657" s="3" t="inlineStr">
        <is>
          <t>Revenue</t>
        </is>
      </c>
      <c r="C1657" s="5" t="inlineStr">
        <is>
          <t>$ million</t>
        </is>
      </c>
      <c r="D1657" s="23">
        <f>D1651+D1652+D1653+D1654-D1656</f>
        <v/>
      </c>
      <c r="E1657" s="23">
        <f>E1651+E1652+E1653+E1654-E1656</f>
        <v/>
      </c>
      <c r="F1657" s="23">
        <f>F1651+F1652+F1653+F1654-F1656</f>
        <v/>
      </c>
      <c r="G1657" s="23">
        <f>G1651+G1652+G1653+G1654-G1656</f>
        <v/>
      </c>
      <c r="H1657" s="23">
        <f>H1651+H1652+H1653+H1654-H1656</f>
        <v/>
      </c>
      <c r="I1657" s="23">
        <f>I1651+I1652+I1653+I1654-I1656</f>
        <v/>
      </c>
      <c r="J1657" s="23">
        <f>J1651+J1652+J1653+J1654-J1656</f>
        <v/>
      </c>
      <c r="K1657" s="23">
        <f>K1651+K1652+K1653+K1654-K1656</f>
        <v/>
      </c>
      <c r="L1657" s="23">
        <f>L1651+L1652+L1653+L1654-L1656</f>
        <v/>
      </c>
      <c r="M1657" s="23">
        <f>M1651+M1652+M1653+M1654-M1656</f>
        <v/>
      </c>
      <c r="N1657" s="23">
        <f>N1651+N1652+N1653+N1654-N1656</f>
        <v/>
      </c>
      <c r="O1657" s="23">
        <f>O1651+O1652+O1653+O1654-O1656</f>
        <v/>
      </c>
      <c r="P1657" s="23">
        <f>P1651+P1652+P1653+P1654-P1656</f>
        <v/>
      </c>
      <c r="Q1657" s="23">
        <f>Q1651+Q1652+Q1653+Q1654-Q1656</f>
        <v/>
      </c>
      <c r="R1657" s="23">
        <f>R1651+R1652+R1653+R1654-R1656</f>
        <v/>
      </c>
      <c r="S1657" s="23">
        <f>S1651+S1652+S1653+S1654-S1656</f>
        <v/>
      </c>
      <c r="T1657" s="23">
        <f>T1651+T1652+T1653+T1654-T1656</f>
        <v/>
      </c>
      <c r="U1657" s="23">
        <f>U1651+U1652+U1653+U1654-U1656</f>
        <v/>
      </c>
      <c r="V1657" s="23">
        <f>V1651+V1652+V1653+V1654-V1656</f>
        <v/>
      </c>
      <c r="W1657" s="23">
        <f>W1651+W1652+W1653+W1654-W1656</f>
        <v/>
      </c>
      <c r="X1657" s="23">
        <f>X1651+X1652+X1653+X1654-X1656</f>
        <v/>
      </c>
      <c r="Y1657" s="23">
        <f>Y1651+Y1652+Y1653+Y1654-Y1656</f>
        <v/>
      </c>
      <c r="Z1657" s="23">
        <f>Z1651+Z1652+Z1653+Z1654-Z1656</f>
        <v/>
      </c>
      <c r="AA1657" s="23">
        <f>AA1651+AA1652+AA1653+AA1654-AA1656</f>
        <v/>
      </c>
      <c r="AB1657" s="23">
        <f>AB1651+AB1652+AB1653+AB1654-AB1656</f>
        <v/>
      </c>
      <c r="AC1657" s="23">
        <f>AC1651+AC1652+AC1653+AC1654-AC1656</f>
        <v/>
      </c>
      <c r="AD1657" s="23">
        <f>AD1651+AD1652+AD1653+AD1654-AD1656</f>
        <v/>
      </c>
      <c r="AE1657" s="23">
        <f>AE1651+AE1652+AE1653+AE1654-AE1656</f>
        <v/>
      </c>
      <c r="AF1657" s="23">
        <f>AF1651+AF1652+AF1653+AF1654-AF1656</f>
        <v/>
      </c>
      <c r="AG1657" s="23">
        <f>AG1651+AG1652+AG1653+AG1654-AG1656</f>
        <v/>
      </c>
      <c r="AH1657" s="23">
        <f>AH1651+AH1652+AH1653+AH1654-AH1656</f>
        <v/>
      </c>
      <c r="AI1657" s="23">
        <f>AI1651+AI1652+AI1653+AI1654-AI1656</f>
        <v/>
      </c>
      <c r="AJ1657" s="23">
        <f>AJ1651+AJ1652+AJ1653+AJ1654-AJ1656</f>
        <v/>
      </c>
    </row>
    <row r="1658">
      <c r="B1658" s="2" t="inlineStr">
        <is>
          <t>Fixed O&amp;M</t>
        </is>
      </c>
      <c r="C1658" s="5" t="inlineStr">
        <is>
          <t>$ million</t>
        </is>
      </c>
      <c r="D1658" s="23">
        <f>D1634*sb_fom*D1636</f>
        <v/>
      </c>
      <c r="E1658" s="23">
        <f>E1634*sb_fom*E1636</f>
        <v/>
      </c>
      <c r="F1658" s="23">
        <f>F1634*sb_fom*F1636</f>
        <v/>
      </c>
      <c r="G1658" s="23">
        <f>G1634*sb_fom*G1636</f>
        <v/>
      </c>
      <c r="H1658" s="23">
        <f>H1634*sb_fom*H1636</f>
        <v/>
      </c>
      <c r="I1658" s="23">
        <f>I1634*sb_fom*I1636</f>
        <v/>
      </c>
      <c r="J1658" s="23">
        <f>J1634*sb_fom*J1636</f>
        <v/>
      </c>
      <c r="K1658" s="23">
        <f>K1634*sb_fom*K1636</f>
        <v/>
      </c>
      <c r="L1658" s="23">
        <f>L1634*sb_fom*L1636</f>
        <v/>
      </c>
      <c r="M1658" s="23">
        <f>M1634*sb_fom*M1636</f>
        <v/>
      </c>
      <c r="N1658" s="23">
        <f>N1634*sb_fom*N1636</f>
        <v/>
      </c>
      <c r="O1658" s="23">
        <f>O1634*sb_fom*O1636</f>
        <v/>
      </c>
      <c r="P1658" s="23">
        <f>P1634*sb_fom*P1636</f>
        <v/>
      </c>
      <c r="Q1658" s="23">
        <f>Q1634*sb_fom*Q1636</f>
        <v/>
      </c>
      <c r="R1658" s="23">
        <f>R1634*sb_fom*R1636</f>
        <v/>
      </c>
      <c r="S1658" s="23">
        <f>S1634*sb_fom*S1636</f>
        <v/>
      </c>
      <c r="T1658" s="23">
        <f>T1634*sb_fom*T1636</f>
        <v/>
      </c>
      <c r="U1658" s="23">
        <f>U1634*sb_fom*U1636</f>
        <v/>
      </c>
      <c r="V1658" s="23">
        <f>V1634*sb_fom*V1636</f>
        <v/>
      </c>
      <c r="W1658" s="23">
        <f>W1634*sb_fom*W1636</f>
        <v/>
      </c>
      <c r="X1658" s="23">
        <f>X1634*sb_fom*X1636</f>
        <v/>
      </c>
      <c r="Y1658" s="23">
        <f>Y1634*sb_fom*Y1636</f>
        <v/>
      </c>
      <c r="Z1658" s="23">
        <f>Z1634*sb_fom*Z1636</f>
        <v/>
      </c>
      <c r="AA1658" s="23">
        <f>AA1634*sb_fom*AA1636</f>
        <v/>
      </c>
      <c r="AB1658" s="23">
        <f>AB1634*sb_fom*AB1636</f>
        <v/>
      </c>
      <c r="AC1658" s="23">
        <f>AC1634*sb_fom*AC1636</f>
        <v/>
      </c>
      <c r="AD1658" s="23">
        <f>AD1634*sb_fom*AD1636</f>
        <v/>
      </c>
      <c r="AE1658" s="23">
        <f>AE1634*sb_fom*AE1636</f>
        <v/>
      </c>
      <c r="AF1658" s="23">
        <f>AF1634*sb_fom*AF1636</f>
        <v/>
      </c>
      <c r="AG1658" s="23">
        <f>AG1634*sb_fom*AG1636</f>
        <v/>
      </c>
      <c r="AH1658" s="23">
        <f>AH1634*sb_fom*AH1636</f>
        <v/>
      </c>
      <c r="AI1658" s="23">
        <f>AI1634*sb_fom*AI1636</f>
        <v/>
      </c>
      <c r="AJ1658" s="23">
        <f>AJ1634*sb_fom*AJ1636</f>
        <v/>
      </c>
    </row>
    <row r="1659">
      <c r="B1659" s="2" t="inlineStr">
        <is>
          <t>Energy cost (actual kWh x power price)</t>
        </is>
      </c>
      <c r="C1659" s="5" t="inlineStr">
        <is>
          <t>$ million</t>
        </is>
      </c>
      <c r="D1659" s="23">
        <f>D1648*sb_sec_act*D1649/1000/1000000</f>
        <v/>
      </c>
      <c r="E1659" s="23">
        <f>E1648*sb_sec_act*E1649/1000/1000000</f>
        <v/>
      </c>
      <c r="F1659" s="23">
        <f>F1648*sb_sec_act*F1649/1000/1000000</f>
        <v/>
      </c>
      <c r="G1659" s="23">
        <f>G1648*sb_sec_act*G1649/1000/1000000</f>
        <v/>
      </c>
      <c r="H1659" s="23">
        <f>H1648*sb_sec_act*H1649/1000/1000000</f>
        <v/>
      </c>
      <c r="I1659" s="23">
        <f>I1648*sb_sec_act*I1649/1000/1000000</f>
        <v/>
      </c>
      <c r="J1659" s="23">
        <f>J1648*sb_sec_act*J1649/1000/1000000</f>
        <v/>
      </c>
      <c r="K1659" s="23">
        <f>K1648*sb_sec_act*K1649/1000/1000000</f>
        <v/>
      </c>
      <c r="L1659" s="23">
        <f>L1648*sb_sec_act*L1649/1000/1000000</f>
        <v/>
      </c>
      <c r="M1659" s="23">
        <f>M1648*sb_sec_act*M1649/1000/1000000</f>
        <v/>
      </c>
      <c r="N1659" s="23">
        <f>N1648*sb_sec_act*N1649/1000/1000000</f>
        <v/>
      </c>
      <c r="O1659" s="23">
        <f>O1648*sb_sec_act*O1649/1000/1000000</f>
        <v/>
      </c>
      <c r="P1659" s="23">
        <f>P1648*sb_sec_act*P1649/1000/1000000</f>
        <v/>
      </c>
      <c r="Q1659" s="23">
        <f>Q1648*sb_sec_act*Q1649/1000/1000000</f>
        <v/>
      </c>
      <c r="R1659" s="23">
        <f>R1648*sb_sec_act*R1649/1000/1000000</f>
        <v/>
      </c>
      <c r="S1659" s="23">
        <f>S1648*sb_sec_act*S1649/1000/1000000</f>
        <v/>
      </c>
      <c r="T1659" s="23">
        <f>T1648*sb_sec_act*T1649/1000/1000000</f>
        <v/>
      </c>
      <c r="U1659" s="23">
        <f>U1648*sb_sec_act*U1649/1000/1000000</f>
        <v/>
      </c>
      <c r="V1659" s="23">
        <f>V1648*sb_sec_act*V1649/1000/1000000</f>
        <v/>
      </c>
      <c r="W1659" s="23">
        <f>W1648*sb_sec_act*W1649/1000/1000000</f>
        <v/>
      </c>
      <c r="X1659" s="23">
        <f>X1648*sb_sec_act*X1649/1000/1000000</f>
        <v/>
      </c>
      <c r="Y1659" s="23">
        <f>Y1648*sb_sec_act*Y1649/1000/1000000</f>
        <v/>
      </c>
      <c r="Z1659" s="23">
        <f>Z1648*sb_sec_act*Z1649/1000/1000000</f>
        <v/>
      </c>
      <c r="AA1659" s="23">
        <f>AA1648*sb_sec_act*AA1649/1000/1000000</f>
        <v/>
      </c>
      <c r="AB1659" s="23">
        <f>AB1648*sb_sec_act*AB1649/1000/1000000</f>
        <v/>
      </c>
      <c r="AC1659" s="23">
        <f>AC1648*sb_sec_act*AC1649/1000/1000000</f>
        <v/>
      </c>
      <c r="AD1659" s="23">
        <f>AD1648*sb_sec_act*AD1649/1000/1000000</f>
        <v/>
      </c>
      <c r="AE1659" s="23">
        <f>AE1648*sb_sec_act*AE1649/1000/1000000</f>
        <v/>
      </c>
      <c r="AF1659" s="23">
        <f>AF1648*sb_sec_act*AF1649/1000/1000000</f>
        <v/>
      </c>
      <c r="AG1659" s="23">
        <f>AG1648*sb_sec_act*AG1649/1000/1000000</f>
        <v/>
      </c>
      <c r="AH1659" s="23">
        <f>AH1648*sb_sec_act*AH1649/1000/1000000</f>
        <v/>
      </c>
      <c r="AI1659" s="23">
        <f>AI1648*sb_sec_act*AI1649/1000/1000000</f>
        <v/>
      </c>
      <c r="AJ1659" s="23">
        <f>AJ1648*sb_sec_act*AJ1649/1000/1000000</f>
        <v/>
      </c>
    </row>
    <row r="1660">
      <c r="B1660" s="2" t="inlineStr">
        <is>
          <t>Chemicals</t>
        </is>
      </c>
      <c r="C1660" s="5" t="inlineStr">
        <is>
          <t>$ million</t>
        </is>
      </c>
      <c r="D1660" s="23">
        <f>D1654</f>
        <v/>
      </c>
      <c r="E1660" s="23">
        <f>E1654</f>
        <v/>
      </c>
      <c r="F1660" s="23">
        <f>F1654</f>
        <v/>
      </c>
      <c r="G1660" s="23">
        <f>G1654</f>
        <v/>
      </c>
      <c r="H1660" s="23">
        <f>H1654</f>
        <v/>
      </c>
      <c r="I1660" s="23">
        <f>I1654</f>
        <v/>
      </c>
      <c r="J1660" s="23">
        <f>J1654</f>
        <v/>
      </c>
      <c r="K1660" s="23">
        <f>K1654</f>
        <v/>
      </c>
      <c r="L1660" s="23">
        <f>L1654</f>
        <v/>
      </c>
      <c r="M1660" s="23">
        <f>M1654</f>
        <v/>
      </c>
      <c r="N1660" s="23">
        <f>N1654</f>
        <v/>
      </c>
      <c r="O1660" s="23">
        <f>O1654</f>
        <v/>
      </c>
      <c r="P1660" s="23">
        <f>P1654</f>
        <v/>
      </c>
      <c r="Q1660" s="23">
        <f>Q1654</f>
        <v/>
      </c>
      <c r="R1660" s="23">
        <f>R1654</f>
        <v/>
      </c>
      <c r="S1660" s="23">
        <f>S1654</f>
        <v/>
      </c>
      <c r="T1660" s="23">
        <f>T1654</f>
        <v/>
      </c>
      <c r="U1660" s="23">
        <f>U1654</f>
        <v/>
      </c>
      <c r="V1660" s="23">
        <f>V1654</f>
        <v/>
      </c>
      <c r="W1660" s="23">
        <f>W1654</f>
        <v/>
      </c>
      <c r="X1660" s="23">
        <f>X1654</f>
        <v/>
      </c>
      <c r="Y1660" s="23">
        <f>Y1654</f>
        <v/>
      </c>
      <c r="Z1660" s="23">
        <f>Z1654</f>
        <v/>
      </c>
      <c r="AA1660" s="23">
        <f>AA1654</f>
        <v/>
      </c>
      <c r="AB1660" s="23">
        <f>AB1654</f>
        <v/>
      </c>
      <c r="AC1660" s="23">
        <f>AC1654</f>
        <v/>
      </c>
      <c r="AD1660" s="23">
        <f>AD1654</f>
        <v/>
      </c>
      <c r="AE1660" s="23">
        <f>AE1654</f>
        <v/>
      </c>
      <c r="AF1660" s="23">
        <f>AF1654</f>
        <v/>
      </c>
      <c r="AG1660" s="23">
        <f>AG1654</f>
        <v/>
      </c>
      <c r="AH1660" s="23">
        <f>AH1654</f>
        <v/>
      </c>
      <c r="AI1660" s="23">
        <f>AI1654</f>
        <v/>
      </c>
      <c r="AJ1660" s="23">
        <f>AJ1654</f>
        <v/>
      </c>
    </row>
    <row r="1661">
      <c r="B1661" s="2" t="inlineStr">
        <is>
          <t>Major overhauls</t>
        </is>
      </c>
      <c r="C1661" s="5" t="inlineStr">
        <is>
          <t>$ million</t>
        </is>
      </c>
      <c r="D1661" s="23">
        <f>D1634*IF(OR(D1633=sb_major_y1,D1633=sb_major_y2),sb_major*D1636,0)</f>
        <v/>
      </c>
      <c r="E1661" s="23">
        <f>E1634*IF(OR(E1633=sb_major_y1,E1633=sb_major_y2),sb_major*E1636,0)</f>
        <v/>
      </c>
      <c r="F1661" s="23">
        <f>F1634*IF(OR(F1633=sb_major_y1,F1633=sb_major_y2),sb_major*F1636,0)</f>
        <v/>
      </c>
      <c r="G1661" s="23">
        <f>G1634*IF(OR(G1633=sb_major_y1,G1633=sb_major_y2),sb_major*G1636,0)</f>
        <v/>
      </c>
      <c r="H1661" s="23">
        <f>H1634*IF(OR(H1633=sb_major_y1,H1633=sb_major_y2),sb_major*H1636,0)</f>
        <v/>
      </c>
      <c r="I1661" s="23">
        <f>I1634*IF(OR(I1633=sb_major_y1,I1633=sb_major_y2),sb_major*I1636,0)</f>
        <v/>
      </c>
      <c r="J1661" s="23">
        <f>J1634*IF(OR(J1633=sb_major_y1,J1633=sb_major_y2),sb_major*J1636,0)</f>
        <v/>
      </c>
      <c r="K1661" s="23">
        <f>K1634*IF(OR(K1633=sb_major_y1,K1633=sb_major_y2),sb_major*K1636,0)</f>
        <v/>
      </c>
      <c r="L1661" s="23">
        <f>L1634*IF(OR(L1633=sb_major_y1,L1633=sb_major_y2),sb_major*L1636,0)</f>
        <v/>
      </c>
      <c r="M1661" s="23">
        <f>M1634*IF(OR(M1633=sb_major_y1,M1633=sb_major_y2),sb_major*M1636,0)</f>
        <v/>
      </c>
      <c r="N1661" s="23">
        <f>N1634*IF(OR(N1633=sb_major_y1,N1633=sb_major_y2),sb_major*N1636,0)</f>
        <v/>
      </c>
      <c r="O1661" s="23">
        <f>O1634*IF(OR(O1633=sb_major_y1,O1633=sb_major_y2),sb_major*O1636,0)</f>
        <v/>
      </c>
      <c r="P1661" s="23">
        <f>P1634*IF(OR(P1633=sb_major_y1,P1633=sb_major_y2),sb_major*P1636,0)</f>
        <v/>
      </c>
      <c r="Q1661" s="23">
        <f>Q1634*IF(OR(Q1633=sb_major_y1,Q1633=sb_major_y2),sb_major*Q1636,0)</f>
        <v/>
      </c>
      <c r="R1661" s="23">
        <f>R1634*IF(OR(R1633=sb_major_y1,R1633=sb_major_y2),sb_major*R1636,0)</f>
        <v/>
      </c>
      <c r="S1661" s="23">
        <f>S1634*IF(OR(S1633=sb_major_y1,S1633=sb_major_y2),sb_major*S1636,0)</f>
        <v/>
      </c>
      <c r="T1661" s="23">
        <f>T1634*IF(OR(T1633=sb_major_y1,T1633=sb_major_y2),sb_major*T1636,0)</f>
        <v/>
      </c>
      <c r="U1661" s="23">
        <f>U1634*IF(OR(U1633=sb_major_y1,U1633=sb_major_y2),sb_major*U1636,0)</f>
        <v/>
      </c>
      <c r="V1661" s="23">
        <f>V1634*IF(OR(V1633=sb_major_y1,V1633=sb_major_y2),sb_major*V1636,0)</f>
        <v/>
      </c>
      <c r="W1661" s="23">
        <f>W1634*IF(OR(W1633=sb_major_y1,W1633=sb_major_y2),sb_major*W1636,0)</f>
        <v/>
      </c>
      <c r="X1661" s="23">
        <f>X1634*IF(OR(X1633=sb_major_y1,X1633=sb_major_y2),sb_major*X1636,0)</f>
        <v/>
      </c>
      <c r="Y1661" s="23">
        <f>Y1634*IF(OR(Y1633=sb_major_y1,Y1633=sb_major_y2),sb_major*Y1636,0)</f>
        <v/>
      </c>
      <c r="Z1661" s="23">
        <f>Z1634*IF(OR(Z1633=sb_major_y1,Z1633=sb_major_y2),sb_major*Z1636,0)</f>
        <v/>
      </c>
      <c r="AA1661" s="23">
        <f>AA1634*IF(OR(AA1633=sb_major_y1,AA1633=sb_major_y2),sb_major*AA1636,0)</f>
        <v/>
      </c>
      <c r="AB1661" s="23">
        <f>AB1634*IF(OR(AB1633=sb_major_y1,AB1633=sb_major_y2),sb_major*AB1636,0)</f>
        <v/>
      </c>
      <c r="AC1661" s="23">
        <f>AC1634*IF(OR(AC1633=sb_major_y1,AC1633=sb_major_y2),sb_major*AC1636,0)</f>
        <v/>
      </c>
      <c r="AD1661" s="23">
        <f>AD1634*IF(OR(AD1633=sb_major_y1,AD1633=sb_major_y2),sb_major*AD1636,0)</f>
        <v/>
      </c>
      <c r="AE1661" s="23">
        <f>AE1634*IF(OR(AE1633=sb_major_y1,AE1633=sb_major_y2),sb_major*AE1636,0)</f>
        <v/>
      </c>
      <c r="AF1661" s="23">
        <f>AF1634*IF(OR(AF1633=sb_major_y1,AF1633=sb_major_y2),sb_major*AF1636,0)</f>
        <v/>
      </c>
      <c r="AG1661" s="23">
        <f>AG1634*IF(OR(AG1633=sb_major_y1,AG1633=sb_major_y2),sb_major*AG1636,0)</f>
        <v/>
      </c>
      <c r="AH1661" s="23">
        <f>AH1634*IF(OR(AH1633=sb_major_y1,AH1633=sb_major_y2),sb_major*AH1636,0)</f>
        <v/>
      </c>
      <c r="AI1661" s="23">
        <f>AI1634*IF(OR(AI1633=sb_major_y1,AI1633=sb_major_y2),sb_major*AI1636,0)</f>
        <v/>
      </c>
      <c r="AJ1661" s="23">
        <f>AJ1634*IF(OR(AJ1633=sb_major_y1,AJ1633=sb_major_y2),sb_major*AJ1636,0)</f>
        <v/>
      </c>
    </row>
    <row r="1662">
      <c r="B1662" s="2" t="inlineStr">
        <is>
          <t>Operating cost</t>
        </is>
      </c>
      <c r="C1662" s="5" t="inlineStr">
        <is>
          <t>$ million</t>
        </is>
      </c>
      <c r="D1662" s="23">
        <f>SUM(D1658:D1661)</f>
        <v/>
      </c>
      <c r="E1662" s="23">
        <f>SUM(E1658:E1661)</f>
        <v/>
      </c>
      <c r="F1662" s="23">
        <f>SUM(F1658:F1661)</f>
        <v/>
      </c>
      <c r="G1662" s="23">
        <f>SUM(G1658:G1661)</f>
        <v/>
      </c>
      <c r="H1662" s="23">
        <f>SUM(H1658:H1661)</f>
        <v/>
      </c>
      <c r="I1662" s="23">
        <f>SUM(I1658:I1661)</f>
        <v/>
      </c>
      <c r="J1662" s="23">
        <f>SUM(J1658:J1661)</f>
        <v/>
      </c>
      <c r="K1662" s="23">
        <f>SUM(K1658:K1661)</f>
        <v/>
      </c>
      <c r="L1662" s="23">
        <f>SUM(L1658:L1661)</f>
        <v/>
      </c>
      <c r="M1662" s="23">
        <f>SUM(M1658:M1661)</f>
        <v/>
      </c>
      <c r="N1662" s="23">
        <f>SUM(N1658:N1661)</f>
        <v/>
      </c>
      <c r="O1662" s="23">
        <f>SUM(O1658:O1661)</f>
        <v/>
      </c>
      <c r="P1662" s="23">
        <f>SUM(P1658:P1661)</f>
        <v/>
      </c>
      <c r="Q1662" s="23">
        <f>SUM(Q1658:Q1661)</f>
        <v/>
      </c>
      <c r="R1662" s="23">
        <f>SUM(R1658:R1661)</f>
        <v/>
      </c>
      <c r="S1662" s="23">
        <f>SUM(S1658:S1661)</f>
        <v/>
      </c>
      <c r="T1662" s="23">
        <f>SUM(T1658:T1661)</f>
        <v/>
      </c>
      <c r="U1662" s="23">
        <f>SUM(U1658:U1661)</f>
        <v/>
      </c>
      <c r="V1662" s="23">
        <f>SUM(V1658:V1661)</f>
        <v/>
      </c>
      <c r="W1662" s="23">
        <f>SUM(W1658:W1661)</f>
        <v/>
      </c>
      <c r="X1662" s="23">
        <f>SUM(X1658:X1661)</f>
        <v/>
      </c>
      <c r="Y1662" s="23">
        <f>SUM(Y1658:Y1661)</f>
        <v/>
      </c>
      <c r="Z1662" s="23">
        <f>SUM(Z1658:Z1661)</f>
        <v/>
      </c>
      <c r="AA1662" s="23">
        <f>SUM(AA1658:AA1661)</f>
        <v/>
      </c>
      <c r="AB1662" s="23">
        <f>SUM(AB1658:AB1661)</f>
        <v/>
      </c>
      <c r="AC1662" s="23">
        <f>SUM(AC1658:AC1661)</f>
        <v/>
      </c>
      <c r="AD1662" s="23">
        <f>SUM(AD1658:AD1661)</f>
        <v/>
      </c>
      <c r="AE1662" s="23">
        <f>SUM(AE1658:AE1661)</f>
        <v/>
      </c>
      <c r="AF1662" s="23">
        <f>SUM(AF1658:AF1661)</f>
        <v/>
      </c>
      <c r="AG1662" s="23">
        <f>SUM(AG1658:AG1661)</f>
        <v/>
      </c>
      <c r="AH1662" s="23">
        <f>SUM(AH1658:AH1661)</f>
        <v/>
      </c>
      <c r="AI1662" s="23">
        <f>SUM(AI1658:AI1661)</f>
        <v/>
      </c>
      <c r="AJ1662" s="23">
        <f>SUM(AJ1658:AJ1661)</f>
        <v/>
      </c>
    </row>
    <row r="1663">
      <c r="B1663" s="3" t="inlineStr">
        <is>
          <t>Cash flow available for debt service (CFADS)</t>
        </is>
      </c>
      <c r="C1663" s="5" t="inlineStr">
        <is>
          <t>$ million</t>
        </is>
      </c>
      <c r="D1663" s="23">
        <f>D1657-D1662</f>
        <v/>
      </c>
      <c r="E1663" s="23">
        <f>E1657-E1662</f>
        <v/>
      </c>
      <c r="F1663" s="23">
        <f>F1657-F1662</f>
        <v/>
      </c>
      <c r="G1663" s="23">
        <f>G1657-G1662</f>
        <v/>
      </c>
      <c r="H1663" s="23">
        <f>H1657-H1662</f>
        <v/>
      </c>
      <c r="I1663" s="23">
        <f>I1657-I1662</f>
        <v/>
      </c>
      <c r="J1663" s="23">
        <f>J1657-J1662</f>
        <v/>
      </c>
      <c r="K1663" s="23">
        <f>K1657-K1662</f>
        <v/>
      </c>
      <c r="L1663" s="23">
        <f>L1657-L1662</f>
        <v/>
      </c>
      <c r="M1663" s="23">
        <f>M1657-M1662</f>
        <v/>
      </c>
      <c r="N1663" s="23">
        <f>N1657-N1662</f>
        <v/>
      </c>
      <c r="O1663" s="23">
        <f>O1657-O1662</f>
        <v/>
      </c>
      <c r="P1663" s="23">
        <f>P1657-P1662</f>
        <v/>
      </c>
      <c r="Q1663" s="23">
        <f>Q1657-Q1662</f>
        <v/>
      </c>
      <c r="R1663" s="23">
        <f>R1657-R1662</f>
        <v/>
      </c>
      <c r="S1663" s="23">
        <f>S1657-S1662</f>
        <v/>
      </c>
      <c r="T1663" s="23">
        <f>T1657-T1662</f>
        <v/>
      </c>
      <c r="U1663" s="23">
        <f>U1657-U1662</f>
        <v/>
      </c>
      <c r="V1663" s="23">
        <f>V1657-V1662</f>
        <v/>
      </c>
      <c r="W1663" s="23">
        <f>W1657-W1662</f>
        <v/>
      </c>
      <c r="X1663" s="23">
        <f>X1657-X1662</f>
        <v/>
      </c>
      <c r="Y1663" s="23">
        <f>Y1657-Y1662</f>
        <v/>
      </c>
      <c r="Z1663" s="23">
        <f>Z1657-Z1662</f>
        <v/>
      </c>
      <c r="AA1663" s="23">
        <f>AA1657-AA1662</f>
        <v/>
      </c>
      <c r="AB1663" s="23">
        <f>AB1657-AB1662</f>
        <v/>
      </c>
      <c r="AC1663" s="23">
        <f>AC1657-AC1662</f>
        <v/>
      </c>
      <c r="AD1663" s="23">
        <f>AD1657-AD1662</f>
        <v/>
      </c>
      <c r="AE1663" s="23">
        <f>AE1657-AE1662</f>
        <v/>
      </c>
      <c r="AF1663" s="23">
        <f>AF1657-AF1662</f>
        <v/>
      </c>
      <c r="AG1663" s="23">
        <f>AG1657-AG1662</f>
        <v/>
      </c>
      <c r="AH1663" s="23">
        <f>AH1657-AH1662</f>
        <v/>
      </c>
      <c r="AI1663" s="23">
        <f>AI1657-AI1662</f>
        <v/>
      </c>
      <c r="AJ1663" s="23">
        <f>AJ1657-AJ1662</f>
        <v/>
      </c>
    </row>
    <row r="1665">
      <c r="B1665" s="6" t="inlineStr">
        <is>
          <t>Debt and flows</t>
        </is>
      </c>
      <c r="C1665" s="7" t="n"/>
      <c r="D1665" s="7" t="n"/>
      <c r="E1665" s="7" t="n"/>
      <c r="F1665" s="7" t="n"/>
      <c r="G1665" s="7" t="n"/>
      <c r="H1665" s="7" t="n"/>
      <c r="I1665" s="7" t="n"/>
      <c r="J1665" s="7" t="n"/>
      <c r="K1665" s="7" t="n"/>
      <c r="L1665" s="7" t="n"/>
      <c r="M1665" s="7" t="n"/>
      <c r="N1665" s="7" t="n"/>
      <c r="O1665" s="7" t="n"/>
      <c r="P1665" s="7" t="n"/>
      <c r="Q1665" s="7" t="n"/>
      <c r="R1665" s="7" t="n"/>
      <c r="S1665" s="7" t="n"/>
      <c r="T1665" s="7" t="n"/>
      <c r="U1665" s="7" t="n"/>
      <c r="V1665" s="7" t="n"/>
      <c r="W1665" s="7" t="n"/>
      <c r="X1665" s="7" t="n"/>
      <c r="Y1665" s="7" t="n"/>
      <c r="Z1665" s="7" t="n"/>
      <c r="AA1665" s="7" t="n"/>
      <c r="AB1665" s="7" t="n"/>
      <c r="AC1665" s="7" t="n"/>
      <c r="AD1665" s="7" t="n"/>
      <c r="AE1665" s="7" t="n"/>
      <c r="AF1665" s="7" t="n"/>
      <c r="AG1665" s="7" t="n"/>
      <c r="AH1665" s="7" t="n"/>
      <c r="AI1665" s="7" t="n"/>
      <c r="AJ1665" s="7" t="n"/>
    </row>
    <row r="1666">
      <c r="B1666" s="2" t="inlineStr">
        <is>
          <t>Capital cost paid</t>
        </is>
      </c>
      <c r="C1666" s="5" t="inlineStr">
        <is>
          <t>$ million</t>
        </is>
      </c>
      <c r="D1666" s="23">
        <f>-IF(D1633=sb_start+1,sb_phase1,IF(D1633=sb_start+2,1-sb_phase1,0))*$D$1643</f>
        <v/>
      </c>
      <c r="E1666" s="23">
        <f>-IF(E1633=sb_start+1,sb_phase1,IF(E1633=sb_start+2,1-sb_phase1,0))*$D$1643</f>
        <v/>
      </c>
      <c r="F1666" s="23">
        <f>-IF(F1633=sb_start+1,sb_phase1,IF(F1633=sb_start+2,1-sb_phase1,0))*$D$1643</f>
        <v/>
      </c>
      <c r="G1666" s="23">
        <f>-IF(G1633=sb_start+1,sb_phase1,IF(G1633=sb_start+2,1-sb_phase1,0))*$D$1643</f>
        <v/>
      </c>
      <c r="H1666" s="23">
        <f>-IF(H1633=sb_start+1,sb_phase1,IF(H1633=sb_start+2,1-sb_phase1,0))*$D$1643</f>
        <v/>
      </c>
      <c r="I1666" s="23">
        <f>-IF(I1633=sb_start+1,sb_phase1,IF(I1633=sb_start+2,1-sb_phase1,0))*$D$1643</f>
        <v/>
      </c>
      <c r="J1666" s="23">
        <f>-IF(J1633=sb_start+1,sb_phase1,IF(J1633=sb_start+2,1-sb_phase1,0))*$D$1643</f>
        <v/>
      </c>
      <c r="K1666" s="23">
        <f>-IF(K1633=sb_start+1,sb_phase1,IF(K1633=sb_start+2,1-sb_phase1,0))*$D$1643</f>
        <v/>
      </c>
      <c r="L1666" s="23">
        <f>-IF(L1633=sb_start+1,sb_phase1,IF(L1633=sb_start+2,1-sb_phase1,0))*$D$1643</f>
        <v/>
      </c>
      <c r="M1666" s="23">
        <f>-IF(M1633=sb_start+1,sb_phase1,IF(M1633=sb_start+2,1-sb_phase1,0))*$D$1643</f>
        <v/>
      </c>
      <c r="N1666" s="23">
        <f>-IF(N1633=sb_start+1,sb_phase1,IF(N1633=sb_start+2,1-sb_phase1,0))*$D$1643</f>
        <v/>
      </c>
      <c r="O1666" s="23">
        <f>-IF(O1633=sb_start+1,sb_phase1,IF(O1633=sb_start+2,1-sb_phase1,0))*$D$1643</f>
        <v/>
      </c>
      <c r="P1666" s="23">
        <f>-IF(P1633=sb_start+1,sb_phase1,IF(P1633=sb_start+2,1-sb_phase1,0))*$D$1643</f>
        <v/>
      </c>
      <c r="Q1666" s="23">
        <f>-IF(Q1633=sb_start+1,sb_phase1,IF(Q1633=sb_start+2,1-sb_phase1,0))*$D$1643</f>
        <v/>
      </c>
      <c r="R1666" s="23">
        <f>-IF(R1633=sb_start+1,sb_phase1,IF(R1633=sb_start+2,1-sb_phase1,0))*$D$1643</f>
        <v/>
      </c>
      <c r="S1666" s="23">
        <f>-IF(S1633=sb_start+1,sb_phase1,IF(S1633=sb_start+2,1-sb_phase1,0))*$D$1643</f>
        <v/>
      </c>
      <c r="T1666" s="23">
        <f>-IF(T1633=sb_start+1,sb_phase1,IF(T1633=sb_start+2,1-sb_phase1,0))*$D$1643</f>
        <v/>
      </c>
      <c r="U1666" s="23">
        <f>-IF(U1633=sb_start+1,sb_phase1,IF(U1633=sb_start+2,1-sb_phase1,0))*$D$1643</f>
        <v/>
      </c>
      <c r="V1666" s="23">
        <f>-IF(V1633=sb_start+1,sb_phase1,IF(V1633=sb_start+2,1-sb_phase1,0))*$D$1643</f>
        <v/>
      </c>
      <c r="W1666" s="23">
        <f>-IF(W1633=sb_start+1,sb_phase1,IF(W1633=sb_start+2,1-sb_phase1,0))*$D$1643</f>
        <v/>
      </c>
      <c r="X1666" s="23">
        <f>-IF(X1633=sb_start+1,sb_phase1,IF(X1633=sb_start+2,1-sb_phase1,0))*$D$1643</f>
        <v/>
      </c>
      <c r="Y1666" s="23">
        <f>-IF(Y1633=sb_start+1,sb_phase1,IF(Y1633=sb_start+2,1-sb_phase1,0))*$D$1643</f>
        <v/>
      </c>
      <c r="Z1666" s="23">
        <f>-IF(Z1633=sb_start+1,sb_phase1,IF(Z1633=sb_start+2,1-sb_phase1,0))*$D$1643</f>
        <v/>
      </c>
      <c r="AA1666" s="23">
        <f>-IF(AA1633=sb_start+1,sb_phase1,IF(AA1633=sb_start+2,1-sb_phase1,0))*$D$1643</f>
        <v/>
      </c>
      <c r="AB1666" s="23">
        <f>-IF(AB1633=sb_start+1,sb_phase1,IF(AB1633=sb_start+2,1-sb_phase1,0))*$D$1643</f>
        <v/>
      </c>
      <c r="AC1666" s="23">
        <f>-IF(AC1633=sb_start+1,sb_phase1,IF(AC1633=sb_start+2,1-sb_phase1,0))*$D$1643</f>
        <v/>
      </c>
      <c r="AD1666" s="23">
        <f>-IF(AD1633=sb_start+1,sb_phase1,IF(AD1633=sb_start+2,1-sb_phase1,0))*$D$1643</f>
        <v/>
      </c>
      <c r="AE1666" s="23">
        <f>-IF(AE1633=sb_start+1,sb_phase1,IF(AE1633=sb_start+2,1-sb_phase1,0))*$D$1643</f>
        <v/>
      </c>
      <c r="AF1666" s="23">
        <f>-IF(AF1633=sb_start+1,sb_phase1,IF(AF1633=sb_start+2,1-sb_phase1,0))*$D$1643</f>
        <v/>
      </c>
      <c r="AG1666" s="23">
        <f>-IF(AG1633=sb_start+1,sb_phase1,IF(AG1633=sb_start+2,1-sb_phase1,0))*$D$1643</f>
        <v/>
      </c>
      <c r="AH1666" s="23">
        <f>-IF(AH1633=sb_start+1,sb_phase1,IF(AH1633=sb_start+2,1-sb_phase1,0))*$D$1643</f>
        <v/>
      </c>
      <c r="AI1666" s="23">
        <f>-IF(AI1633=sb_start+1,sb_phase1,IF(AI1633=sb_start+2,1-sb_phase1,0))*$D$1643</f>
        <v/>
      </c>
      <c r="AJ1666" s="23">
        <f>-IF(AJ1633=sb_start+1,sb_phase1,IF(AJ1633=sb_start+2,1-sb_phase1,0))*$D$1643</f>
        <v/>
      </c>
    </row>
    <row r="1667">
      <c r="B1667" s="2" t="inlineStr">
        <is>
          <t>Debt discount factor (tenor years)</t>
        </is>
      </c>
      <c r="D1667" s="28">
        <f>IF(AND(D1634=1,D1635&lt;sb_tenor),1/(1+sb_kd)^(D1635+1),0)</f>
        <v/>
      </c>
      <c r="E1667" s="28">
        <f>IF(AND(E1634=1,E1635&lt;sb_tenor),1/(1+sb_kd)^(E1635+1),0)</f>
        <v/>
      </c>
      <c r="F1667" s="28">
        <f>IF(AND(F1634=1,F1635&lt;sb_tenor),1/(1+sb_kd)^(F1635+1),0)</f>
        <v/>
      </c>
      <c r="G1667" s="28">
        <f>IF(AND(G1634=1,G1635&lt;sb_tenor),1/(1+sb_kd)^(G1635+1),0)</f>
        <v/>
      </c>
      <c r="H1667" s="28">
        <f>IF(AND(H1634=1,H1635&lt;sb_tenor),1/(1+sb_kd)^(H1635+1),0)</f>
        <v/>
      </c>
      <c r="I1667" s="28">
        <f>IF(AND(I1634=1,I1635&lt;sb_tenor),1/(1+sb_kd)^(I1635+1),0)</f>
        <v/>
      </c>
      <c r="J1667" s="28">
        <f>IF(AND(J1634=1,J1635&lt;sb_tenor),1/(1+sb_kd)^(J1635+1),0)</f>
        <v/>
      </c>
      <c r="K1667" s="28">
        <f>IF(AND(K1634=1,K1635&lt;sb_tenor),1/(1+sb_kd)^(K1635+1),0)</f>
        <v/>
      </c>
      <c r="L1667" s="28">
        <f>IF(AND(L1634=1,L1635&lt;sb_tenor),1/(1+sb_kd)^(L1635+1),0)</f>
        <v/>
      </c>
      <c r="M1667" s="28">
        <f>IF(AND(M1634=1,M1635&lt;sb_tenor),1/(1+sb_kd)^(M1635+1),0)</f>
        <v/>
      </c>
      <c r="N1667" s="28">
        <f>IF(AND(N1634=1,N1635&lt;sb_tenor),1/(1+sb_kd)^(N1635+1),0)</f>
        <v/>
      </c>
      <c r="O1667" s="28">
        <f>IF(AND(O1634=1,O1635&lt;sb_tenor),1/(1+sb_kd)^(O1635+1),0)</f>
        <v/>
      </c>
      <c r="P1667" s="28">
        <f>IF(AND(P1634=1,P1635&lt;sb_tenor),1/(1+sb_kd)^(P1635+1),0)</f>
        <v/>
      </c>
      <c r="Q1667" s="28">
        <f>IF(AND(Q1634=1,Q1635&lt;sb_tenor),1/(1+sb_kd)^(Q1635+1),0)</f>
        <v/>
      </c>
      <c r="R1667" s="28">
        <f>IF(AND(R1634=1,R1635&lt;sb_tenor),1/(1+sb_kd)^(R1635+1),0)</f>
        <v/>
      </c>
      <c r="S1667" s="28">
        <f>IF(AND(S1634=1,S1635&lt;sb_tenor),1/(1+sb_kd)^(S1635+1),0)</f>
        <v/>
      </c>
      <c r="T1667" s="28">
        <f>IF(AND(T1634=1,T1635&lt;sb_tenor),1/(1+sb_kd)^(T1635+1),0)</f>
        <v/>
      </c>
      <c r="U1667" s="28">
        <f>IF(AND(U1634=1,U1635&lt;sb_tenor),1/(1+sb_kd)^(U1635+1),0)</f>
        <v/>
      </c>
      <c r="V1667" s="28">
        <f>IF(AND(V1634=1,V1635&lt;sb_tenor),1/(1+sb_kd)^(V1635+1),0)</f>
        <v/>
      </c>
      <c r="W1667" s="28">
        <f>IF(AND(W1634=1,W1635&lt;sb_tenor),1/(1+sb_kd)^(W1635+1),0)</f>
        <v/>
      </c>
      <c r="X1667" s="28">
        <f>IF(AND(X1634=1,X1635&lt;sb_tenor),1/(1+sb_kd)^(X1635+1),0)</f>
        <v/>
      </c>
      <c r="Y1667" s="28">
        <f>IF(AND(Y1634=1,Y1635&lt;sb_tenor),1/(1+sb_kd)^(Y1635+1),0)</f>
        <v/>
      </c>
      <c r="Z1667" s="28">
        <f>IF(AND(Z1634=1,Z1635&lt;sb_tenor),1/(1+sb_kd)^(Z1635+1),0)</f>
        <v/>
      </c>
      <c r="AA1667" s="28">
        <f>IF(AND(AA1634=1,AA1635&lt;sb_tenor),1/(1+sb_kd)^(AA1635+1),0)</f>
        <v/>
      </c>
      <c r="AB1667" s="28">
        <f>IF(AND(AB1634=1,AB1635&lt;sb_tenor),1/(1+sb_kd)^(AB1635+1),0)</f>
        <v/>
      </c>
      <c r="AC1667" s="28">
        <f>IF(AND(AC1634=1,AC1635&lt;sb_tenor),1/(1+sb_kd)^(AC1635+1),0)</f>
        <v/>
      </c>
      <c r="AD1667" s="28">
        <f>IF(AND(AD1634=1,AD1635&lt;sb_tenor),1/(1+sb_kd)^(AD1635+1),0)</f>
        <v/>
      </c>
      <c r="AE1667" s="28">
        <f>IF(AND(AE1634=1,AE1635&lt;sb_tenor),1/(1+sb_kd)^(AE1635+1),0)</f>
        <v/>
      </c>
      <c r="AF1667" s="28">
        <f>IF(AND(AF1634=1,AF1635&lt;sb_tenor),1/(1+sb_kd)^(AF1635+1),0)</f>
        <v/>
      </c>
      <c r="AG1667" s="28">
        <f>IF(AND(AG1634=1,AG1635&lt;sb_tenor),1/(1+sb_kd)^(AG1635+1),0)</f>
        <v/>
      </c>
      <c r="AH1667" s="28">
        <f>IF(AND(AH1634=1,AH1635&lt;sb_tenor),1/(1+sb_kd)^(AH1635+1),0)</f>
        <v/>
      </c>
      <c r="AI1667" s="28">
        <f>IF(AND(AI1634=1,AI1635&lt;sb_tenor),1/(1+sb_kd)^(AI1635+1),0)</f>
        <v/>
      </c>
      <c r="AJ1667" s="28">
        <f>IF(AND(AJ1634=1,AJ1635&lt;sb_tenor),1/(1+sb_kd)^(AJ1635+1),0)</f>
        <v/>
      </c>
    </row>
    <row r="1668">
      <c r="B1668" s="2" t="inlineStr">
        <is>
          <t>Debt capacity at the sizing cover (PV of CFADS / cover)</t>
        </is>
      </c>
      <c r="C1668" s="5" t="inlineStr">
        <is>
          <t>$ million</t>
        </is>
      </c>
      <c r="D1668" s="23">
        <f>SUMPRODUCT($D$1663:AJ$1663,$D$1667:AJ$1667)/sb_dscr</f>
        <v/>
      </c>
    </row>
    <row r="1669">
      <c r="B1669" s="2" t="inlineStr">
        <is>
          <t>Senior debt (lower of cover sizing and gearing cap)</t>
        </is>
      </c>
      <c r="C1669" s="5" t="inlineStr">
        <is>
          <t>$ million</t>
        </is>
      </c>
      <c r="D1669" s="23">
        <f>MIN($D$1668,sb_gear*$D$1643)</f>
        <v/>
      </c>
    </row>
    <row r="1670">
      <c r="B1670" s="2" t="inlineStr">
        <is>
          <t>Gearing</t>
        </is>
      </c>
      <c r="C1670" s="5" t="inlineStr">
        <is>
          <t>share</t>
        </is>
      </c>
      <c r="D1670" s="20">
        <f>$D$1669/$D$1643</f>
        <v/>
      </c>
    </row>
    <row r="1671">
      <c r="B1671" s="2" t="inlineStr">
        <is>
          <t>Debt service (sculpted)</t>
        </is>
      </c>
      <c r="C1671" s="5" t="inlineStr">
        <is>
          <t>$ million</t>
        </is>
      </c>
      <c r="D1671" s="23">
        <f>IF(D1667&gt;0,D1663/sb_dscr*$D$1669/$D$1668,0)</f>
        <v/>
      </c>
      <c r="E1671" s="23">
        <f>IF(E1667&gt;0,E1663/sb_dscr*$D$1669/$D$1668,0)</f>
        <v/>
      </c>
      <c r="F1671" s="23">
        <f>IF(F1667&gt;0,F1663/sb_dscr*$D$1669/$D$1668,0)</f>
        <v/>
      </c>
      <c r="G1671" s="23">
        <f>IF(G1667&gt;0,G1663/sb_dscr*$D$1669/$D$1668,0)</f>
        <v/>
      </c>
      <c r="H1671" s="23">
        <f>IF(H1667&gt;0,H1663/sb_dscr*$D$1669/$D$1668,0)</f>
        <v/>
      </c>
      <c r="I1671" s="23">
        <f>IF(I1667&gt;0,I1663/sb_dscr*$D$1669/$D$1668,0)</f>
        <v/>
      </c>
      <c r="J1671" s="23">
        <f>IF(J1667&gt;0,J1663/sb_dscr*$D$1669/$D$1668,0)</f>
        <v/>
      </c>
      <c r="K1671" s="23">
        <f>IF(K1667&gt;0,K1663/sb_dscr*$D$1669/$D$1668,0)</f>
        <v/>
      </c>
      <c r="L1671" s="23">
        <f>IF(L1667&gt;0,L1663/sb_dscr*$D$1669/$D$1668,0)</f>
        <v/>
      </c>
      <c r="M1671" s="23">
        <f>IF(M1667&gt;0,M1663/sb_dscr*$D$1669/$D$1668,0)</f>
        <v/>
      </c>
      <c r="N1671" s="23">
        <f>IF(N1667&gt;0,N1663/sb_dscr*$D$1669/$D$1668,0)</f>
        <v/>
      </c>
      <c r="O1671" s="23">
        <f>IF(O1667&gt;0,O1663/sb_dscr*$D$1669/$D$1668,0)</f>
        <v/>
      </c>
      <c r="P1671" s="23">
        <f>IF(P1667&gt;0,P1663/sb_dscr*$D$1669/$D$1668,0)</f>
        <v/>
      </c>
      <c r="Q1671" s="23">
        <f>IF(Q1667&gt;0,Q1663/sb_dscr*$D$1669/$D$1668,0)</f>
        <v/>
      </c>
      <c r="R1671" s="23">
        <f>IF(R1667&gt;0,R1663/sb_dscr*$D$1669/$D$1668,0)</f>
        <v/>
      </c>
      <c r="S1671" s="23">
        <f>IF(S1667&gt;0,S1663/sb_dscr*$D$1669/$D$1668,0)</f>
        <v/>
      </c>
      <c r="T1671" s="23">
        <f>IF(T1667&gt;0,T1663/sb_dscr*$D$1669/$D$1668,0)</f>
        <v/>
      </c>
      <c r="U1671" s="23">
        <f>IF(U1667&gt;0,U1663/sb_dscr*$D$1669/$D$1668,0)</f>
        <v/>
      </c>
      <c r="V1671" s="23">
        <f>IF(V1667&gt;0,V1663/sb_dscr*$D$1669/$D$1668,0)</f>
        <v/>
      </c>
      <c r="W1671" s="23">
        <f>IF(W1667&gt;0,W1663/sb_dscr*$D$1669/$D$1668,0)</f>
        <v/>
      </c>
      <c r="X1671" s="23">
        <f>IF(X1667&gt;0,X1663/sb_dscr*$D$1669/$D$1668,0)</f>
        <v/>
      </c>
      <c r="Y1671" s="23">
        <f>IF(Y1667&gt;0,Y1663/sb_dscr*$D$1669/$D$1668,0)</f>
        <v/>
      </c>
      <c r="Z1671" s="23">
        <f>IF(Z1667&gt;0,Z1663/sb_dscr*$D$1669/$D$1668,0)</f>
        <v/>
      </c>
      <c r="AA1671" s="23">
        <f>IF(AA1667&gt;0,AA1663/sb_dscr*$D$1669/$D$1668,0)</f>
        <v/>
      </c>
      <c r="AB1671" s="23">
        <f>IF(AB1667&gt;0,AB1663/sb_dscr*$D$1669/$D$1668,0)</f>
        <v/>
      </c>
      <c r="AC1671" s="23">
        <f>IF(AC1667&gt;0,AC1663/sb_dscr*$D$1669/$D$1668,0)</f>
        <v/>
      </c>
      <c r="AD1671" s="23">
        <f>IF(AD1667&gt;0,AD1663/sb_dscr*$D$1669/$D$1668,0)</f>
        <v/>
      </c>
      <c r="AE1671" s="23">
        <f>IF(AE1667&gt;0,AE1663/sb_dscr*$D$1669/$D$1668,0)</f>
        <v/>
      </c>
      <c r="AF1671" s="23">
        <f>IF(AF1667&gt;0,AF1663/sb_dscr*$D$1669/$D$1668,0)</f>
        <v/>
      </c>
      <c r="AG1671" s="23">
        <f>IF(AG1667&gt;0,AG1663/sb_dscr*$D$1669/$D$1668,0)</f>
        <v/>
      </c>
      <c r="AH1671" s="23">
        <f>IF(AH1667&gt;0,AH1663/sb_dscr*$D$1669/$D$1668,0)</f>
        <v/>
      </c>
      <c r="AI1671" s="23">
        <f>IF(AI1667&gt;0,AI1663/sb_dscr*$D$1669/$D$1668,0)</f>
        <v/>
      </c>
      <c r="AJ1671" s="23">
        <f>IF(AJ1667&gt;0,AJ1663/sb_dscr*$D$1669/$D$1668,0)</f>
        <v/>
      </c>
    </row>
    <row r="1672">
      <c r="B1672" s="2" t="inlineStr">
        <is>
          <t>Debt service cover</t>
        </is>
      </c>
      <c r="C1672" s="5" t="inlineStr">
        <is>
          <t>x</t>
        </is>
      </c>
      <c r="D1672" s="30">
        <f>IF(D1671&gt;0,D1663/D1671,"")</f>
        <v/>
      </c>
      <c r="E1672" s="30">
        <f>IF(E1671&gt;0,E1663/E1671,"")</f>
        <v/>
      </c>
      <c r="F1672" s="30">
        <f>IF(F1671&gt;0,F1663/F1671,"")</f>
        <v/>
      </c>
      <c r="G1672" s="30">
        <f>IF(G1671&gt;0,G1663/G1671,"")</f>
        <v/>
      </c>
      <c r="H1672" s="30">
        <f>IF(H1671&gt;0,H1663/H1671,"")</f>
        <v/>
      </c>
      <c r="I1672" s="30">
        <f>IF(I1671&gt;0,I1663/I1671,"")</f>
        <v/>
      </c>
      <c r="J1672" s="30">
        <f>IF(J1671&gt;0,J1663/J1671,"")</f>
        <v/>
      </c>
      <c r="K1672" s="30">
        <f>IF(K1671&gt;0,K1663/K1671,"")</f>
        <v/>
      </c>
      <c r="L1672" s="30">
        <f>IF(L1671&gt;0,L1663/L1671,"")</f>
        <v/>
      </c>
      <c r="M1672" s="30">
        <f>IF(M1671&gt;0,M1663/M1671,"")</f>
        <v/>
      </c>
      <c r="N1672" s="30">
        <f>IF(N1671&gt;0,N1663/N1671,"")</f>
        <v/>
      </c>
      <c r="O1672" s="30">
        <f>IF(O1671&gt;0,O1663/O1671,"")</f>
        <v/>
      </c>
      <c r="P1672" s="30">
        <f>IF(P1671&gt;0,P1663/P1671,"")</f>
        <v/>
      </c>
      <c r="Q1672" s="30">
        <f>IF(Q1671&gt;0,Q1663/Q1671,"")</f>
        <v/>
      </c>
      <c r="R1672" s="30">
        <f>IF(R1671&gt;0,R1663/R1671,"")</f>
        <v/>
      </c>
      <c r="S1672" s="30">
        <f>IF(S1671&gt;0,S1663/S1671,"")</f>
        <v/>
      </c>
      <c r="T1672" s="30">
        <f>IF(T1671&gt;0,T1663/T1671,"")</f>
        <v/>
      </c>
      <c r="U1672" s="30">
        <f>IF(U1671&gt;0,U1663/U1671,"")</f>
        <v/>
      </c>
      <c r="V1672" s="30">
        <f>IF(V1671&gt;0,V1663/V1671,"")</f>
        <v/>
      </c>
      <c r="W1672" s="30">
        <f>IF(W1671&gt;0,W1663/W1671,"")</f>
        <v/>
      </c>
      <c r="X1672" s="30">
        <f>IF(X1671&gt;0,X1663/X1671,"")</f>
        <v/>
      </c>
      <c r="Y1672" s="30">
        <f>IF(Y1671&gt;0,Y1663/Y1671,"")</f>
        <v/>
      </c>
      <c r="Z1672" s="30">
        <f>IF(Z1671&gt;0,Z1663/Z1671,"")</f>
        <v/>
      </c>
      <c r="AA1672" s="30">
        <f>IF(AA1671&gt;0,AA1663/AA1671,"")</f>
        <v/>
      </c>
      <c r="AB1672" s="30">
        <f>IF(AB1671&gt;0,AB1663/AB1671,"")</f>
        <v/>
      </c>
      <c r="AC1672" s="30">
        <f>IF(AC1671&gt;0,AC1663/AC1671,"")</f>
        <v/>
      </c>
      <c r="AD1672" s="30">
        <f>IF(AD1671&gt;0,AD1663/AD1671,"")</f>
        <v/>
      </c>
      <c r="AE1672" s="30">
        <f>IF(AE1671&gt;0,AE1663/AE1671,"")</f>
        <v/>
      </c>
      <c r="AF1672" s="30">
        <f>IF(AF1671&gt;0,AF1663/AF1671,"")</f>
        <v/>
      </c>
      <c r="AG1672" s="30">
        <f>IF(AG1671&gt;0,AG1663/AG1671,"")</f>
        <v/>
      </c>
      <c r="AH1672" s="30">
        <f>IF(AH1671&gt;0,AH1663/AH1671,"")</f>
        <v/>
      </c>
      <c r="AI1672" s="30">
        <f>IF(AI1671&gt;0,AI1663/AI1671,"")</f>
        <v/>
      </c>
      <c r="AJ1672" s="30">
        <f>IF(AJ1671&gt;0,AJ1663/AJ1671,"")</f>
        <v/>
      </c>
    </row>
    <row r="1673">
      <c r="B1673" s="3" t="inlineStr">
        <is>
          <t>Project flows (unlevered, pre-tax)</t>
        </is>
      </c>
      <c r="C1673" s="5" t="inlineStr">
        <is>
          <t>$ million</t>
        </is>
      </c>
      <c r="D1673" s="23">
        <f>D1666+D1663</f>
        <v/>
      </c>
      <c r="E1673" s="23">
        <f>E1666+E1663</f>
        <v/>
      </c>
      <c r="F1673" s="23">
        <f>F1666+F1663</f>
        <v/>
      </c>
      <c r="G1673" s="23">
        <f>G1666+G1663</f>
        <v/>
      </c>
      <c r="H1673" s="23">
        <f>H1666+H1663</f>
        <v/>
      </c>
      <c r="I1673" s="23">
        <f>I1666+I1663</f>
        <v/>
      </c>
      <c r="J1673" s="23">
        <f>J1666+J1663</f>
        <v/>
      </c>
      <c r="K1673" s="23">
        <f>K1666+K1663</f>
        <v/>
      </c>
      <c r="L1673" s="23">
        <f>L1666+L1663</f>
        <v/>
      </c>
      <c r="M1673" s="23">
        <f>M1666+M1663</f>
        <v/>
      </c>
      <c r="N1673" s="23">
        <f>N1666+N1663</f>
        <v/>
      </c>
      <c r="O1673" s="23">
        <f>O1666+O1663</f>
        <v/>
      </c>
      <c r="P1673" s="23">
        <f>P1666+P1663</f>
        <v/>
      </c>
      <c r="Q1673" s="23">
        <f>Q1666+Q1663</f>
        <v/>
      </c>
      <c r="R1673" s="23">
        <f>R1666+R1663</f>
        <v/>
      </c>
      <c r="S1673" s="23">
        <f>S1666+S1663</f>
        <v/>
      </c>
      <c r="T1673" s="23">
        <f>T1666+T1663</f>
        <v/>
      </c>
      <c r="U1673" s="23">
        <f>U1666+U1663</f>
        <v/>
      </c>
      <c r="V1673" s="23">
        <f>V1666+V1663</f>
        <v/>
      </c>
      <c r="W1673" s="23">
        <f>W1666+W1663</f>
        <v/>
      </c>
      <c r="X1673" s="23">
        <f>X1666+X1663</f>
        <v/>
      </c>
      <c r="Y1673" s="23">
        <f>Y1666+Y1663</f>
        <v/>
      </c>
      <c r="Z1673" s="23">
        <f>Z1666+Z1663</f>
        <v/>
      </c>
      <c r="AA1673" s="23">
        <f>AA1666+AA1663</f>
        <v/>
      </c>
      <c r="AB1673" s="23">
        <f>AB1666+AB1663</f>
        <v/>
      </c>
      <c r="AC1673" s="23">
        <f>AC1666+AC1663</f>
        <v/>
      </c>
      <c r="AD1673" s="23">
        <f>AD1666+AD1663</f>
        <v/>
      </c>
      <c r="AE1673" s="23">
        <f>AE1666+AE1663</f>
        <v/>
      </c>
      <c r="AF1673" s="23">
        <f>AF1666+AF1663</f>
        <v/>
      </c>
      <c r="AG1673" s="23">
        <f>AG1666+AG1663</f>
        <v/>
      </c>
      <c r="AH1673" s="23">
        <f>AH1666+AH1663</f>
        <v/>
      </c>
      <c r="AI1673" s="23">
        <f>AI1666+AI1663</f>
        <v/>
      </c>
      <c r="AJ1673" s="23">
        <f>AJ1666+AJ1663</f>
        <v/>
      </c>
    </row>
    <row r="1674">
      <c r="B1674" s="3" t="inlineStr">
        <is>
          <t>Equity flows (pre-tax)</t>
        </is>
      </c>
      <c r="C1674" s="5" t="inlineStr">
        <is>
          <t>$ million</t>
        </is>
      </c>
      <c r="D1674" s="23">
        <f>D1666*(1-$D$1670)+D1663-D1671</f>
        <v/>
      </c>
      <c r="E1674" s="23">
        <f>E1666*(1-$D$1670)+E1663-E1671</f>
        <v/>
      </c>
      <c r="F1674" s="23">
        <f>F1666*(1-$D$1670)+F1663-F1671</f>
        <v/>
      </c>
      <c r="G1674" s="23">
        <f>G1666*(1-$D$1670)+G1663-G1671</f>
        <v/>
      </c>
      <c r="H1674" s="23">
        <f>H1666*(1-$D$1670)+H1663-H1671</f>
        <v/>
      </c>
      <c r="I1674" s="23">
        <f>I1666*(1-$D$1670)+I1663-I1671</f>
        <v/>
      </c>
      <c r="J1674" s="23">
        <f>J1666*(1-$D$1670)+J1663-J1671</f>
        <v/>
      </c>
      <c r="K1674" s="23">
        <f>K1666*(1-$D$1670)+K1663-K1671</f>
        <v/>
      </c>
      <c r="L1674" s="23">
        <f>L1666*(1-$D$1670)+L1663-L1671</f>
        <v/>
      </c>
      <c r="M1674" s="23">
        <f>M1666*(1-$D$1670)+M1663-M1671</f>
        <v/>
      </c>
      <c r="N1674" s="23">
        <f>N1666*(1-$D$1670)+N1663-N1671</f>
        <v/>
      </c>
      <c r="O1674" s="23">
        <f>O1666*(1-$D$1670)+O1663-O1671</f>
        <v/>
      </c>
      <c r="P1674" s="23">
        <f>P1666*(1-$D$1670)+P1663-P1671</f>
        <v/>
      </c>
      <c r="Q1674" s="23">
        <f>Q1666*(1-$D$1670)+Q1663-Q1671</f>
        <v/>
      </c>
      <c r="R1674" s="23">
        <f>R1666*(1-$D$1670)+R1663-R1671</f>
        <v/>
      </c>
      <c r="S1674" s="23">
        <f>S1666*(1-$D$1670)+S1663-S1671</f>
        <v/>
      </c>
      <c r="T1674" s="23">
        <f>T1666*(1-$D$1670)+T1663-T1671</f>
        <v/>
      </c>
      <c r="U1674" s="23">
        <f>U1666*(1-$D$1670)+U1663-U1671</f>
        <v/>
      </c>
      <c r="V1674" s="23">
        <f>V1666*(1-$D$1670)+V1663-V1671</f>
        <v/>
      </c>
      <c r="W1674" s="23">
        <f>W1666*(1-$D$1670)+W1663-W1671</f>
        <v/>
      </c>
      <c r="X1674" s="23">
        <f>X1666*(1-$D$1670)+X1663-X1671</f>
        <v/>
      </c>
      <c r="Y1674" s="23">
        <f>Y1666*(1-$D$1670)+Y1663-Y1671</f>
        <v/>
      </c>
      <c r="Z1674" s="23">
        <f>Z1666*(1-$D$1670)+Z1663-Z1671</f>
        <v/>
      </c>
      <c r="AA1674" s="23">
        <f>AA1666*(1-$D$1670)+AA1663-AA1671</f>
        <v/>
      </c>
      <c r="AB1674" s="23">
        <f>AB1666*(1-$D$1670)+AB1663-AB1671</f>
        <v/>
      </c>
      <c r="AC1674" s="23">
        <f>AC1666*(1-$D$1670)+AC1663-AC1671</f>
        <v/>
      </c>
      <c r="AD1674" s="23">
        <f>AD1666*(1-$D$1670)+AD1663-AD1671</f>
        <v/>
      </c>
      <c r="AE1674" s="23">
        <f>AE1666*(1-$D$1670)+AE1663-AE1671</f>
        <v/>
      </c>
      <c r="AF1674" s="23">
        <f>AF1666*(1-$D$1670)+AF1663-AF1671</f>
        <v/>
      </c>
      <c r="AG1674" s="23">
        <f>AG1666*(1-$D$1670)+AG1663-AG1671</f>
        <v/>
      </c>
      <c r="AH1674" s="23">
        <f>AH1666*(1-$D$1670)+AH1663-AH1671</f>
        <v/>
      </c>
      <c r="AI1674" s="23">
        <f>AI1666*(1-$D$1670)+AI1663-AI1671</f>
        <v/>
      </c>
      <c r="AJ1674" s="23">
        <f>AJ1666*(1-$D$1670)+AJ1663-AJ1671</f>
        <v/>
      </c>
    </row>
    <row r="1675">
      <c r="B1675" s="2" t="inlineStr">
        <is>
          <t>Project IRR</t>
        </is>
      </c>
      <c r="C1675" s="5" t="inlineStr">
        <is>
          <t>rate</t>
        </is>
      </c>
      <c r="D1675" s="27">
        <f>IRR($D$1673:AJ$1673,0.07)</f>
        <v/>
      </c>
    </row>
    <row r="1676">
      <c r="B1676" s="2" t="inlineStr">
        <is>
          <t>Equity IRR</t>
        </is>
      </c>
      <c r="C1676" s="5" t="inlineStr">
        <is>
          <t>rate</t>
        </is>
      </c>
      <c r="D1676" s="27">
        <f>IRR($D$1674:AJ$1674,0.1)</f>
        <v/>
      </c>
    </row>
    <row r="1677">
      <c r="B1677" s="2" t="inlineStr">
        <is>
          <t>Equity invested</t>
        </is>
      </c>
      <c r="C1677" s="5" t="inlineStr">
        <is>
          <t>$ million</t>
        </is>
      </c>
      <c r="D1677" s="23">
        <f>-SUMPRODUCT($D$1666:AJ$1666)*(1-$D$1670)</f>
        <v/>
      </c>
    </row>
    <row r="1680">
      <c r="B1680" s="6" t="inlineStr">
        <is>
          <t>C5: Power price +$20 per MWh, not passed through (Sorrel Bay, pre-tax, at the bid capacity charge)</t>
        </is>
      </c>
      <c r="C1680" s="7" t="n"/>
      <c r="D1680" s="7" t="n"/>
      <c r="E1680" s="7" t="n"/>
      <c r="F1680" s="7" t="n"/>
      <c r="G1680" s="7" t="n"/>
      <c r="H1680" s="7" t="n"/>
      <c r="I1680" s="7" t="n"/>
      <c r="J1680" s="7" t="n"/>
      <c r="K1680" s="7" t="n"/>
      <c r="L1680" s="7" t="n"/>
      <c r="M1680" s="7" t="n"/>
      <c r="N1680" s="7" t="n"/>
      <c r="O1680" s="7" t="n"/>
      <c r="P1680" s="7" t="n"/>
      <c r="Q1680" s="7" t="n"/>
      <c r="R1680" s="7" t="n"/>
      <c r="S1680" s="7" t="n"/>
      <c r="T1680" s="7" t="n"/>
      <c r="U1680" s="7" t="n"/>
      <c r="V1680" s="7" t="n"/>
      <c r="W1680" s="7" t="n"/>
      <c r="X1680" s="7" t="n"/>
      <c r="Y1680" s="7" t="n"/>
      <c r="Z1680" s="7" t="n"/>
      <c r="AA1680" s="7" t="n"/>
      <c r="AB1680" s="7" t="n"/>
      <c r="AC1680" s="7" t="n"/>
      <c r="AD1680" s="7" t="n"/>
      <c r="AE1680" s="7" t="n"/>
      <c r="AF1680" s="7" t="n"/>
      <c r="AG1680" s="7" t="n"/>
      <c r="AH1680" s="7" t="n"/>
      <c r="AI1680" s="7" t="n"/>
      <c r="AJ1680" s="7" t="n"/>
    </row>
    <row r="1681">
      <c r="B1681" s="2" t="inlineStr">
        <is>
          <t>Year (31 December)</t>
        </is>
      </c>
      <c r="D1681" s="26">
        <f>sb_start</f>
        <v/>
      </c>
      <c r="E1681" s="26">
        <f>D1681+1</f>
        <v/>
      </c>
      <c r="F1681" s="26">
        <f>E1681+1</f>
        <v/>
      </c>
      <c r="G1681" s="26">
        <f>F1681+1</f>
        <v/>
      </c>
      <c r="H1681" s="26">
        <f>G1681+1</f>
        <v/>
      </c>
      <c r="I1681" s="26">
        <f>H1681+1</f>
        <v/>
      </c>
      <c r="J1681" s="26">
        <f>I1681+1</f>
        <v/>
      </c>
      <c r="K1681" s="26">
        <f>J1681+1</f>
        <v/>
      </c>
      <c r="L1681" s="26">
        <f>K1681+1</f>
        <v/>
      </c>
      <c r="M1681" s="26">
        <f>L1681+1</f>
        <v/>
      </c>
      <c r="N1681" s="26">
        <f>M1681+1</f>
        <v/>
      </c>
      <c r="O1681" s="26">
        <f>N1681+1</f>
        <v/>
      </c>
      <c r="P1681" s="26">
        <f>O1681+1</f>
        <v/>
      </c>
      <c r="Q1681" s="26">
        <f>P1681+1</f>
        <v/>
      </c>
      <c r="R1681" s="26">
        <f>Q1681+1</f>
        <v/>
      </c>
      <c r="S1681" s="26">
        <f>R1681+1</f>
        <v/>
      </c>
      <c r="T1681" s="26">
        <f>S1681+1</f>
        <v/>
      </c>
      <c r="U1681" s="26">
        <f>T1681+1</f>
        <v/>
      </c>
      <c r="V1681" s="26">
        <f>U1681+1</f>
        <v/>
      </c>
      <c r="W1681" s="26">
        <f>V1681+1</f>
        <v/>
      </c>
      <c r="X1681" s="26">
        <f>W1681+1</f>
        <v/>
      </c>
      <c r="Y1681" s="26">
        <f>X1681+1</f>
        <v/>
      </c>
      <c r="Z1681" s="26">
        <f>Y1681+1</f>
        <v/>
      </c>
      <c r="AA1681" s="26">
        <f>Z1681+1</f>
        <v/>
      </c>
      <c r="AB1681" s="26">
        <f>AA1681+1</f>
        <v/>
      </c>
      <c r="AC1681" s="26">
        <f>AB1681+1</f>
        <v/>
      </c>
      <c r="AD1681" s="26">
        <f>AC1681+1</f>
        <v/>
      </c>
      <c r="AE1681" s="26">
        <f>AD1681+1</f>
        <v/>
      </c>
      <c r="AF1681" s="26">
        <f>AE1681+1</f>
        <v/>
      </c>
      <c r="AG1681" s="26">
        <f>AF1681+1</f>
        <v/>
      </c>
      <c r="AH1681" s="26">
        <f>AG1681+1</f>
        <v/>
      </c>
      <c r="AI1681" s="26">
        <f>AH1681+1</f>
        <v/>
      </c>
      <c r="AJ1681" s="26">
        <f>AI1681+1</f>
        <v/>
      </c>
    </row>
    <row r="1682">
      <c r="B1682" s="2" t="inlineStr">
        <is>
          <t>Operating year (1 = yes)</t>
        </is>
      </c>
      <c r="D1682" s="26">
        <f>IF(AND(D1681&gt;=sb_cod,D1681&lt;sb_cod+sb_term),1,0)</f>
        <v/>
      </c>
      <c r="E1682" s="26">
        <f>IF(AND(E1681&gt;=sb_cod,E1681&lt;sb_cod+sb_term),1,0)</f>
        <v/>
      </c>
      <c r="F1682" s="26">
        <f>IF(AND(F1681&gt;=sb_cod,F1681&lt;sb_cod+sb_term),1,0)</f>
        <v/>
      </c>
      <c r="G1682" s="26">
        <f>IF(AND(G1681&gt;=sb_cod,G1681&lt;sb_cod+sb_term),1,0)</f>
        <v/>
      </c>
      <c r="H1682" s="26">
        <f>IF(AND(H1681&gt;=sb_cod,H1681&lt;sb_cod+sb_term),1,0)</f>
        <v/>
      </c>
      <c r="I1682" s="26">
        <f>IF(AND(I1681&gt;=sb_cod,I1681&lt;sb_cod+sb_term),1,0)</f>
        <v/>
      </c>
      <c r="J1682" s="26">
        <f>IF(AND(J1681&gt;=sb_cod,J1681&lt;sb_cod+sb_term),1,0)</f>
        <v/>
      </c>
      <c r="K1682" s="26">
        <f>IF(AND(K1681&gt;=sb_cod,K1681&lt;sb_cod+sb_term),1,0)</f>
        <v/>
      </c>
      <c r="L1682" s="26">
        <f>IF(AND(L1681&gt;=sb_cod,L1681&lt;sb_cod+sb_term),1,0)</f>
        <v/>
      </c>
      <c r="M1682" s="26">
        <f>IF(AND(M1681&gt;=sb_cod,M1681&lt;sb_cod+sb_term),1,0)</f>
        <v/>
      </c>
      <c r="N1682" s="26">
        <f>IF(AND(N1681&gt;=sb_cod,N1681&lt;sb_cod+sb_term),1,0)</f>
        <v/>
      </c>
      <c r="O1682" s="26">
        <f>IF(AND(O1681&gt;=sb_cod,O1681&lt;sb_cod+sb_term),1,0)</f>
        <v/>
      </c>
      <c r="P1682" s="26">
        <f>IF(AND(P1681&gt;=sb_cod,P1681&lt;sb_cod+sb_term),1,0)</f>
        <v/>
      </c>
      <c r="Q1682" s="26">
        <f>IF(AND(Q1681&gt;=sb_cod,Q1681&lt;sb_cod+sb_term),1,0)</f>
        <v/>
      </c>
      <c r="R1682" s="26">
        <f>IF(AND(R1681&gt;=sb_cod,R1681&lt;sb_cod+sb_term),1,0)</f>
        <v/>
      </c>
      <c r="S1682" s="26">
        <f>IF(AND(S1681&gt;=sb_cod,S1681&lt;sb_cod+sb_term),1,0)</f>
        <v/>
      </c>
      <c r="T1682" s="26">
        <f>IF(AND(T1681&gt;=sb_cod,T1681&lt;sb_cod+sb_term),1,0)</f>
        <v/>
      </c>
      <c r="U1682" s="26">
        <f>IF(AND(U1681&gt;=sb_cod,U1681&lt;sb_cod+sb_term),1,0)</f>
        <v/>
      </c>
      <c r="V1682" s="26">
        <f>IF(AND(V1681&gt;=sb_cod,V1681&lt;sb_cod+sb_term),1,0)</f>
        <v/>
      </c>
      <c r="W1682" s="26">
        <f>IF(AND(W1681&gt;=sb_cod,W1681&lt;sb_cod+sb_term),1,0)</f>
        <v/>
      </c>
      <c r="X1682" s="26">
        <f>IF(AND(X1681&gt;=sb_cod,X1681&lt;sb_cod+sb_term),1,0)</f>
        <v/>
      </c>
      <c r="Y1682" s="26">
        <f>IF(AND(Y1681&gt;=sb_cod,Y1681&lt;sb_cod+sb_term),1,0)</f>
        <v/>
      </c>
      <c r="Z1682" s="26">
        <f>IF(AND(Z1681&gt;=sb_cod,Z1681&lt;sb_cod+sb_term),1,0)</f>
        <v/>
      </c>
      <c r="AA1682" s="26">
        <f>IF(AND(AA1681&gt;=sb_cod,AA1681&lt;sb_cod+sb_term),1,0)</f>
        <v/>
      </c>
      <c r="AB1682" s="26">
        <f>IF(AND(AB1681&gt;=sb_cod,AB1681&lt;sb_cod+sb_term),1,0)</f>
        <v/>
      </c>
      <c r="AC1682" s="26">
        <f>IF(AND(AC1681&gt;=sb_cod,AC1681&lt;sb_cod+sb_term),1,0)</f>
        <v/>
      </c>
      <c r="AD1682" s="26">
        <f>IF(AND(AD1681&gt;=sb_cod,AD1681&lt;sb_cod+sb_term),1,0)</f>
        <v/>
      </c>
      <c r="AE1682" s="26">
        <f>IF(AND(AE1681&gt;=sb_cod,AE1681&lt;sb_cod+sb_term),1,0)</f>
        <v/>
      </c>
      <c r="AF1682" s="26">
        <f>IF(AND(AF1681&gt;=sb_cod,AF1681&lt;sb_cod+sb_term),1,0)</f>
        <v/>
      </c>
      <c r="AG1682" s="26">
        <f>IF(AND(AG1681&gt;=sb_cod,AG1681&lt;sb_cod+sb_term),1,0)</f>
        <v/>
      </c>
      <c r="AH1682" s="26">
        <f>IF(AND(AH1681&gt;=sb_cod,AH1681&lt;sb_cod+sb_term),1,0)</f>
        <v/>
      </c>
      <c r="AI1682" s="26">
        <f>IF(AND(AI1681&gt;=sb_cod,AI1681&lt;sb_cod+sb_term),1,0)</f>
        <v/>
      </c>
      <c r="AJ1682" s="26">
        <f>IF(AND(AJ1681&gt;=sb_cod,AJ1681&lt;sb_cod+sb_term),1,0)</f>
        <v/>
      </c>
    </row>
    <row r="1683">
      <c r="B1683" s="2" t="inlineStr">
        <is>
          <t>Years since operation began</t>
        </is>
      </c>
      <c r="D1683" s="26">
        <f>D1681-sb_cod</f>
        <v/>
      </c>
      <c r="E1683" s="26">
        <f>E1681-sb_cod</f>
        <v/>
      </c>
      <c r="F1683" s="26">
        <f>F1681-sb_cod</f>
        <v/>
      </c>
      <c r="G1683" s="26">
        <f>G1681-sb_cod</f>
        <v/>
      </c>
      <c r="H1683" s="26">
        <f>H1681-sb_cod</f>
        <v/>
      </c>
      <c r="I1683" s="26">
        <f>I1681-sb_cod</f>
        <v/>
      </c>
      <c r="J1683" s="26">
        <f>J1681-sb_cod</f>
        <v/>
      </c>
      <c r="K1683" s="26">
        <f>K1681-sb_cod</f>
        <v/>
      </c>
      <c r="L1683" s="26">
        <f>L1681-sb_cod</f>
        <v/>
      </c>
      <c r="M1683" s="26">
        <f>M1681-sb_cod</f>
        <v/>
      </c>
      <c r="N1683" s="26">
        <f>N1681-sb_cod</f>
        <v/>
      </c>
      <c r="O1683" s="26">
        <f>O1681-sb_cod</f>
        <v/>
      </c>
      <c r="P1683" s="26">
        <f>P1681-sb_cod</f>
        <v/>
      </c>
      <c r="Q1683" s="26">
        <f>Q1681-sb_cod</f>
        <v/>
      </c>
      <c r="R1683" s="26">
        <f>R1681-sb_cod</f>
        <v/>
      </c>
      <c r="S1683" s="26">
        <f>S1681-sb_cod</f>
        <v/>
      </c>
      <c r="T1683" s="26">
        <f>T1681-sb_cod</f>
        <v/>
      </c>
      <c r="U1683" s="26">
        <f>U1681-sb_cod</f>
        <v/>
      </c>
      <c r="V1683" s="26">
        <f>V1681-sb_cod</f>
        <v/>
      </c>
      <c r="W1683" s="26">
        <f>W1681-sb_cod</f>
        <v/>
      </c>
      <c r="X1683" s="26">
        <f>X1681-sb_cod</f>
        <v/>
      </c>
      <c r="Y1683" s="26">
        <f>Y1681-sb_cod</f>
        <v/>
      </c>
      <c r="Z1683" s="26">
        <f>Z1681-sb_cod</f>
        <v/>
      </c>
      <c r="AA1683" s="26">
        <f>AA1681-sb_cod</f>
        <v/>
      </c>
      <c r="AB1683" s="26">
        <f>AB1681-sb_cod</f>
        <v/>
      </c>
      <c r="AC1683" s="26">
        <f>AC1681-sb_cod</f>
        <v/>
      </c>
      <c r="AD1683" s="26">
        <f>AD1681-sb_cod</f>
        <v/>
      </c>
      <c r="AE1683" s="26">
        <f>AE1681-sb_cod</f>
        <v/>
      </c>
      <c r="AF1683" s="26">
        <f>AF1681-sb_cod</f>
        <v/>
      </c>
      <c r="AG1683" s="26">
        <f>AG1681-sb_cod</f>
        <v/>
      </c>
      <c r="AH1683" s="26">
        <f>AH1681-sb_cod</f>
        <v/>
      </c>
      <c r="AI1683" s="26">
        <f>AI1681-sb_cod</f>
        <v/>
      </c>
      <c r="AJ1683" s="26">
        <f>AJ1681-sb_cod</f>
        <v/>
      </c>
    </row>
    <row r="1684">
      <c r="B1684" s="2" t="inlineStr">
        <is>
          <t>Indexation factor</t>
        </is>
      </c>
      <c r="D1684" s="28">
        <f>(1+sb_cpi)^D1683</f>
        <v/>
      </c>
      <c r="E1684" s="28">
        <f>(1+sb_cpi)^E1683</f>
        <v/>
      </c>
      <c r="F1684" s="28">
        <f>(1+sb_cpi)^F1683</f>
        <v/>
      </c>
      <c r="G1684" s="28">
        <f>(1+sb_cpi)^G1683</f>
        <v/>
      </c>
      <c r="H1684" s="28">
        <f>(1+sb_cpi)^H1683</f>
        <v/>
      </c>
      <c r="I1684" s="28">
        <f>(1+sb_cpi)^I1683</f>
        <v/>
      </c>
      <c r="J1684" s="28">
        <f>(1+sb_cpi)^J1683</f>
        <v/>
      </c>
      <c r="K1684" s="28">
        <f>(1+sb_cpi)^K1683</f>
        <v/>
      </c>
      <c r="L1684" s="28">
        <f>(1+sb_cpi)^L1683</f>
        <v/>
      </c>
      <c r="M1684" s="28">
        <f>(1+sb_cpi)^M1683</f>
        <v/>
      </c>
      <c r="N1684" s="28">
        <f>(1+sb_cpi)^N1683</f>
        <v/>
      </c>
      <c r="O1684" s="28">
        <f>(1+sb_cpi)^O1683</f>
        <v/>
      </c>
      <c r="P1684" s="28">
        <f>(1+sb_cpi)^P1683</f>
        <v/>
      </c>
      <c r="Q1684" s="28">
        <f>(1+sb_cpi)^Q1683</f>
        <v/>
      </c>
      <c r="R1684" s="28">
        <f>(1+sb_cpi)^R1683</f>
        <v/>
      </c>
      <c r="S1684" s="28">
        <f>(1+sb_cpi)^S1683</f>
        <v/>
      </c>
      <c r="T1684" s="28">
        <f>(1+sb_cpi)^T1683</f>
        <v/>
      </c>
      <c r="U1684" s="28">
        <f>(1+sb_cpi)^U1683</f>
        <v/>
      </c>
      <c r="V1684" s="28">
        <f>(1+sb_cpi)^V1683</f>
        <v/>
      </c>
      <c r="W1684" s="28">
        <f>(1+sb_cpi)^W1683</f>
        <v/>
      </c>
      <c r="X1684" s="28">
        <f>(1+sb_cpi)^X1683</f>
        <v/>
      </c>
      <c r="Y1684" s="28">
        <f>(1+sb_cpi)^Y1683</f>
        <v/>
      </c>
      <c r="Z1684" s="28">
        <f>(1+sb_cpi)^Z1683</f>
        <v/>
      </c>
      <c r="AA1684" s="28">
        <f>(1+sb_cpi)^AA1683</f>
        <v/>
      </c>
      <c r="AB1684" s="28">
        <f>(1+sb_cpi)^AB1683</f>
        <v/>
      </c>
      <c r="AC1684" s="28">
        <f>(1+sb_cpi)^AC1683</f>
        <v/>
      </c>
      <c r="AD1684" s="28">
        <f>(1+sb_cpi)^AD1683</f>
        <v/>
      </c>
      <c r="AE1684" s="28">
        <f>(1+sb_cpi)^AE1683</f>
        <v/>
      </c>
      <c r="AF1684" s="28">
        <f>(1+sb_cpi)^AF1683</f>
        <v/>
      </c>
      <c r="AG1684" s="28">
        <f>(1+sb_cpi)^AG1683</f>
        <v/>
      </c>
      <c r="AH1684" s="28">
        <f>(1+sb_cpi)^AH1683</f>
        <v/>
      </c>
      <c r="AI1684" s="28">
        <f>(1+sb_cpi)^AI1683</f>
        <v/>
      </c>
      <c r="AJ1684" s="28">
        <f>(1+sb_cpi)^AJ1683</f>
        <v/>
      </c>
    </row>
    <row r="1686">
      <c r="B1686" s="6" t="inlineStr">
        <is>
          <t>Plant scalars</t>
        </is>
      </c>
      <c r="C1686" s="7" t="n"/>
      <c r="D1686" s="7" t="n"/>
      <c r="E1686" s="7" t="n"/>
      <c r="F1686" s="7" t="n"/>
      <c r="G1686" s="7" t="n"/>
      <c r="H1686" s="7" t="n"/>
      <c r="I1686" s="7" t="n"/>
      <c r="J1686" s="7" t="n"/>
      <c r="K1686" s="7" t="n"/>
      <c r="L1686" s="7" t="n"/>
      <c r="M1686" s="7" t="n"/>
      <c r="N1686" s="7" t="n"/>
      <c r="O1686" s="7" t="n"/>
      <c r="P1686" s="7" t="n"/>
      <c r="Q1686" s="7" t="n"/>
      <c r="R1686" s="7" t="n"/>
      <c r="S1686" s="7" t="n"/>
      <c r="T1686" s="7" t="n"/>
      <c r="U1686" s="7" t="n"/>
      <c r="V1686" s="7" t="n"/>
      <c r="W1686" s="7" t="n"/>
      <c r="X1686" s="7" t="n"/>
      <c r="Y1686" s="7" t="n"/>
      <c r="Z1686" s="7" t="n"/>
      <c r="AA1686" s="7" t="n"/>
      <c r="AB1686" s="7" t="n"/>
      <c r="AC1686" s="7" t="n"/>
      <c r="AD1686" s="7" t="n"/>
      <c r="AE1686" s="7" t="n"/>
      <c r="AF1686" s="7" t="n"/>
      <c r="AG1686" s="7" t="n"/>
      <c r="AH1686" s="7" t="n"/>
      <c r="AI1686" s="7" t="n"/>
      <c r="AJ1686" s="7" t="n"/>
    </row>
    <row r="1687">
      <c r="B1687" s="2" t="inlineStr">
        <is>
          <t>Payment factor at expected availability</t>
        </is>
      </c>
      <c r="D1687" s="28">
        <f>IF(sb_avail&gt;=sb_guar,MIN(1,sb_avail/sb_guar),sb_avail/sb_guar-(sb_guar-sb_avail)/sb_guar)</f>
        <v/>
      </c>
    </row>
    <row r="1688">
      <c r="B1688" s="2" t="inlineStr">
        <is>
          <t>Paid capacity a year (m3)</t>
        </is>
      </c>
      <c r="C1688" s="5" t="inlineStr">
        <is>
          <t>m3</t>
        </is>
      </c>
      <c r="D1688" s="19">
        <f>sb_cap*365*sb_guar*$D$1687</f>
        <v/>
      </c>
    </row>
    <row r="1689">
      <c r="B1689" s="2" t="inlineStr">
        <is>
          <t>Water delivered a year (m3)</t>
        </is>
      </c>
      <c r="C1689" s="5" t="inlineStr">
        <is>
          <t>m3</t>
        </is>
      </c>
      <c r="D1689" s="19">
        <f>sb_cap*365*sb_avail*sb_dispatch</f>
        <v/>
      </c>
    </row>
    <row r="1690">
      <c r="B1690" s="2" t="inlineStr">
        <is>
          <t>Fixed O&amp;M charge, 2030 ($ per m3 of available capacity)</t>
        </is>
      </c>
      <c r="C1690" s="5" t="inlineStr">
        <is>
          <t>$ per m3</t>
        </is>
      </c>
      <c r="D1690" s="38">
        <f>sb_fom*1000000/(sb_cap*365*sb_guar)</f>
        <v/>
      </c>
    </row>
    <row r="1691">
      <c r="B1691" s="2" t="inlineStr">
        <is>
          <t>Capital cost</t>
        </is>
      </c>
      <c r="C1691" s="5" t="inlineStr">
        <is>
          <t>$ million</t>
        </is>
      </c>
      <c r="D1691" s="23">
        <f>(sb_cx_plant+sb_cx_marine+sb_cx_conv+sb_cx_grid+sb_cx_dev+sb_cx_fin)*(1+sb_capex_shift)</f>
        <v/>
      </c>
    </row>
    <row r="1692">
      <c r="B1692" s="2" t="inlineStr">
        <is>
          <t>Capacity charge used</t>
        </is>
      </c>
      <c r="C1692" s="5" t="inlineStr">
        <is>
          <t>$ per m3</t>
        </is>
      </c>
      <c r="D1692" s="38">
        <f>'SB_Finance'!$C$6</f>
        <v/>
      </c>
    </row>
    <row r="1694">
      <c r="B1694" s="6" t="inlineStr">
        <is>
          <t>Operations</t>
        </is>
      </c>
      <c r="C1694" s="7" t="n"/>
      <c r="D1694" s="7" t="n"/>
      <c r="E1694" s="7" t="n"/>
      <c r="F1694" s="7" t="n"/>
      <c r="G1694" s="7" t="n"/>
      <c r="H1694" s="7" t="n"/>
      <c r="I1694" s="7" t="n"/>
      <c r="J1694" s="7" t="n"/>
      <c r="K1694" s="7" t="n"/>
      <c r="L1694" s="7" t="n"/>
      <c r="M1694" s="7" t="n"/>
      <c r="N1694" s="7" t="n"/>
      <c r="O1694" s="7" t="n"/>
      <c r="P1694" s="7" t="n"/>
      <c r="Q1694" s="7" t="n"/>
      <c r="R1694" s="7" t="n"/>
      <c r="S1694" s="7" t="n"/>
      <c r="T1694" s="7" t="n"/>
      <c r="U1694" s="7" t="n"/>
      <c r="V1694" s="7" t="n"/>
      <c r="W1694" s="7" t="n"/>
      <c r="X1694" s="7" t="n"/>
      <c r="Y1694" s="7" t="n"/>
      <c r="Z1694" s="7" t="n"/>
      <c r="AA1694" s="7" t="n"/>
      <c r="AB1694" s="7" t="n"/>
      <c r="AC1694" s="7" t="n"/>
      <c r="AD1694" s="7" t="n"/>
      <c r="AE1694" s="7" t="n"/>
      <c r="AF1694" s="7" t="n"/>
      <c r="AG1694" s="7" t="n"/>
      <c r="AH1694" s="7" t="n"/>
      <c r="AI1694" s="7" t="n"/>
      <c r="AJ1694" s="7" t="n"/>
    </row>
    <row r="1695">
      <c r="B1695" s="2" t="inlineStr">
        <is>
          <t>Paid capacity (m3)</t>
        </is>
      </c>
      <c r="C1695" s="5" t="inlineStr">
        <is>
          <t>m3</t>
        </is>
      </c>
      <c r="D1695" s="19">
        <f>D1682*$D$1688</f>
        <v/>
      </c>
      <c r="E1695" s="19">
        <f>E1682*$D$1688</f>
        <v/>
      </c>
      <c r="F1695" s="19">
        <f>F1682*$D$1688</f>
        <v/>
      </c>
      <c r="G1695" s="19">
        <f>G1682*$D$1688</f>
        <v/>
      </c>
      <c r="H1695" s="19">
        <f>H1682*$D$1688</f>
        <v/>
      </c>
      <c r="I1695" s="19">
        <f>I1682*$D$1688</f>
        <v/>
      </c>
      <c r="J1695" s="19">
        <f>J1682*$D$1688</f>
        <v/>
      </c>
      <c r="K1695" s="19">
        <f>K1682*$D$1688</f>
        <v/>
      </c>
      <c r="L1695" s="19">
        <f>L1682*$D$1688</f>
        <v/>
      </c>
      <c r="M1695" s="19">
        <f>M1682*$D$1688</f>
        <v/>
      </c>
      <c r="N1695" s="19">
        <f>N1682*$D$1688</f>
        <v/>
      </c>
      <c r="O1695" s="19">
        <f>O1682*$D$1688</f>
        <v/>
      </c>
      <c r="P1695" s="19">
        <f>P1682*$D$1688</f>
        <v/>
      </c>
      <c r="Q1695" s="19">
        <f>Q1682*$D$1688</f>
        <v/>
      </c>
      <c r="R1695" s="19">
        <f>R1682*$D$1688</f>
        <v/>
      </c>
      <c r="S1695" s="19">
        <f>S1682*$D$1688</f>
        <v/>
      </c>
      <c r="T1695" s="19">
        <f>T1682*$D$1688</f>
        <v/>
      </c>
      <c r="U1695" s="19">
        <f>U1682*$D$1688</f>
        <v/>
      </c>
      <c r="V1695" s="19">
        <f>V1682*$D$1688</f>
        <v/>
      </c>
      <c r="W1695" s="19">
        <f>W1682*$D$1688</f>
        <v/>
      </c>
      <c r="X1695" s="19">
        <f>X1682*$D$1688</f>
        <v/>
      </c>
      <c r="Y1695" s="19">
        <f>Y1682*$D$1688</f>
        <v/>
      </c>
      <c r="Z1695" s="19">
        <f>Z1682*$D$1688</f>
        <v/>
      </c>
      <c r="AA1695" s="19">
        <f>AA1682*$D$1688</f>
        <v/>
      </c>
      <c r="AB1695" s="19">
        <f>AB1682*$D$1688</f>
        <v/>
      </c>
      <c r="AC1695" s="19">
        <f>AC1682*$D$1688</f>
        <v/>
      </c>
      <c r="AD1695" s="19">
        <f>AD1682*$D$1688</f>
        <v/>
      </c>
      <c r="AE1695" s="19">
        <f>AE1682*$D$1688</f>
        <v/>
      </c>
      <c r="AF1695" s="19">
        <f>AF1682*$D$1688</f>
        <v/>
      </c>
      <c r="AG1695" s="19">
        <f>AG1682*$D$1688</f>
        <v/>
      </c>
      <c r="AH1695" s="19">
        <f>AH1682*$D$1688</f>
        <v/>
      </c>
      <c r="AI1695" s="19">
        <f>AI1682*$D$1688</f>
        <v/>
      </c>
      <c r="AJ1695" s="19">
        <f>AJ1682*$D$1688</f>
        <v/>
      </c>
    </row>
    <row r="1696">
      <c r="B1696" s="2" t="inlineStr">
        <is>
          <t>Water delivered (m3)</t>
        </is>
      </c>
      <c r="C1696" s="5" t="inlineStr">
        <is>
          <t>m3</t>
        </is>
      </c>
      <c r="D1696" s="19">
        <f>D1682*$D$1689</f>
        <v/>
      </c>
      <c r="E1696" s="19">
        <f>E1682*$D$1689</f>
        <v/>
      </c>
      <c r="F1696" s="19">
        <f>F1682*$D$1689</f>
        <v/>
      </c>
      <c r="G1696" s="19">
        <f>G1682*$D$1689</f>
        <v/>
      </c>
      <c r="H1696" s="19">
        <f>H1682*$D$1689</f>
        <v/>
      </c>
      <c r="I1696" s="19">
        <f>I1682*$D$1689</f>
        <v/>
      </c>
      <c r="J1696" s="19">
        <f>J1682*$D$1689</f>
        <v/>
      </c>
      <c r="K1696" s="19">
        <f>K1682*$D$1689</f>
        <v/>
      </c>
      <c r="L1696" s="19">
        <f>L1682*$D$1689</f>
        <v/>
      </c>
      <c r="M1696" s="19">
        <f>M1682*$D$1689</f>
        <v/>
      </c>
      <c r="N1696" s="19">
        <f>N1682*$D$1689</f>
        <v/>
      </c>
      <c r="O1696" s="19">
        <f>O1682*$D$1689</f>
        <v/>
      </c>
      <c r="P1696" s="19">
        <f>P1682*$D$1689</f>
        <v/>
      </c>
      <c r="Q1696" s="19">
        <f>Q1682*$D$1689</f>
        <v/>
      </c>
      <c r="R1696" s="19">
        <f>R1682*$D$1689</f>
        <v/>
      </c>
      <c r="S1696" s="19">
        <f>S1682*$D$1689</f>
        <v/>
      </c>
      <c r="T1696" s="19">
        <f>T1682*$D$1689</f>
        <v/>
      </c>
      <c r="U1696" s="19">
        <f>U1682*$D$1689</f>
        <v/>
      </c>
      <c r="V1696" s="19">
        <f>V1682*$D$1689</f>
        <v/>
      </c>
      <c r="W1696" s="19">
        <f>W1682*$D$1689</f>
        <v/>
      </c>
      <c r="X1696" s="19">
        <f>X1682*$D$1689</f>
        <v/>
      </c>
      <c r="Y1696" s="19">
        <f>Y1682*$D$1689</f>
        <v/>
      </c>
      <c r="Z1696" s="19">
        <f>Z1682*$D$1689</f>
        <v/>
      </c>
      <c r="AA1696" s="19">
        <f>AA1682*$D$1689</f>
        <v/>
      </c>
      <c r="AB1696" s="19">
        <f>AB1682*$D$1689</f>
        <v/>
      </c>
      <c r="AC1696" s="19">
        <f>AC1682*$D$1689</f>
        <v/>
      </c>
      <c r="AD1696" s="19">
        <f>AD1682*$D$1689</f>
        <v/>
      </c>
      <c r="AE1696" s="19">
        <f>AE1682*$D$1689</f>
        <v/>
      </c>
      <c r="AF1696" s="19">
        <f>AF1682*$D$1689</f>
        <v/>
      </c>
      <c r="AG1696" s="19">
        <f>AG1682*$D$1689</f>
        <v/>
      </c>
      <c r="AH1696" s="19">
        <f>AH1682*$D$1689</f>
        <v/>
      </c>
      <c r="AI1696" s="19">
        <f>AI1682*$D$1689</f>
        <v/>
      </c>
      <c r="AJ1696" s="19">
        <f>AJ1682*$D$1689</f>
        <v/>
      </c>
    </row>
    <row r="1697">
      <c r="B1697" s="2" t="inlineStr">
        <is>
          <t>Power price paid</t>
        </is>
      </c>
      <c r="C1697" s="5" t="inlineStr">
        <is>
          <t>$ per MWh</t>
        </is>
      </c>
      <c r="D1697" s="22">
        <f>D1682*(sb_power*(1+sb_power_esc)^D1683+Inputs!$C$271)</f>
        <v/>
      </c>
      <c r="E1697" s="22">
        <f>E1682*(sb_power*(1+sb_power_esc)^E1683+Inputs!$C$271)</f>
        <v/>
      </c>
      <c r="F1697" s="22">
        <f>F1682*(sb_power*(1+sb_power_esc)^F1683+Inputs!$C$271)</f>
        <v/>
      </c>
      <c r="G1697" s="22">
        <f>G1682*(sb_power*(1+sb_power_esc)^G1683+Inputs!$C$271)</f>
        <v/>
      </c>
      <c r="H1697" s="22">
        <f>H1682*(sb_power*(1+sb_power_esc)^H1683+Inputs!$C$271)</f>
        <v/>
      </c>
      <c r="I1697" s="22">
        <f>I1682*(sb_power*(1+sb_power_esc)^I1683+Inputs!$C$271)</f>
        <v/>
      </c>
      <c r="J1697" s="22">
        <f>J1682*(sb_power*(1+sb_power_esc)^J1683+Inputs!$C$271)</f>
        <v/>
      </c>
      <c r="K1697" s="22">
        <f>K1682*(sb_power*(1+sb_power_esc)^K1683+Inputs!$C$271)</f>
        <v/>
      </c>
      <c r="L1697" s="22">
        <f>L1682*(sb_power*(1+sb_power_esc)^L1683+Inputs!$C$271)</f>
        <v/>
      </c>
      <c r="M1697" s="22">
        <f>M1682*(sb_power*(1+sb_power_esc)^M1683+Inputs!$C$271)</f>
        <v/>
      </c>
      <c r="N1697" s="22">
        <f>N1682*(sb_power*(1+sb_power_esc)^N1683+Inputs!$C$271)</f>
        <v/>
      </c>
      <c r="O1697" s="22">
        <f>O1682*(sb_power*(1+sb_power_esc)^O1683+Inputs!$C$271)</f>
        <v/>
      </c>
      <c r="P1697" s="22">
        <f>P1682*(sb_power*(1+sb_power_esc)^P1683+Inputs!$C$271)</f>
        <v/>
      </c>
      <c r="Q1697" s="22">
        <f>Q1682*(sb_power*(1+sb_power_esc)^Q1683+Inputs!$C$271)</f>
        <v/>
      </c>
      <c r="R1697" s="22">
        <f>R1682*(sb_power*(1+sb_power_esc)^R1683+Inputs!$C$271)</f>
        <v/>
      </c>
      <c r="S1697" s="22">
        <f>S1682*(sb_power*(1+sb_power_esc)^S1683+Inputs!$C$271)</f>
        <v/>
      </c>
      <c r="T1697" s="22">
        <f>T1682*(sb_power*(1+sb_power_esc)^T1683+Inputs!$C$271)</f>
        <v/>
      </c>
      <c r="U1697" s="22">
        <f>U1682*(sb_power*(1+sb_power_esc)^U1683+Inputs!$C$271)</f>
        <v/>
      </c>
      <c r="V1697" s="22">
        <f>V1682*(sb_power*(1+sb_power_esc)^V1683+Inputs!$C$271)</f>
        <v/>
      </c>
      <c r="W1697" s="22">
        <f>W1682*(sb_power*(1+sb_power_esc)^W1683+Inputs!$C$271)</f>
        <v/>
      </c>
      <c r="X1697" s="22">
        <f>X1682*(sb_power*(1+sb_power_esc)^X1683+Inputs!$C$271)</f>
        <v/>
      </c>
      <c r="Y1697" s="22">
        <f>Y1682*(sb_power*(1+sb_power_esc)^Y1683+Inputs!$C$271)</f>
        <v/>
      </c>
      <c r="Z1697" s="22">
        <f>Z1682*(sb_power*(1+sb_power_esc)^Z1683+Inputs!$C$271)</f>
        <v/>
      </c>
      <c r="AA1697" s="22">
        <f>AA1682*(sb_power*(1+sb_power_esc)^AA1683+Inputs!$C$271)</f>
        <v/>
      </c>
      <c r="AB1697" s="22">
        <f>AB1682*(sb_power*(1+sb_power_esc)^AB1683+Inputs!$C$271)</f>
        <v/>
      </c>
      <c r="AC1697" s="22">
        <f>AC1682*(sb_power*(1+sb_power_esc)^AC1683+Inputs!$C$271)</f>
        <v/>
      </c>
      <c r="AD1697" s="22">
        <f>AD1682*(sb_power*(1+sb_power_esc)^AD1683+Inputs!$C$271)</f>
        <v/>
      </c>
      <c r="AE1697" s="22">
        <f>AE1682*(sb_power*(1+sb_power_esc)^AE1683+Inputs!$C$271)</f>
        <v/>
      </c>
      <c r="AF1697" s="22">
        <f>AF1682*(sb_power*(1+sb_power_esc)^AF1683+Inputs!$C$271)</f>
        <v/>
      </c>
      <c r="AG1697" s="22">
        <f>AG1682*(sb_power*(1+sb_power_esc)^AG1683+Inputs!$C$271)</f>
        <v/>
      </c>
      <c r="AH1697" s="22">
        <f>AH1682*(sb_power*(1+sb_power_esc)^AH1683+Inputs!$C$271)</f>
        <v/>
      </c>
      <c r="AI1697" s="22">
        <f>AI1682*(sb_power*(1+sb_power_esc)^AI1683+Inputs!$C$271)</f>
        <v/>
      </c>
      <c r="AJ1697" s="22">
        <f>AJ1682*(sb_power*(1+sb_power_esc)^AJ1683+Inputs!$C$271)</f>
        <v/>
      </c>
    </row>
    <row r="1698">
      <c r="B1698" s="2" t="inlineStr">
        <is>
          <t>Power price in the energy charge</t>
        </is>
      </c>
      <c r="C1698" s="5" t="inlineStr">
        <is>
          <t>$ per MWh</t>
        </is>
      </c>
      <c r="D1698" s="22">
        <f>D1682*(sb_power*(1+sb_power_esc)^D1683+IF(Inputs!$C$272=1,Inputs!$C$271,0))</f>
        <v/>
      </c>
      <c r="E1698" s="22">
        <f>E1682*(sb_power*(1+sb_power_esc)^E1683+IF(Inputs!$C$272=1,Inputs!$C$271,0))</f>
        <v/>
      </c>
      <c r="F1698" s="22">
        <f>F1682*(sb_power*(1+sb_power_esc)^F1683+IF(Inputs!$C$272=1,Inputs!$C$271,0))</f>
        <v/>
      </c>
      <c r="G1698" s="22">
        <f>G1682*(sb_power*(1+sb_power_esc)^G1683+IF(Inputs!$C$272=1,Inputs!$C$271,0))</f>
        <v/>
      </c>
      <c r="H1698" s="22">
        <f>H1682*(sb_power*(1+sb_power_esc)^H1683+IF(Inputs!$C$272=1,Inputs!$C$271,0))</f>
        <v/>
      </c>
      <c r="I1698" s="22">
        <f>I1682*(sb_power*(1+sb_power_esc)^I1683+IF(Inputs!$C$272=1,Inputs!$C$271,0))</f>
        <v/>
      </c>
      <c r="J1698" s="22">
        <f>J1682*(sb_power*(1+sb_power_esc)^J1683+IF(Inputs!$C$272=1,Inputs!$C$271,0))</f>
        <v/>
      </c>
      <c r="K1698" s="22">
        <f>K1682*(sb_power*(1+sb_power_esc)^K1683+IF(Inputs!$C$272=1,Inputs!$C$271,0))</f>
        <v/>
      </c>
      <c r="L1698" s="22">
        <f>L1682*(sb_power*(1+sb_power_esc)^L1683+IF(Inputs!$C$272=1,Inputs!$C$271,0))</f>
        <v/>
      </c>
      <c r="M1698" s="22">
        <f>M1682*(sb_power*(1+sb_power_esc)^M1683+IF(Inputs!$C$272=1,Inputs!$C$271,0))</f>
        <v/>
      </c>
      <c r="N1698" s="22">
        <f>N1682*(sb_power*(1+sb_power_esc)^N1683+IF(Inputs!$C$272=1,Inputs!$C$271,0))</f>
        <v/>
      </c>
      <c r="O1698" s="22">
        <f>O1682*(sb_power*(1+sb_power_esc)^O1683+IF(Inputs!$C$272=1,Inputs!$C$271,0))</f>
        <v/>
      </c>
      <c r="P1698" s="22">
        <f>P1682*(sb_power*(1+sb_power_esc)^P1683+IF(Inputs!$C$272=1,Inputs!$C$271,0))</f>
        <v/>
      </c>
      <c r="Q1698" s="22">
        <f>Q1682*(sb_power*(1+sb_power_esc)^Q1683+IF(Inputs!$C$272=1,Inputs!$C$271,0))</f>
        <v/>
      </c>
      <c r="R1698" s="22">
        <f>R1682*(sb_power*(1+sb_power_esc)^R1683+IF(Inputs!$C$272=1,Inputs!$C$271,0))</f>
        <v/>
      </c>
      <c r="S1698" s="22">
        <f>S1682*(sb_power*(1+sb_power_esc)^S1683+IF(Inputs!$C$272=1,Inputs!$C$271,0))</f>
        <v/>
      </c>
      <c r="T1698" s="22">
        <f>T1682*(sb_power*(1+sb_power_esc)^T1683+IF(Inputs!$C$272=1,Inputs!$C$271,0))</f>
        <v/>
      </c>
      <c r="U1698" s="22">
        <f>U1682*(sb_power*(1+sb_power_esc)^U1683+IF(Inputs!$C$272=1,Inputs!$C$271,0))</f>
        <v/>
      </c>
      <c r="V1698" s="22">
        <f>V1682*(sb_power*(1+sb_power_esc)^V1683+IF(Inputs!$C$272=1,Inputs!$C$271,0))</f>
        <v/>
      </c>
      <c r="W1698" s="22">
        <f>W1682*(sb_power*(1+sb_power_esc)^W1683+IF(Inputs!$C$272=1,Inputs!$C$271,0))</f>
        <v/>
      </c>
      <c r="X1698" s="22">
        <f>X1682*(sb_power*(1+sb_power_esc)^X1683+IF(Inputs!$C$272=1,Inputs!$C$271,0))</f>
        <v/>
      </c>
      <c r="Y1698" s="22">
        <f>Y1682*(sb_power*(1+sb_power_esc)^Y1683+IF(Inputs!$C$272=1,Inputs!$C$271,0))</f>
        <v/>
      </c>
      <c r="Z1698" s="22">
        <f>Z1682*(sb_power*(1+sb_power_esc)^Z1683+IF(Inputs!$C$272=1,Inputs!$C$271,0))</f>
        <v/>
      </c>
      <c r="AA1698" s="22">
        <f>AA1682*(sb_power*(1+sb_power_esc)^AA1683+IF(Inputs!$C$272=1,Inputs!$C$271,0))</f>
        <v/>
      </c>
      <c r="AB1698" s="22">
        <f>AB1682*(sb_power*(1+sb_power_esc)^AB1683+IF(Inputs!$C$272=1,Inputs!$C$271,0))</f>
        <v/>
      </c>
      <c r="AC1698" s="22">
        <f>AC1682*(sb_power*(1+sb_power_esc)^AC1683+IF(Inputs!$C$272=1,Inputs!$C$271,0))</f>
        <v/>
      </c>
      <c r="AD1698" s="22">
        <f>AD1682*(sb_power*(1+sb_power_esc)^AD1683+IF(Inputs!$C$272=1,Inputs!$C$271,0))</f>
        <v/>
      </c>
      <c r="AE1698" s="22">
        <f>AE1682*(sb_power*(1+sb_power_esc)^AE1683+IF(Inputs!$C$272=1,Inputs!$C$271,0))</f>
        <v/>
      </c>
      <c r="AF1698" s="22">
        <f>AF1682*(sb_power*(1+sb_power_esc)^AF1683+IF(Inputs!$C$272=1,Inputs!$C$271,0))</f>
        <v/>
      </c>
      <c r="AG1698" s="22">
        <f>AG1682*(sb_power*(1+sb_power_esc)^AG1683+IF(Inputs!$C$272=1,Inputs!$C$271,0))</f>
        <v/>
      </c>
      <c r="AH1698" s="22">
        <f>AH1682*(sb_power*(1+sb_power_esc)^AH1683+IF(Inputs!$C$272=1,Inputs!$C$271,0))</f>
        <v/>
      </c>
      <c r="AI1698" s="22">
        <f>AI1682*(sb_power*(1+sb_power_esc)^AI1683+IF(Inputs!$C$272=1,Inputs!$C$271,0))</f>
        <v/>
      </c>
      <c r="AJ1698" s="22">
        <f>AJ1682*(sb_power*(1+sb_power_esc)^AJ1683+IF(Inputs!$C$272=1,Inputs!$C$271,0))</f>
        <v/>
      </c>
    </row>
    <row r="1699">
      <c r="B1699" s="2" t="inlineStr">
        <is>
          <t>Capacity payments</t>
        </is>
      </c>
      <c r="C1699" s="5" t="inlineStr">
        <is>
          <t>$ million</t>
        </is>
      </c>
      <c r="D1699" s="23">
        <f>$D$1692*D1695/1000000</f>
        <v/>
      </c>
      <c r="E1699" s="23">
        <f>$D$1692*E1695/1000000</f>
        <v/>
      </c>
      <c r="F1699" s="23">
        <f>$D$1692*F1695/1000000</f>
        <v/>
      </c>
      <c r="G1699" s="23">
        <f>$D$1692*G1695/1000000</f>
        <v/>
      </c>
      <c r="H1699" s="23">
        <f>$D$1692*H1695/1000000</f>
        <v/>
      </c>
      <c r="I1699" s="23">
        <f>$D$1692*I1695/1000000</f>
        <v/>
      </c>
      <c r="J1699" s="23">
        <f>$D$1692*J1695/1000000</f>
        <v/>
      </c>
      <c r="K1699" s="23">
        <f>$D$1692*K1695/1000000</f>
        <v/>
      </c>
      <c r="L1699" s="23">
        <f>$D$1692*L1695/1000000</f>
        <v/>
      </c>
      <c r="M1699" s="23">
        <f>$D$1692*M1695/1000000</f>
        <v/>
      </c>
      <c r="N1699" s="23">
        <f>$D$1692*N1695/1000000</f>
        <v/>
      </c>
      <c r="O1699" s="23">
        <f>$D$1692*O1695/1000000</f>
        <v/>
      </c>
      <c r="P1699" s="23">
        <f>$D$1692*P1695/1000000</f>
        <v/>
      </c>
      <c r="Q1699" s="23">
        <f>$D$1692*Q1695/1000000</f>
        <v/>
      </c>
      <c r="R1699" s="23">
        <f>$D$1692*R1695/1000000</f>
        <v/>
      </c>
      <c r="S1699" s="23">
        <f>$D$1692*S1695/1000000</f>
        <v/>
      </c>
      <c r="T1699" s="23">
        <f>$D$1692*T1695/1000000</f>
        <v/>
      </c>
      <c r="U1699" s="23">
        <f>$D$1692*U1695/1000000</f>
        <v/>
      </c>
      <c r="V1699" s="23">
        <f>$D$1692*V1695/1000000</f>
        <v/>
      </c>
      <c r="W1699" s="23">
        <f>$D$1692*W1695/1000000</f>
        <v/>
      </c>
      <c r="X1699" s="23">
        <f>$D$1692*X1695/1000000</f>
        <v/>
      </c>
      <c r="Y1699" s="23">
        <f>$D$1692*Y1695/1000000</f>
        <v/>
      </c>
      <c r="Z1699" s="23">
        <f>$D$1692*Z1695/1000000</f>
        <v/>
      </c>
      <c r="AA1699" s="23">
        <f>$D$1692*AA1695/1000000</f>
        <v/>
      </c>
      <c r="AB1699" s="23">
        <f>$D$1692*AB1695/1000000</f>
        <v/>
      </c>
      <c r="AC1699" s="23">
        <f>$D$1692*AC1695/1000000</f>
        <v/>
      </c>
      <c r="AD1699" s="23">
        <f>$D$1692*AD1695/1000000</f>
        <v/>
      </c>
      <c r="AE1699" s="23">
        <f>$D$1692*AE1695/1000000</f>
        <v/>
      </c>
      <c r="AF1699" s="23">
        <f>$D$1692*AF1695/1000000</f>
        <v/>
      </c>
      <c r="AG1699" s="23">
        <f>$D$1692*AG1695/1000000</f>
        <v/>
      </c>
      <c r="AH1699" s="23">
        <f>$D$1692*AH1695/1000000</f>
        <v/>
      </c>
      <c r="AI1699" s="23">
        <f>$D$1692*AI1695/1000000</f>
        <v/>
      </c>
      <c r="AJ1699" s="23">
        <f>$D$1692*AJ1695/1000000</f>
        <v/>
      </c>
    </row>
    <row r="1700">
      <c r="B1700" s="2" t="inlineStr">
        <is>
          <t>Fixed O&amp;M payments (indexed)</t>
        </is>
      </c>
      <c r="C1700" s="5" t="inlineStr">
        <is>
          <t>$ million</t>
        </is>
      </c>
      <c r="D1700" s="23">
        <f>$D$1690*D1684*D1695/1000000</f>
        <v/>
      </c>
      <c r="E1700" s="23">
        <f>$D$1690*E1684*E1695/1000000</f>
        <v/>
      </c>
      <c r="F1700" s="23">
        <f>$D$1690*F1684*F1695/1000000</f>
        <v/>
      </c>
      <c r="G1700" s="23">
        <f>$D$1690*G1684*G1695/1000000</f>
        <v/>
      </c>
      <c r="H1700" s="23">
        <f>$D$1690*H1684*H1695/1000000</f>
        <v/>
      </c>
      <c r="I1700" s="23">
        <f>$D$1690*I1684*I1695/1000000</f>
        <v/>
      </c>
      <c r="J1700" s="23">
        <f>$D$1690*J1684*J1695/1000000</f>
        <v/>
      </c>
      <c r="K1700" s="23">
        <f>$D$1690*K1684*K1695/1000000</f>
        <v/>
      </c>
      <c r="L1700" s="23">
        <f>$D$1690*L1684*L1695/1000000</f>
        <v/>
      </c>
      <c r="M1700" s="23">
        <f>$D$1690*M1684*M1695/1000000</f>
        <v/>
      </c>
      <c r="N1700" s="23">
        <f>$D$1690*N1684*N1695/1000000</f>
        <v/>
      </c>
      <c r="O1700" s="23">
        <f>$D$1690*O1684*O1695/1000000</f>
        <v/>
      </c>
      <c r="P1700" s="23">
        <f>$D$1690*P1684*P1695/1000000</f>
        <v/>
      </c>
      <c r="Q1700" s="23">
        <f>$D$1690*Q1684*Q1695/1000000</f>
        <v/>
      </c>
      <c r="R1700" s="23">
        <f>$D$1690*R1684*R1695/1000000</f>
        <v/>
      </c>
      <c r="S1700" s="23">
        <f>$D$1690*S1684*S1695/1000000</f>
        <v/>
      </c>
      <c r="T1700" s="23">
        <f>$D$1690*T1684*T1695/1000000</f>
        <v/>
      </c>
      <c r="U1700" s="23">
        <f>$D$1690*U1684*U1695/1000000</f>
        <v/>
      </c>
      <c r="V1700" s="23">
        <f>$D$1690*V1684*V1695/1000000</f>
        <v/>
      </c>
      <c r="W1700" s="23">
        <f>$D$1690*W1684*W1695/1000000</f>
        <v/>
      </c>
      <c r="X1700" s="23">
        <f>$D$1690*X1684*X1695/1000000</f>
        <v/>
      </c>
      <c r="Y1700" s="23">
        <f>$D$1690*Y1684*Y1695/1000000</f>
        <v/>
      </c>
      <c r="Z1700" s="23">
        <f>$D$1690*Z1684*Z1695/1000000</f>
        <v/>
      </c>
      <c r="AA1700" s="23">
        <f>$D$1690*AA1684*AA1695/1000000</f>
        <v/>
      </c>
      <c r="AB1700" s="23">
        <f>$D$1690*AB1684*AB1695/1000000</f>
        <v/>
      </c>
      <c r="AC1700" s="23">
        <f>$D$1690*AC1684*AC1695/1000000</f>
        <v/>
      </c>
      <c r="AD1700" s="23">
        <f>$D$1690*AD1684*AD1695/1000000</f>
        <v/>
      </c>
      <c r="AE1700" s="23">
        <f>$D$1690*AE1684*AE1695/1000000</f>
        <v/>
      </c>
      <c r="AF1700" s="23">
        <f>$D$1690*AF1684*AF1695/1000000</f>
        <v/>
      </c>
      <c r="AG1700" s="23">
        <f>$D$1690*AG1684*AG1695/1000000</f>
        <v/>
      </c>
      <c r="AH1700" s="23">
        <f>$D$1690*AH1684*AH1695/1000000</f>
        <v/>
      </c>
      <c r="AI1700" s="23">
        <f>$D$1690*AI1684*AI1695/1000000</f>
        <v/>
      </c>
      <c r="AJ1700" s="23">
        <f>$D$1690*AJ1684*AJ1695/1000000</f>
        <v/>
      </c>
    </row>
    <row r="1701">
      <c r="B1701" s="2" t="inlineStr">
        <is>
          <t>Energy charge (guaranteed kWh x power price)</t>
        </is>
      </c>
      <c r="C1701" s="5" t="inlineStr">
        <is>
          <t>$ million</t>
        </is>
      </c>
      <c r="D1701" s="23">
        <f>D1696*sb_sec*D1698/1000/1000000</f>
        <v/>
      </c>
      <c r="E1701" s="23">
        <f>E1696*sb_sec*E1698/1000/1000000</f>
        <v/>
      </c>
      <c r="F1701" s="23">
        <f>F1696*sb_sec*F1698/1000/1000000</f>
        <v/>
      </c>
      <c r="G1701" s="23">
        <f>G1696*sb_sec*G1698/1000/1000000</f>
        <v/>
      </c>
      <c r="H1701" s="23">
        <f>H1696*sb_sec*H1698/1000/1000000</f>
        <v/>
      </c>
      <c r="I1701" s="23">
        <f>I1696*sb_sec*I1698/1000/1000000</f>
        <v/>
      </c>
      <c r="J1701" s="23">
        <f>J1696*sb_sec*J1698/1000/1000000</f>
        <v/>
      </c>
      <c r="K1701" s="23">
        <f>K1696*sb_sec*K1698/1000/1000000</f>
        <v/>
      </c>
      <c r="L1701" s="23">
        <f>L1696*sb_sec*L1698/1000/1000000</f>
        <v/>
      </c>
      <c r="M1701" s="23">
        <f>M1696*sb_sec*M1698/1000/1000000</f>
        <v/>
      </c>
      <c r="N1701" s="23">
        <f>N1696*sb_sec*N1698/1000/1000000</f>
        <v/>
      </c>
      <c r="O1701" s="23">
        <f>O1696*sb_sec*O1698/1000/1000000</f>
        <v/>
      </c>
      <c r="P1701" s="23">
        <f>P1696*sb_sec*P1698/1000/1000000</f>
        <v/>
      </c>
      <c r="Q1701" s="23">
        <f>Q1696*sb_sec*Q1698/1000/1000000</f>
        <v/>
      </c>
      <c r="R1701" s="23">
        <f>R1696*sb_sec*R1698/1000/1000000</f>
        <v/>
      </c>
      <c r="S1701" s="23">
        <f>S1696*sb_sec*S1698/1000/1000000</f>
        <v/>
      </c>
      <c r="T1701" s="23">
        <f>T1696*sb_sec*T1698/1000/1000000</f>
        <v/>
      </c>
      <c r="U1701" s="23">
        <f>U1696*sb_sec*U1698/1000/1000000</f>
        <v/>
      </c>
      <c r="V1701" s="23">
        <f>V1696*sb_sec*V1698/1000/1000000</f>
        <v/>
      </c>
      <c r="W1701" s="23">
        <f>W1696*sb_sec*W1698/1000/1000000</f>
        <v/>
      </c>
      <c r="X1701" s="23">
        <f>X1696*sb_sec*X1698/1000/1000000</f>
        <v/>
      </c>
      <c r="Y1701" s="23">
        <f>Y1696*sb_sec*Y1698/1000/1000000</f>
        <v/>
      </c>
      <c r="Z1701" s="23">
        <f>Z1696*sb_sec*Z1698/1000/1000000</f>
        <v/>
      </c>
      <c r="AA1701" s="23">
        <f>AA1696*sb_sec*AA1698/1000/1000000</f>
        <v/>
      </c>
      <c r="AB1701" s="23">
        <f>AB1696*sb_sec*AB1698/1000/1000000</f>
        <v/>
      </c>
      <c r="AC1701" s="23">
        <f>AC1696*sb_sec*AC1698/1000/1000000</f>
        <v/>
      </c>
      <c r="AD1701" s="23">
        <f>AD1696*sb_sec*AD1698/1000/1000000</f>
        <v/>
      </c>
      <c r="AE1701" s="23">
        <f>AE1696*sb_sec*AE1698/1000/1000000</f>
        <v/>
      </c>
      <c r="AF1701" s="23">
        <f>AF1696*sb_sec*AF1698/1000/1000000</f>
        <v/>
      </c>
      <c r="AG1701" s="23">
        <f>AG1696*sb_sec*AG1698/1000/1000000</f>
        <v/>
      </c>
      <c r="AH1701" s="23">
        <f>AH1696*sb_sec*AH1698/1000/1000000</f>
        <v/>
      </c>
      <c r="AI1701" s="23">
        <f>AI1696*sb_sec*AI1698/1000/1000000</f>
        <v/>
      </c>
      <c r="AJ1701" s="23">
        <f>AJ1696*sb_sec*AJ1698/1000/1000000</f>
        <v/>
      </c>
    </row>
    <row r="1702">
      <c r="B1702" s="2" t="inlineStr">
        <is>
          <t>Chemicals charge (indexed)</t>
        </is>
      </c>
      <c r="C1702" s="5" t="inlineStr">
        <is>
          <t>$ million</t>
        </is>
      </c>
      <c r="D1702" s="23">
        <f>D1696*sb_chem*D1684/1000000</f>
        <v/>
      </c>
      <c r="E1702" s="23">
        <f>E1696*sb_chem*E1684/1000000</f>
        <v/>
      </c>
      <c r="F1702" s="23">
        <f>F1696*sb_chem*F1684/1000000</f>
        <v/>
      </c>
      <c r="G1702" s="23">
        <f>G1696*sb_chem*G1684/1000000</f>
        <v/>
      </c>
      <c r="H1702" s="23">
        <f>H1696*sb_chem*H1684/1000000</f>
        <v/>
      </c>
      <c r="I1702" s="23">
        <f>I1696*sb_chem*I1684/1000000</f>
        <v/>
      </c>
      <c r="J1702" s="23">
        <f>J1696*sb_chem*J1684/1000000</f>
        <v/>
      </c>
      <c r="K1702" s="23">
        <f>K1696*sb_chem*K1684/1000000</f>
        <v/>
      </c>
      <c r="L1702" s="23">
        <f>L1696*sb_chem*L1684/1000000</f>
        <v/>
      </c>
      <c r="M1702" s="23">
        <f>M1696*sb_chem*M1684/1000000</f>
        <v/>
      </c>
      <c r="N1702" s="23">
        <f>N1696*sb_chem*N1684/1000000</f>
        <v/>
      </c>
      <c r="O1702" s="23">
        <f>O1696*sb_chem*O1684/1000000</f>
        <v/>
      </c>
      <c r="P1702" s="23">
        <f>P1696*sb_chem*P1684/1000000</f>
        <v/>
      </c>
      <c r="Q1702" s="23">
        <f>Q1696*sb_chem*Q1684/1000000</f>
        <v/>
      </c>
      <c r="R1702" s="23">
        <f>R1696*sb_chem*R1684/1000000</f>
        <v/>
      </c>
      <c r="S1702" s="23">
        <f>S1696*sb_chem*S1684/1000000</f>
        <v/>
      </c>
      <c r="T1702" s="23">
        <f>T1696*sb_chem*T1684/1000000</f>
        <v/>
      </c>
      <c r="U1702" s="23">
        <f>U1696*sb_chem*U1684/1000000</f>
        <v/>
      </c>
      <c r="V1702" s="23">
        <f>V1696*sb_chem*V1684/1000000</f>
        <v/>
      </c>
      <c r="W1702" s="23">
        <f>W1696*sb_chem*W1684/1000000</f>
        <v/>
      </c>
      <c r="X1702" s="23">
        <f>X1696*sb_chem*X1684/1000000</f>
        <v/>
      </c>
      <c r="Y1702" s="23">
        <f>Y1696*sb_chem*Y1684/1000000</f>
        <v/>
      </c>
      <c r="Z1702" s="23">
        <f>Z1696*sb_chem*Z1684/1000000</f>
        <v/>
      </c>
      <c r="AA1702" s="23">
        <f>AA1696*sb_chem*AA1684/1000000</f>
        <v/>
      </c>
      <c r="AB1702" s="23">
        <f>AB1696*sb_chem*AB1684/1000000</f>
        <v/>
      </c>
      <c r="AC1702" s="23">
        <f>AC1696*sb_chem*AC1684/1000000</f>
        <v/>
      </c>
      <c r="AD1702" s="23">
        <f>AD1696*sb_chem*AD1684/1000000</f>
        <v/>
      </c>
      <c r="AE1702" s="23">
        <f>AE1696*sb_chem*AE1684/1000000</f>
        <v/>
      </c>
      <c r="AF1702" s="23">
        <f>AF1696*sb_chem*AF1684/1000000</f>
        <v/>
      </c>
      <c r="AG1702" s="23">
        <f>AG1696*sb_chem*AG1684/1000000</f>
        <v/>
      </c>
      <c r="AH1702" s="23">
        <f>AH1696*sb_chem*AH1684/1000000</f>
        <v/>
      </c>
      <c r="AI1702" s="23">
        <f>AI1696*sb_chem*AI1684/1000000</f>
        <v/>
      </c>
      <c r="AJ1702" s="23">
        <f>AJ1696*sb_chem*AJ1684/1000000</f>
        <v/>
      </c>
    </row>
    <row r="1703">
      <c r="B1703" s="2" t="inlineStr">
        <is>
          <t>Capacity payments lost to delay</t>
        </is>
      </c>
      <c r="C1703" s="5" t="inlineStr">
        <is>
          <t>$ million</t>
        </is>
      </c>
      <c r="D1703" s="23">
        <f>IF(D1681=sb_cod,D1699*sb_delay,0)</f>
        <v/>
      </c>
      <c r="E1703" s="23">
        <f>IF(E1681=sb_cod,E1699*sb_delay,0)</f>
        <v/>
      </c>
      <c r="F1703" s="23">
        <f>IF(F1681=sb_cod,F1699*sb_delay,0)</f>
        <v/>
      </c>
      <c r="G1703" s="23">
        <f>IF(G1681=sb_cod,G1699*sb_delay,0)</f>
        <v/>
      </c>
      <c r="H1703" s="23">
        <f>IF(H1681=sb_cod,H1699*sb_delay,0)</f>
        <v/>
      </c>
      <c r="I1703" s="23">
        <f>IF(I1681=sb_cod,I1699*sb_delay,0)</f>
        <v/>
      </c>
      <c r="J1703" s="23">
        <f>IF(J1681=sb_cod,J1699*sb_delay,0)</f>
        <v/>
      </c>
      <c r="K1703" s="23">
        <f>IF(K1681=sb_cod,K1699*sb_delay,0)</f>
        <v/>
      </c>
      <c r="L1703" s="23">
        <f>IF(L1681=sb_cod,L1699*sb_delay,0)</f>
        <v/>
      </c>
      <c r="M1703" s="23">
        <f>IF(M1681=sb_cod,M1699*sb_delay,0)</f>
        <v/>
      </c>
      <c r="N1703" s="23">
        <f>IF(N1681=sb_cod,N1699*sb_delay,0)</f>
        <v/>
      </c>
      <c r="O1703" s="23">
        <f>IF(O1681=sb_cod,O1699*sb_delay,0)</f>
        <v/>
      </c>
      <c r="P1703" s="23">
        <f>IF(P1681=sb_cod,P1699*sb_delay,0)</f>
        <v/>
      </c>
      <c r="Q1703" s="23">
        <f>IF(Q1681=sb_cod,Q1699*sb_delay,0)</f>
        <v/>
      </c>
      <c r="R1703" s="23">
        <f>IF(R1681=sb_cod,R1699*sb_delay,0)</f>
        <v/>
      </c>
      <c r="S1703" s="23">
        <f>IF(S1681=sb_cod,S1699*sb_delay,0)</f>
        <v/>
      </c>
      <c r="T1703" s="23">
        <f>IF(T1681=sb_cod,T1699*sb_delay,0)</f>
        <v/>
      </c>
      <c r="U1703" s="23">
        <f>IF(U1681=sb_cod,U1699*sb_delay,0)</f>
        <v/>
      </c>
      <c r="V1703" s="23">
        <f>IF(V1681=sb_cod,V1699*sb_delay,0)</f>
        <v/>
      </c>
      <c r="W1703" s="23">
        <f>IF(W1681=sb_cod,W1699*sb_delay,0)</f>
        <v/>
      </c>
      <c r="X1703" s="23">
        <f>IF(X1681=sb_cod,X1699*sb_delay,0)</f>
        <v/>
      </c>
      <c r="Y1703" s="23">
        <f>IF(Y1681=sb_cod,Y1699*sb_delay,0)</f>
        <v/>
      </c>
      <c r="Z1703" s="23">
        <f>IF(Z1681=sb_cod,Z1699*sb_delay,0)</f>
        <v/>
      </c>
      <c r="AA1703" s="23">
        <f>IF(AA1681=sb_cod,AA1699*sb_delay,0)</f>
        <v/>
      </c>
      <c r="AB1703" s="23">
        <f>IF(AB1681=sb_cod,AB1699*sb_delay,0)</f>
        <v/>
      </c>
      <c r="AC1703" s="23">
        <f>IF(AC1681=sb_cod,AC1699*sb_delay,0)</f>
        <v/>
      </c>
      <c r="AD1703" s="23">
        <f>IF(AD1681=sb_cod,AD1699*sb_delay,0)</f>
        <v/>
      </c>
      <c r="AE1703" s="23">
        <f>IF(AE1681=sb_cod,AE1699*sb_delay,0)</f>
        <v/>
      </c>
      <c r="AF1703" s="23">
        <f>IF(AF1681=sb_cod,AF1699*sb_delay,0)</f>
        <v/>
      </c>
      <c r="AG1703" s="23">
        <f>IF(AG1681=sb_cod,AG1699*sb_delay,0)</f>
        <v/>
      </c>
      <c r="AH1703" s="23">
        <f>IF(AH1681=sb_cod,AH1699*sb_delay,0)</f>
        <v/>
      </c>
      <c r="AI1703" s="23">
        <f>IF(AI1681=sb_cod,AI1699*sb_delay,0)</f>
        <v/>
      </c>
      <c r="AJ1703" s="23">
        <f>IF(AJ1681=sb_cod,AJ1699*sb_delay,0)</f>
        <v/>
      </c>
    </row>
    <row r="1704">
      <c r="B1704" s="2" t="inlineStr">
        <is>
          <t>Lost payments not covered by delay damages</t>
        </is>
      </c>
      <c r="C1704" s="5" t="inlineStr">
        <is>
          <t>$ million</t>
        </is>
      </c>
      <c r="D1704" s="23">
        <f>D1703*(1-sb_ld)</f>
        <v/>
      </c>
      <c r="E1704" s="23">
        <f>E1703*(1-sb_ld)</f>
        <v/>
      </c>
      <c r="F1704" s="23">
        <f>F1703*(1-sb_ld)</f>
        <v/>
      </c>
      <c r="G1704" s="23">
        <f>G1703*(1-sb_ld)</f>
        <v/>
      </c>
      <c r="H1704" s="23">
        <f>H1703*(1-sb_ld)</f>
        <v/>
      </c>
      <c r="I1704" s="23">
        <f>I1703*(1-sb_ld)</f>
        <v/>
      </c>
      <c r="J1704" s="23">
        <f>J1703*(1-sb_ld)</f>
        <v/>
      </c>
      <c r="K1704" s="23">
        <f>K1703*(1-sb_ld)</f>
        <v/>
      </c>
      <c r="L1704" s="23">
        <f>L1703*(1-sb_ld)</f>
        <v/>
      </c>
      <c r="M1704" s="23">
        <f>M1703*(1-sb_ld)</f>
        <v/>
      </c>
      <c r="N1704" s="23">
        <f>N1703*(1-sb_ld)</f>
        <v/>
      </c>
      <c r="O1704" s="23">
        <f>O1703*(1-sb_ld)</f>
        <v/>
      </c>
      <c r="P1704" s="23">
        <f>P1703*(1-sb_ld)</f>
        <v/>
      </c>
      <c r="Q1704" s="23">
        <f>Q1703*(1-sb_ld)</f>
        <v/>
      </c>
      <c r="R1704" s="23">
        <f>R1703*(1-sb_ld)</f>
        <v/>
      </c>
      <c r="S1704" s="23">
        <f>S1703*(1-sb_ld)</f>
        <v/>
      </c>
      <c r="T1704" s="23">
        <f>T1703*(1-sb_ld)</f>
        <v/>
      </c>
      <c r="U1704" s="23">
        <f>U1703*(1-sb_ld)</f>
        <v/>
      </c>
      <c r="V1704" s="23">
        <f>V1703*(1-sb_ld)</f>
        <v/>
      </c>
      <c r="W1704" s="23">
        <f>W1703*(1-sb_ld)</f>
        <v/>
      </c>
      <c r="X1704" s="23">
        <f>X1703*(1-sb_ld)</f>
        <v/>
      </c>
      <c r="Y1704" s="23">
        <f>Y1703*(1-sb_ld)</f>
        <v/>
      </c>
      <c r="Z1704" s="23">
        <f>Z1703*(1-sb_ld)</f>
        <v/>
      </c>
      <c r="AA1704" s="23">
        <f>AA1703*(1-sb_ld)</f>
        <v/>
      </c>
      <c r="AB1704" s="23">
        <f>AB1703*(1-sb_ld)</f>
        <v/>
      </c>
      <c r="AC1704" s="23">
        <f>AC1703*(1-sb_ld)</f>
        <v/>
      </c>
      <c r="AD1704" s="23">
        <f>AD1703*(1-sb_ld)</f>
        <v/>
      </c>
      <c r="AE1704" s="23">
        <f>AE1703*(1-sb_ld)</f>
        <v/>
      </c>
      <c r="AF1704" s="23">
        <f>AF1703*(1-sb_ld)</f>
        <v/>
      </c>
      <c r="AG1704" s="23">
        <f>AG1703*(1-sb_ld)</f>
        <v/>
      </c>
      <c r="AH1704" s="23">
        <f>AH1703*(1-sb_ld)</f>
        <v/>
      </c>
      <c r="AI1704" s="23">
        <f>AI1703*(1-sb_ld)</f>
        <v/>
      </c>
      <c r="AJ1704" s="23">
        <f>AJ1703*(1-sb_ld)</f>
        <v/>
      </c>
    </row>
    <row r="1705">
      <c r="B1705" s="3" t="inlineStr">
        <is>
          <t>Revenue</t>
        </is>
      </c>
      <c r="C1705" s="5" t="inlineStr">
        <is>
          <t>$ million</t>
        </is>
      </c>
      <c r="D1705" s="23">
        <f>D1699+D1700+D1701+D1702-D1704</f>
        <v/>
      </c>
      <c r="E1705" s="23">
        <f>E1699+E1700+E1701+E1702-E1704</f>
        <v/>
      </c>
      <c r="F1705" s="23">
        <f>F1699+F1700+F1701+F1702-F1704</f>
        <v/>
      </c>
      <c r="G1705" s="23">
        <f>G1699+G1700+G1701+G1702-G1704</f>
        <v/>
      </c>
      <c r="H1705" s="23">
        <f>H1699+H1700+H1701+H1702-H1704</f>
        <v/>
      </c>
      <c r="I1705" s="23">
        <f>I1699+I1700+I1701+I1702-I1704</f>
        <v/>
      </c>
      <c r="J1705" s="23">
        <f>J1699+J1700+J1701+J1702-J1704</f>
        <v/>
      </c>
      <c r="K1705" s="23">
        <f>K1699+K1700+K1701+K1702-K1704</f>
        <v/>
      </c>
      <c r="L1705" s="23">
        <f>L1699+L1700+L1701+L1702-L1704</f>
        <v/>
      </c>
      <c r="M1705" s="23">
        <f>M1699+M1700+M1701+M1702-M1704</f>
        <v/>
      </c>
      <c r="N1705" s="23">
        <f>N1699+N1700+N1701+N1702-N1704</f>
        <v/>
      </c>
      <c r="O1705" s="23">
        <f>O1699+O1700+O1701+O1702-O1704</f>
        <v/>
      </c>
      <c r="P1705" s="23">
        <f>P1699+P1700+P1701+P1702-P1704</f>
        <v/>
      </c>
      <c r="Q1705" s="23">
        <f>Q1699+Q1700+Q1701+Q1702-Q1704</f>
        <v/>
      </c>
      <c r="R1705" s="23">
        <f>R1699+R1700+R1701+R1702-R1704</f>
        <v/>
      </c>
      <c r="S1705" s="23">
        <f>S1699+S1700+S1701+S1702-S1704</f>
        <v/>
      </c>
      <c r="T1705" s="23">
        <f>T1699+T1700+T1701+T1702-T1704</f>
        <v/>
      </c>
      <c r="U1705" s="23">
        <f>U1699+U1700+U1701+U1702-U1704</f>
        <v/>
      </c>
      <c r="V1705" s="23">
        <f>V1699+V1700+V1701+V1702-V1704</f>
        <v/>
      </c>
      <c r="W1705" s="23">
        <f>W1699+W1700+W1701+W1702-W1704</f>
        <v/>
      </c>
      <c r="X1705" s="23">
        <f>X1699+X1700+X1701+X1702-X1704</f>
        <v/>
      </c>
      <c r="Y1705" s="23">
        <f>Y1699+Y1700+Y1701+Y1702-Y1704</f>
        <v/>
      </c>
      <c r="Z1705" s="23">
        <f>Z1699+Z1700+Z1701+Z1702-Z1704</f>
        <v/>
      </c>
      <c r="AA1705" s="23">
        <f>AA1699+AA1700+AA1701+AA1702-AA1704</f>
        <v/>
      </c>
      <c r="AB1705" s="23">
        <f>AB1699+AB1700+AB1701+AB1702-AB1704</f>
        <v/>
      </c>
      <c r="AC1705" s="23">
        <f>AC1699+AC1700+AC1701+AC1702-AC1704</f>
        <v/>
      </c>
      <c r="AD1705" s="23">
        <f>AD1699+AD1700+AD1701+AD1702-AD1704</f>
        <v/>
      </c>
      <c r="AE1705" s="23">
        <f>AE1699+AE1700+AE1701+AE1702-AE1704</f>
        <v/>
      </c>
      <c r="AF1705" s="23">
        <f>AF1699+AF1700+AF1701+AF1702-AF1704</f>
        <v/>
      </c>
      <c r="AG1705" s="23">
        <f>AG1699+AG1700+AG1701+AG1702-AG1704</f>
        <v/>
      </c>
      <c r="AH1705" s="23">
        <f>AH1699+AH1700+AH1701+AH1702-AH1704</f>
        <v/>
      </c>
      <c r="AI1705" s="23">
        <f>AI1699+AI1700+AI1701+AI1702-AI1704</f>
        <v/>
      </c>
      <c r="AJ1705" s="23">
        <f>AJ1699+AJ1700+AJ1701+AJ1702-AJ1704</f>
        <v/>
      </c>
    </row>
    <row r="1706">
      <c r="B1706" s="2" t="inlineStr">
        <is>
          <t>Fixed O&amp;M</t>
        </is>
      </c>
      <c r="C1706" s="5" t="inlineStr">
        <is>
          <t>$ million</t>
        </is>
      </c>
      <c r="D1706" s="23">
        <f>D1682*sb_fom*D1684</f>
        <v/>
      </c>
      <c r="E1706" s="23">
        <f>E1682*sb_fom*E1684</f>
        <v/>
      </c>
      <c r="F1706" s="23">
        <f>F1682*sb_fom*F1684</f>
        <v/>
      </c>
      <c r="G1706" s="23">
        <f>G1682*sb_fom*G1684</f>
        <v/>
      </c>
      <c r="H1706" s="23">
        <f>H1682*sb_fom*H1684</f>
        <v/>
      </c>
      <c r="I1706" s="23">
        <f>I1682*sb_fom*I1684</f>
        <v/>
      </c>
      <c r="J1706" s="23">
        <f>J1682*sb_fom*J1684</f>
        <v/>
      </c>
      <c r="K1706" s="23">
        <f>K1682*sb_fom*K1684</f>
        <v/>
      </c>
      <c r="L1706" s="23">
        <f>L1682*sb_fom*L1684</f>
        <v/>
      </c>
      <c r="M1706" s="23">
        <f>M1682*sb_fom*M1684</f>
        <v/>
      </c>
      <c r="N1706" s="23">
        <f>N1682*sb_fom*N1684</f>
        <v/>
      </c>
      <c r="O1706" s="23">
        <f>O1682*sb_fom*O1684</f>
        <v/>
      </c>
      <c r="P1706" s="23">
        <f>P1682*sb_fom*P1684</f>
        <v/>
      </c>
      <c r="Q1706" s="23">
        <f>Q1682*sb_fom*Q1684</f>
        <v/>
      </c>
      <c r="R1706" s="23">
        <f>R1682*sb_fom*R1684</f>
        <v/>
      </c>
      <c r="S1706" s="23">
        <f>S1682*sb_fom*S1684</f>
        <v/>
      </c>
      <c r="T1706" s="23">
        <f>T1682*sb_fom*T1684</f>
        <v/>
      </c>
      <c r="U1706" s="23">
        <f>U1682*sb_fom*U1684</f>
        <v/>
      </c>
      <c r="V1706" s="23">
        <f>V1682*sb_fom*V1684</f>
        <v/>
      </c>
      <c r="W1706" s="23">
        <f>W1682*sb_fom*W1684</f>
        <v/>
      </c>
      <c r="X1706" s="23">
        <f>X1682*sb_fom*X1684</f>
        <v/>
      </c>
      <c r="Y1706" s="23">
        <f>Y1682*sb_fom*Y1684</f>
        <v/>
      </c>
      <c r="Z1706" s="23">
        <f>Z1682*sb_fom*Z1684</f>
        <v/>
      </c>
      <c r="AA1706" s="23">
        <f>AA1682*sb_fom*AA1684</f>
        <v/>
      </c>
      <c r="AB1706" s="23">
        <f>AB1682*sb_fom*AB1684</f>
        <v/>
      </c>
      <c r="AC1706" s="23">
        <f>AC1682*sb_fom*AC1684</f>
        <v/>
      </c>
      <c r="AD1706" s="23">
        <f>AD1682*sb_fom*AD1684</f>
        <v/>
      </c>
      <c r="AE1706" s="23">
        <f>AE1682*sb_fom*AE1684</f>
        <v/>
      </c>
      <c r="AF1706" s="23">
        <f>AF1682*sb_fom*AF1684</f>
        <v/>
      </c>
      <c r="AG1706" s="23">
        <f>AG1682*sb_fom*AG1684</f>
        <v/>
      </c>
      <c r="AH1706" s="23">
        <f>AH1682*sb_fom*AH1684</f>
        <v/>
      </c>
      <c r="AI1706" s="23">
        <f>AI1682*sb_fom*AI1684</f>
        <v/>
      </c>
      <c r="AJ1706" s="23">
        <f>AJ1682*sb_fom*AJ1684</f>
        <v/>
      </c>
    </row>
    <row r="1707">
      <c r="B1707" s="2" t="inlineStr">
        <is>
          <t>Energy cost (actual kWh x power price)</t>
        </is>
      </c>
      <c r="C1707" s="5" t="inlineStr">
        <is>
          <t>$ million</t>
        </is>
      </c>
      <c r="D1707" s="23">
        <f>D1696*sb_sec_act*D1697/1000/1000000</f>
        <v/>
      </c>
      <c r="E1707" s="23">
        <f>E1696*sb_sec_act*E1697/1000/1000000</f>
        <v/>
      </c>
      <c r="F1707" s="23">
        <f>F1696*sb_sec_act*F1697/1000/1000000</f>
        <v/>
      </c>
      <c r="G1707" s="23">
        <f>G1696*sb_sec_act*G1697/1000/1000000</f>
        <v/>
      </c>
      <c r="H1707" s="23">
        <f>H1696*sb_sec_act*H1697/1000/1000000</f>
        <v/>
      </c>
      <c r="I1707" s="23">
        <f>I1696*sb_sec_act*I1697/1000/1000000</f>
        <v/>
      </c>
      <c r="J1707" s="23">
        <f>J1696*sb_sec_act*J1697/1000/1000000</f>
        <v/>
      </c>
      <c r="K1707" s="23">
        <f>K1696*sb_sec_act*K1697/1000/1000000</f>
        <v/>
      </c>
      <c r="L1707" s="23">
        <f>L1696*sb_sec_act*L1697/1000/1000000</f>
        <v/>
      </c>
      <c r="M1707" s="23">
        <f>M1696*sb_sec_act*M1697/1000/1000000</f>
        <v/>
      </c>
      <c r="N1707" s="23">
        <f>N1696*sb_sec_act*N1697/1000/1000000</f>
        <v/>
      </c>
      <c r="O1707" s="23">
        <f>O1696*sb_sec_act*O1697/1000/1000000</f>
        <v/>
      </c>
      <c r="P1707" s="23">
        <f>P1696*sb_sec_act*P1697/1000/1000000</f>
        <v/>
      </c>
      <c r="Q1707" s="23">
        <f>Q1696*sb_sec_act*Q1697/1000/1000000</f>
        <v/>
      </c>
      <c r="R1707" s="23">
        <f>R1696*sb_sec_act*R1697/1000/1000000</f>
        <v/>
      </c>
      <c r="S1707" s="23">
        <f>S1696*sb_sec_act*S1697/1000/1000000</f>
        <v/>
      </c>
      <c r="T1707" s="23">
        <f>T1696*sb_sec_act*T1697/1000/1000000</f>
        <v/>
      </c>
      <c r="U1707" s="23">
        <f>U1696*sb_sec_act*U1697/1000/1000000</f>
        <v/>
      </c>
      <c r="V1707" s="23">
        <f>V1696*sb_sec_act*V1697/1000/1000000</f>
        <v/>
      </c>
      <c r="W1707" s="23">
        <f>W1696*sb_sec_act*W1697/1000/1000000</f>
        <v/>
      </c>
      <c r="X1707" s="23">
        <f>X1696*sb_sec_act*X1697/1000/1000000</f>
        <v/>
      </c>
      <c r="Y1707" s="23">
        <f>Y1696*sb_sec_act*Y1697/1000/1000000</f>
        <v/>
      </c>
      <c r="Z1707" s="23">
        <f>Z1696*sb_sec_act*Z1697/1000/1000000</f>
        <v/>
      </c>
      <c r="AA1707" s="23">
        <f>AA1696*sb_sec_act*AA1697/1000/1000000</f>
        <v/>
      </c>
      <c r="AB1707" s="23">
        <f>AB1696*sb_sec_act*AB1697/1000/1000000</f>
        <v/>
      </c>
      <c r="AC1707" s="23">
        <f>AC1696*sb_sec_act*AC1697/1000/1000000</f>
        <v/>
      </c>
      <c r="AD1707" s="23">
        <f>AD1696*sb_sec_act*AD1697/1000/1000000</f>
        <v/>
      </c>
      <c r="AE1707" s="23">
        <f>AE1696*sb_sec_act*AE1697/1000/1000000</f>
        <v/>
      </c>
      <c r="AF1707" s="23">
        <f>AF1696*sb_sec_act*AF1697/1000/1000000</f>
        <v/>
      </c>
      <c r="AG1707" s="23">
        <f>AG1696*sb_sec_act*AG1697/1000/1000000</f>
        <v/>
      </c>
      <c r="AH1707" s="23">
        <f>AH1696*sb_sec_act*AH1697/1000/1000000</f>
        <v/>
      </c>
      <c r="AI1707" s="23">
        <f>AI1696*sb_sec_act*AI1697/1000/1000000</f>
        <v/>
      </c>
      <c r="AJ1707" s="23">
        <f>AJ1696*sb_sec_act*AJ1697/1000/1000000</f>
        <v/>
      </c>
    </row>
    <row r="1708">
      <c r="B1708" s="2" t="inlineStr">
        <is>
          <t>Chemicals</t>
        </is>
      </c>
      <c r="C1708" s="5" t="inlineStr">
        <is>
          <t>$ million</t>
        </is>
      </c>
      <c r="D1708" s="23">
        <f>D1702</f>
        <v/>
      </c>
      <c r="E1708" s="23">
        <f>E1702</f>
        <v/>
      </c>
      <c r="F1708" s="23">
        <f>F1702</f>
        <v/>
      </c>
      <c r="G1708" s="23">
        <f>G1702</f>
        <v/>
      </c>
      <c r="H1708" s="23">
        <f>H1702</f>
        <v/>
      </c>
      <c r="I1708" s="23">
        <f>I1702</f>
        <v/>
      </c>
      <c r="J1708" s="23">
        <f>J1702</f>
        <v/>
      </c>
      <c r="K1708" s="23">
        <f>K1702</f>
        <v/>
      </c>
      <c r="L1708" s="23">
        <f>L1702</f>
        <v/>
      </c>
      <c r="M1708" s="23">
        <f>M1702</f>
        <v/>
      </c>
      <c r="N1708" s="23">
        <f>N1702</f>
        <v/>
      </c>
      <c r="O1708" s="23">
        <f>O1702</f>
        <v/>
      </c>
      <c r="P1708" s="23">
        <f>P1702</f>
        <v/>
      </c>
      <c r="Q1708" s="23">
        <f>Q1702</f>
        <v/>
      </c>
      <c r="R1708" s="23">
        <f>R1702</f>
        <v/>
      </c>
      <c r="S1708" s="23">
        <f>S1702</f>
        <v/>
      </c>
      <c r="T1708" s="23">
        <f>T1702</f>
        <v/>
      </c>
      <c r="U1708" s="23">
        <f>U1702</f>
        <v/>
      </c>
      <c r="V1708" s="23">
        <f>V1702</f>
        <v/>
      </c>
      <c r="W1708" s="23">
        <f>W1702</f>
        <v/>
      </c>
      <c r="X1708" s="23">
        <f>X1702</f>
        <v/>
      </c>
      <c r="Y1708" s="23">
        <f>Y1702</f>
        <v/>
      </c>
      <c r="Z1708" s="23">
        <f>Z1702</f>
        <v/>
      </c>
      <c r="AA1708" s="23">
        <f>AA1702</f>
        <v/>
      </c>
      <c r="AB1708" s="23">
        <f>AB1702</f>
        <v/>
      </c>
      <c r="AC1708" s="23">
        <f>AC1702</f>
        <v/>
      </c>
      <c r="AD1708" s="23">
        <f>AD1702</f>
        <v/>
      </c>
      <c r="AE1708" s="23">
        <f>AE1702</f>
        <v/>
      </c>
      <c r="AF1708" s="23">
        <f>AF1702</f>
        <v/>
      </c>
      <c r="AG1708" s="23">
        <f>AG1702</f>
        <v/>
      </c>
      <c r="AH1708" s="23">
        <f>AH1702</f>
        <v/>
      </c>
      <c r="AI1708" s="23">
        <f>AI1702</f>
        <v/>
      </c>
      <c r="AJ1708" s="23">
        <f>AJ1702</f>
        <v/>
      </c>
    </row>
    <row r="1709">
      <c r="B1709" s="2" t="inlineStr">
        <is>
          <t>Major overhauls</t>
        </is>
      </c>
      <c r="C1709" s="5" t="inlineStr">
        <is>
          <t>$ million</t>
        </is>
      </c>
      <c r="D1709" s="23">
        <f>D1682*IF(OR(D1681=sb_major_y1,D1681=sb_major_y2),sb_major*D1684,0)</f>
        <v/>
      </c>
      <c r="E1709" s="23">
        <f>E1682*IF(OR(E1681=sb_major_y1,E1681=sb_major_y2),sb_major*E1684,0)</f>
        <v/>
      </c>
      <c r="F1709" s="23">
        <f>F1682*IF(OR(F1681=sb_major_y1,F1681=sb_major_y2),sb_major*F1684,0)</f>
        <v/>
      </c>
      <c r="G1709" s="23">
        <f>G1682*IF(OR(G1681=sb_major_y1,G1681=sb_major_y2),sb_major*G1684,0)</f>
        <v/>
      </c>
      <c r="H1709" s="23">
        <f>H1682*IF(OR(H1681=sb_major_y1,H1681=sb_major_y2),sb_major*H1684,0)</f>
        <v/>
      </c>
      <c r="I1709" s="23">
        <f>I1682*IF(OR(I1681=sb_major_y1,I1681=sb_major_y2),sb_major*I1684,0)</f>
        <v/>
      </c>
      <c r="J1709" s="23">
        <f>J1682*IF(OR(J1681=sb_major_y1,J1681=sb_major_y2),sb_major*J1684,0)</f>
        <v/>
      </c>
      <c r="K1709" s="23">
        <f>K1682*IF(OR(K1681=sb_major_y1,K1681=sb_major_y2),sb_major*K1684,0)</f>
        <v/>
      </c>
      <c r="L1709" s="23">
        <f>L1682*IF(OR(L1681=sb_major_y1,L1681=sb_major_y2),sb_major*L1684,0)</f>
        <v/>
      </c>
      <c r="M1709" s="23">
        <f>M1682*IF(OR(M1681=sb_major_y1,M1681=sb_major_y2),sb_major*M1684,0)</f>
        <v/>
      </c>
      <c r="N1709" s="23">
        <f>N1682*IF(OR(N1681=sb_major_y1,N1681=sb_major_y2),sb_major*N1684,0)</f>
        <v/>
      </c>
      <c r="O1709" s="23">
        <f>O1682*IF(OR(O1681=sb_major_y1,O1681=sb_major_y2),sb_major*O1684,0)</f>
        <v/>
      </c>
      <c r="P1709" s="23">
        <f>P1682*IF(OR(P1681=sb_major_y1,P1681=sb_major_y2),sb_major*P1684,0)</f>
        <v/>
      </c>
      <c r="Q1709" s="23">
        <f>Q1682*IF(OR(Q1681=sb_major_y1,Q1681=sb_major_y2),sb_major*Q1684,0)</f>
        <v/>
      </c>
      <c r="R1709" s="23">
        <f>R1682*IF(OR(R1681=sb_major_y1,R1681=sb_major_y2),sb_major*R1684,0)</f>
        <v/>
      </c>
      <c r="S1709" s="23">
        <f>S1682*IF(OR(S1681=sb_major_y1,S1681=sb_major_y2),sb_major*S1684,0)</f>
        <v/>
      </c>
      <c r="T1709" s="23">
        <f>T1682*IF(OR(T1681=sb_major_y1,T1681=sb_major_y2),sb_major*T1684,0)</f>
        <v/>
      </c>
      <c r="U1709" s="23">
        <f>U1682*IF(OR(U1681=sb_major_y1,U1681=sb_major_y2),sb_major*U1684,0)</f>
        <v/>
      </c>
      <c r="V1709" s="23">
        <f>V1682*IF(OR(V1681=sb_major_y1,V1681=sb_major_y2),sb_major*V1684,0)</f>
        <v/>
      </c>
      <c r="W1709" s="23">
        <f>W1682*IF(OR(W1681=sb_major_y1,W1681=sb_major_y2),sb_major*W1684,0)</f>
        <v/>
      </c>
      <c r="X1709" s="23">
        <f>X1682*IF(OR(X1681=sb_major_y1,X1681=sb_major_y2),sb_major*X1684,0)</f>
        <v/>
      </c>
      <c r="Y1709" s="23">
        <f>Y1682*IF(OR(Y1681=sb_major_y1,Y1681=sb_major_y2),sb_major*Y1684,0)</f>
        <v/>
      </c>
      <c r="Z1709" s="23">
        <f>Z1682*IF(OR(Z1681=sb_major_y1,Z1681=sb_major_y2),sb_major*Z1684,0)</f>
        <v/>
      </c>
      <c r="AA1709" s="23">
        <f>AA1682*IF(OR(AA1681=sb_major_y1,AA1681=sb_major_y2),sb_major*AA1684,0)</f>
        <v/>
      </c>
      <c r="AB1709" s="23">
        <f>AB1682*IF(OR(AB1681=sb_major_y1,AB1681=sb_major_y2),sb_major*AB1684,0)</f>
        <v/>
      </c>
      <c r="AC1709" s="23">
        <f>AC1682*IF(OR(AC1681=sb_major_y1,AC1681=sb_major_y2),sb_major*AC1684,0)</f>
        <v/>
      </c>
      <c r="AD1709" s="23">
        <f>AD1682*IF(OR(AD1681=sb_major_y1,AD1681=sb_major_y2),sb_major*AD1684,0)</f>
        <v/>
      </c>
      <c r="AE1709" s="23">
        <f>AE1682*IF(OR(AE1681=sb_major_y1,AE1681=sb_major_y2),sb_major*AE1684,0)</f>
        <v/>
      </c>
      <c r="AF1709" s="23">
        <f>AF1682*IF(OR(AF1681=sb_major_y1,AF1681=sb_major_y2),sb_major*AF1684,0)</f>
        <v/>
      </c>
      <c r="AG1709" s="23">
        <f>AG1682*IF(OR(AG1681=sb_major_y1,AG1681=sb_major_y2),sb_major*AG1684,0)</f>
        <v/>
      </c>
      <c r="AH1709" s="23">
        <f>AH1682*IF(OR(AH1681=sb_major_y1,AH1681=sb_major_y2),sb_major*AH1684,0)</f>
        <v/>
      </c>
      <c r="AI1709" s="23">
        <f>AI1682*IF(OR(AI1681=sb_major_y1,AI1681=sb_major_y2),sb_major*AI1684,0)</f>
        <v/>
      </c>
      <c r="AJ1709" s="23">
        <f>AJ1682*IF(OR(AJ1681=sb_major_y1,AJ1681=sb_major_y2),sb_major*AJ1684,0)</f>
        <v/>
      </c>
    </row>
    <row r="1710">
      <c r="B1710" s="2" t="inlineStr">
        <is>
          <t>Operating cost</t>
        </is>
      </c>
      <c r="C1710" s="5" t="inlineStr">
        <is>
          <t>$ million</t>
        </is>
      </c>
      <c r="D1710" s="23">
        <f>SUM(D1706:D1709)</f>
        <v/>
      </c>
      <c r="E1710" s="23">
        <f>SUM(E1706:E1709)</f>
        <v/>
      </c>
      <c r="F1710" s="23">
        <f>SUM(F1706:F1709)</f>
        <v/>
      </c>
      <c r="G1710" s="23">
        <f>SUM(G1706:G1709)</f>
        <v/>
      </c>
      <c r="H1710" s="23">
        <f>SUM(H1706:H1709)</f>
        <v/>
      </c>
      <c r="I1710" s="23">
        <f>SUM(I1706:I1709)</f>
        <v/>
      </c>
      <c r="J1710" s="23">
        <f>SUM(J1706:J1709)</f>
        <v/>
      </c>
      <c r="K1710" s="23">
        <f>SUM(K1706:K1709)</f>
        <v/>
      </c>
      <c r="L1710" s="23">
        <f>SUM(L1706:L1709)</f>
        <v/>
      </c>
      <c r="M1710" s="23">
        <f>SUM(M1706:M1709)</f>
        <v/>
      </c>
      <c r="N1710" s="23">
        <f>SUM(N1706:N1709)</f>
        <v/>
      </c>
      <c r="O1710" s="23">
        <f>SUM(O1706:O1709)</f>
        <v/>
      </c>
      <c r="P1710" s="23">
        <f>SUM(P1706:P1709)</f>
        <v/>
      </c>
      <c r="Q1710" s="23">
        <f>SUM(Q1706:Q1709)</f>
        <v/>
      </c>
      <c r="R1710" s="23">
        <f>SUM(R1706:R1709)</f>
        <v/>
      </c>
      <c r="S1710" s="23">
        <f>SUM(S1706:S1709)</f>
        <v/>
      </c>
      <c r="T1710" s="23">
        <f>SUM(T1706:T1709)</f>
        <v/>
      </c>
      <c r="U1710" s="23">
        <f>SUM(U1706:U1709)</f>
        <v/>
      </c>
      <c r="V1710" s="23">
        <f>SUM(V1706:V1709)</f>
        <v/>
      </c>
      <c r="W1710" s="23">
        <f>SUM(W1706:W1709)</f>
        <v/>
      </c>
      <c r="X1710" s="23">
        <f>SUM(X1706:X1709)</f>
        <v/>
      </c>
      <c r="Y1710" s="23">
        <f>SUM(Y1706:Y1709)</f>
        <v/>
      </c>
      <c r="Z1710" s="23">
        <f>SUM(Z1706:Z1709)</f>
        <v/>
      </c>
      <c r="AA1710" s="23">
        <f>SUM(AA1706:AA1709)</f>
        <v/>
      </c>
      <c r="AB1710" s="23">
        <f>SUM(AB1706:AB1709)</f>
        <v/>
      </c>
      <c r="AC1710" s="23">
        <f>SUM(AC1706:AC1709)</f>
        <v/>
      </c>
      <c r="AD1710" s="23">
        <f>SUM(AD1706:AD1709)</f>
        <v/>
      </c>
      <c r="AE1710" s="23">
        <f>SUM(AE1706:AE1709)</f>
        <v/>
      </c>
      <c r="AF1710" s="23">
        <f>SUM(AF1706:AF1709)</f>
        <v/>
      </c>
      <c r="AG1710" s="23">
        <f>SUM(AG1706:AG1709)</f>
        <v/>
      </c>
      <c r="AH1710" s="23">
        <f>SUM(AH1706:AH1709)</f>
        <v/>
      </c>
      <c r="AI1710" s="23">
        <f>SUM(AI1706:AI1709)</f>
        <v/>
      </c>
      <c r="AJ1710" s="23">
        <f>SUM(AJ1706:AJ1709)</f>
        <v/>
      </c>
    </row>
    <row r="1711">
      <c r="B1711" s="3" t="inlineStr">
        <is>
          <t>Cash flow available for debt service (CFADS)</t>
        </is>
      </c>
      <c r="C1711" s="5" t="inlineStr">
        <is>
          <t>$ million</t>
        </is>
      </c>
      <c r="D1711" s="23">
        <f>D1705-D1710</f>
        <v/>
      </c>
      <c r="E1711" s="23">
        <f>E1705-E1710</f>
        <v/>
      </c>
      <c r="F1711" s="23">
        <f>F1705-F1710</f>
        <v/>
      </c>
      <c r="G1711" s="23">
        <f>G1705-G1710</f>
        <v/>
      </c>
      <c r="H1711" s="23">
        <f>H1705-H1710</f>
        <v/>
      </c>
      <c r="I1711" s="23">
        <f>I1705-I1710</f>
        <v/>
      </c>
      <c r="J1711" s="23">
        <f>J1705-J1710</f>
        <v/>
      </c>
      <c r="K1711" s="23">
        <f>K1705-K1710</f>
        <v/>
      </c>
      <c r="L1711" s="23">
        <f>L1705-L1710</f>
        <v/>
      </c>
      <c r="M1711" s="23">
        <f>M1705-M1710</f>
        <v/>
      </c>
      <c r="N1711" s="23">
        <f>N1705-N1710</f>
        <v/>
      </c>
      <c r="O1711" s="23">
        <f>O1705-O1710</f>
        <v/>
      </c>
      <c r="P1711" s="23">
        <f>P1705-P1710</f>
        <v/>
      </c>
      <c r="Q1711" s="23">
        <f>Q1705-Q1710</f>
        <v/>
      </c>
      <c r="R1711" s="23">
        <f>R1705-R1710</f>
        <v/>
      </c>
      <c r="S1711" s="23">
        <f>S1705-S1710</f>
        <v/>
      </c>
      <c r="T1711" s="23">
        <f>T1705-T1710</f>
        <v/>
      </c>
      <c r="U1711" s="23">
        <f>U1705-U1710</f>
        <v/>
      </c>
      <c r="V1711" s="23">
        <f>V1705-V1710</f>
        <v/>
      </c>
      <c r="W1711" s="23">
        <f>W1705-W1710</f>
        <v/>
      </c>
      <c r="X1711" s="23">
        <f>X1705-X1710</f>
        <v/>
      </c>
      <c r="Y1711" s="23">
        <f>Y1705-Y1710</f>
        <v/>
      </c>
      <c r="Z1711" s="23">
        <f>Z1705-Z1710</f>
        <v/>
      </c>
      <c r="AA1711" s="23">
        <f>AA1705-AA1710</f>
        <v/>
      </c>
      <c r="AB1711" s="23">
        <f>AB1705-AB1710</f>
        <v/>
      </c>
      <c r="AC1711" s="23">
        <f>AC1705-AC1710</f>
        <v/>
      </c>
      <c r="AD1711" s="23">
        <f>AD1705-AD1710</f>
        <v/>
      </c>
      <c r="AE1711" s="23">
        <f>AE1705-AE1710</f>
        <v/>
      </c>
      <c r="AF1711" s="23">
        <f>AF1705-AF1710</f>
        <v/>
      </c>
      <c r="AG1711" s="23">
        <f>AG1705-AG1710</f>
        <v/>
      </c>
      <c r="AH1711" s="23">
        <f>AH1705-AH1710</f>
        <v/>
      </c>
      <c r="AI1711" s="23">
        <f>AI1705-AI1710</f>
        <v/>
      </c>
      <c r="AJ1711" s="23">
        <f>AJ1705-AJ1710</f>
        <v/>
      </c>
    </row>
    <row r="1713">
      <c r="B1713" s="6" t="inlineStr">
        <is>
          <t>Debt and flows</t>
        </is>
      </c>
      <c r="C1713" s="7" t="n"/>
      <c r="D1713" s="7" t="n"/>
      <c r="E1713" s="7" t="n"/>
      <c r="F1713" s="7" t="n"/>
      <c r="G1713" s="7" t="n"/>
      <c r="H1713" s="7" t="n"/>
      <c r="I1713" s="7" t="n"/>
      <c r="J1713" s="7" t="n"/>
      <c r="K1713" s="7" t="n"/>
      <c r="L1713" s="7" t="n"/>
      <c r="M1713" s="7" t="n"/>
      <c r="N1713" s="7" t="n"/>
      <c r="O1713" s="7" t="n"/>
      <c r="P1713" s="7" t="n"/>
      <c r="Q1713" s="7" t="n"/>
      <c r="R1713" s="7" t="n"/>
      <c r="S1713" s="7" t="n"/>
      <c r="T1713" s="7" t="n"/>
      <c r="U1713" s="7" t="n"/>
      <c r="V1713" s="7" t="n"/>
      <c r="W1713" s="7" t="n"/>
      <c r="X1713" s="7" t="n"/>
      <c r="Y1713" s="7" t="n"/>
      <c r="Z1713" s="7" t="n"/>
      <c r="AA1713" s="7" t="n"/>
      <c r="AB1713" s="7" t="n"/>
      <c r="AC1713" s="7" t="n"/>
      <c r="AD1713" s="7" t="n"/>
      <c r="AE1713" s="7" t="n"/>
      <c r="AF1713" s="7" t="n"/>
      <c r="AG1713" s="7" t="n"/>
      <c r="AH1713" s="7" t="n"/>
      <c r="AI1713" s="7" t="n"/>
      <c r="AJ1713" s="7" t="n"/>
    </row>
    <row r="1714">
      <c r="B1714" s="2" t="inlineStr">
        <is>
          <t>Capital cost paid</t>
        </is>
      </c>
      <c r="C1714" s="5" t="inlineStr">
        <is>
          <t>$ million</t>
        </is>
      </c>
      <c r="D1714" s="23">
        <f>-IF(D1681=sb_start+1,sb_phase1,IF(D1681=sb_start+2,1-sb_phase1,0))*$D$1691</f>
        <v/>
      </c>
      <c r="E1714" s="23">
        <f>-IF(E1681=sb_start+1,sb_phase1,IF(E1681=sb_start+2,1-sb_phase1,0))*$D$1691</f>
        <v/>
      </c>
      <c r="F1714" s="23">
        <f>-IF(F1681=sb_start+1,sb_phase1,IF(F1681=sb_start+2,1-sb_phase1,0))*$D$1691</f>
        <v/>
      </c>
      <c r="G1714" s="23">
        <f>-IF(G1681=sb_start+1,sb_phase1,IF(G1681=sb_start+2,1-sb_phase1,0))*$D$1691</f>
        <v/>
      </c>
      <c r="H1714" s="23">
        <f>-IF(H1681=sb_start+1,sb_phase1,IF(H1681=sb_start+2,1-sb_phase1,0))*$D$1691</f>
        <v/>
      </c>
      <c r="I1714" s="23">
        <f>-IF(I1681=sb_start+1,sb_phase1,IF(I1681=sb_start+2,1-sb_phase1,0))*$D$1691</f>
        <v/>
      </c>
      <c r="J1714" s="23">
        <f>-IF(J1681=sb_start+1,sb_phase1,IF(J1681=sb_start+2,1-sb_phase1,0))*$D$1691</f>
        <v/>
      </c>
      <c r="K1714" s="23">
        <f>-IF(K1681=sb_start+1,sb_phase1,IF(K1681=sb_start+2,1-sb_phase1,0))*$D$1691</f>
        <v/>
      </c>
      <c r="L1714" s="23">
        <f>-IF(L1681=sb_start+1,sb_phase1,IF(L1681=sb_start+2,1-sb_phase1,0))*$D$1691</f>
        <v/>
      </c>
      <c r="M1714" s="23">
        <f>-IF(M1681=sb_start+1,sb_phase1,IF(M1681=sb_start+2,1-sb_phase1,0))*$D$1691</f>
        <v/>
      </c>
      <c r="N1714" s="23">
        <f>-IF(N1681=sb_start+1,sb_phase1,IF(N1681=sb_start+2,1-sb_phase1,0))*$D$1691</f>
        <v/>
      </c>
      <c r="O1714" s="23">
        <f>-IF(O1681=sb_start+1,sb_phase1,IF(O1681=sb_start+2,1-sb_phase1,0))*$D$1691</f>
        <v/>
      </c>
      <c r="P1714" s="23">
        <f>-IF(P1681=sb_start+1,sb_phase1,IF(P1681=sb_start+2,1-sb_phase1,0))*$D$1691</f>
        <v/>
      </c>
      <c r="Q1714" s="23">
        <f>-IF(Q1681=sb_start+1,sb_phase1,IF(Q1681=sb_start+2,1-sb_phase1,0))*$D$1691</f>
        <v/>
      </c>
      <c r="R1714" s="23">
        <f>-IF(R1681=sb_start+1,sb_phase1,IF(R1681=sb_start+2,1-sb_phase1,0))*$D$1691</f>
        <v/>
      </c>
      <c r="S1714" s="23">
        <f>-IF(S1681=sb_start+1,sb_phase1,IF(S1681=sb_start+2,1-sb_phase1,0))*$D$1691</f>
        <v/>
      </c>
      <c r="T1714" s="23">
        <f>-IF(T1681=sb_start+1,sb_phase1,IF(T1681=sb_start+2,1-sb_phase1,0))*$D$1691</f>
        <v/>
      </c>
      <c r="U1714" s="23">
        <f>-IF(U1681=sb_start+1,sb_phase1,IF(U1681=sb_start+2,1-sb_phase1,0))*$D$1691</f>
        <v/>
      </c>
      <c r="V1714" s="23">
        <f>-IF(V1681=sb_start+1,sb_phase1,IF(V1681=sb_start+2,1-sb_phase1,0))*$D$1691</f>
        <v/>
      </c>
      <c r="W1714" s="23">
        <f>-IF(W1681=sb_start+1,sb_phase1,IF(W1681=sb_start+2,1-sb_phase1,0))*$D$1691</f>
        <v/>
      </c>
      <c r="X1714" s="23">
        <f>-IF(X1681=sb_start+1,sb_phase1,IF(X1681=sb_start+2,1-sb_phase1,0))*$D$1691</f>
        <v/>
      </c>
      <c r="Y1714" s="23">
        <f>-IF(Y1681=sb_start+1,sb_phase1,IF(Y1681=sb_start+2,1-sb_phase1,0))*$D$1691</f>
        <v/>
      </c>
      <c r="Z1714" s="23">
        <f>-IF(Z1681=sb_start+1,sb_phase1,IF(Z1681=sb_start+2,1-sb_phase1,0))*$D$1691</f>
        <v/>
      </c>
      <c r="AA1714" s="23">
        <f>-IF(AA1681=sb_start+1,sb_phase1,IF(AA1681=sb_start+2,1-sb_phase1,0))*$D$1691</f>
        <v/>
      </c>
      <c r="AB1714" s="23">
        <f>-IF(AB1681=sb_start+1,sb_phase1,IF(AB1681=sb_start+2,1-sb_phase1,0))*$D$1691</f>
        <v/>
      </c>
      <c r="AC1714" s="23">
        <f>-IF(AC1681=sb_start+1,sb_phase1,IF(AC1681=sb_start+2,1-sb_phase1,0))*$D$1691</f>
        <v/>
      </c>
      <c r="AD1714" s="23">
        <f>-IF(AD1681=sb_start+1,sb_phase1,IF(AD1681=sb_start+2,1-sb_phase1,0))*$D$1691</f>
        <v/>
      </c>
      <c r="AE1714" s="23">
        <f>-IF(AE1681=sb_start+1,sb_phase1,IF(AE1681=sb_start+2,1-sb_phase1,0))*$D$1691</f>
        <v/>
      </c>
      <c r="AF1714" s="23">
        <f>-IF(AF1681=sb_start+1,sb_phase1,IF(AF1681=sb_start+2,1-sb_phase1,0))*$D$1691</f>
        <v/>
      </c>
      <c r="AG1714" s="23">
        <f>-IF(AG1681=sb_start+1,sb_phase1,IF(AG1681=sb_start+2,1-sb_phase1,0))*$D$1691</f>
        <v/>
      </c>
      <c r="AH1714" s="23">
        <f>-IF(AH1681=sb_start+1,sb_phase1,IF(AH1681=sb_start+2,1-sb_phase1,0))*$D$1691</f>
        <v/>
      </c>
      <c r="AI1714" s="23">
        <f>-IF(AI1681=sb_start+1,sb_phase1,IF(AI1681=sb_start+2,1-sb_phase1,0))*$D$1691</f>
        <v/>
      </c>
      <c r="AJ1714" s="23">
        <f>-IF(AJ1681=sb_start+1,sb_phase1,IF(AJ1681=sb_start+2,1-sb_phase1,0))*$D$1691</f>
        <v/>
      </c>
    </row>
    <row r="1715">
      <c r="B1715" s="2" t="inlineStr">
        <is>
          <t>Debt discount factor (tenor years)</t>
        </is>
      </c>
      <c r="D1715" s="28">
        <f>IF(AND(D1682=1,D1683&lt;sb_tenor),1/(1+sb_kd)^(D1683+1),0)</f>
        <v/>
      </c>
      <c r="E1715" s="28">
        <f>IF(AND(E1682=1,E1683&lt;sb_tenor),1/(1+sb_kd)^(E1683+1),0)</f>
        <v/>
      </c>
      <c r="F1715" s="28">
        <f>IF(AND(F1682=1,F1683&lt;sb_tenor),1/(1+sb_kd)^(F1683+1),0)</f>
        <v/>
      </c>
      <c r="G1715" s="28">
        <f>IF(AND(G1682=1,G1683&lt;sb_tenor),1/(1+sb_kd)^(G1683+1),0)</f>
        <v/>
      </c>
      <c r="H1715" s="28">
        <f>IF(AND(H1682=1,H1683&lt;sb_tenor),1/(1+sb_kd)^(H1683+1),0)</f>
        <v/>
      </c>
      <c r="I1715" s="28">
        <f>IF(AND(I1682=1,I1683&lt;sb_tenor),1/(1+sb_kd)^(I1683+1),0)</f>
        <v/>
      </c>
      <c r="J1715" s="28">
        <f>IF(AND(J1682=1,J1683&lt;sb_tenor),1/(1+sb_kd)^(J1683+1),0)</f>
        <v/>
      </c>
      <c r="K1715" s="28">
        <f>IF(AND(K1682=1,K1683&lt;sb_tenor),1/(1+sb_kd)^(K1683+1),0)</f>
        <v/>
      </c>
      <c r="L1715" s="28">
        <f>IF(AND(L1682=1,L1683&lt;sb_tenor),1/(1+sb_kd)^(L1683+1),0)</f>
        <v/>
      </c>
      <c r="M1715" s="28">
        <f>IF(AND(M1682=1,M1683&lt;sb_tenor),1/(1+sb_kd)^(M1683+1),0)</f>
        <v/>
      </c>
      <c r="N1715" s="28">
        <f>IF(AND(N1682=1,N1683&lt;sb_tenor),1/(1+sb_kd)^(N1683+1),0)</f>
        <v/>
      </c>
      <c r="O1715" s="28">
        <f>IF(AND(O1682=1,O1683&lt;sb_tenor),1/(1+sb_kd)^(O1683+1),0)</f>
        <v/>
      </c>
      <c r="P1715" s="28">
        <f>IF(AND(P1682=1,P1683&lt;sb_tenor),1/(1+sb_kd)^(P1683+1),0)</f>
        <v/>
      </c>
      <c r="Q1715" s="28">
        <f>IF(AND(Q1682=1,Q1683&lt;sb_tenor),1/(1+sb_kd)^(Q1683+1),0)</f>
        <v/>
      </c>
      <c r="R1715" s="28">
        <f>IF(AND(R1682=1,R1683&lt;sb_tenor),1/(1+sb_kd)^(R1683+1),0)</f>
        <v/>
      </c>
      <c r="S1715" s="28">
        <f>IF(AND(S1682=1,S1683&lt;sb_tenor),1/(1+sb_kd)^(S1683+1),0)</f>
        <v/>
      </c>
      <c r="T1715" s="28">
        <f>IF(AND(T1682=1,T1683&lt;sb_tenor),1/(1+sb_kd)^(T1683+1),0)</f>
        <v/>
      </c>
      <c r="U1715" s="28">
        <f>IF(AND(U1682=1,U1683&lt;sb_tenor),1/(1+sb_kd)^(U1683+1),0)</f>
        <v/>
      </c>
      <c r="V1715" s="28">
        <f>IF(AND(V1682=1,V1683&lt;sb_tenor),1/(1+sb_kd)^(V1683+1),0)</f>
        <v/>
      </c>
      <c r="W1715" s="28">
        <f>IF(AND(W1682=1,W1683&lt;sb_tenor),1/(1+sb_kd)^(W1683+1),0)</f>
        <v/>
      </c>
      <c r="X1715" s="28">
        <f>IF(AND(X1682=1,X1683&lt;sb_tenor),1/(1+sb_kd)^(X1683+1),0)</f>
        <v/>
      </c>
      <c r="Y1715" s="28">
        <f>IF(AND(Y1682=1,Y1683&lt;sb_tenor),1/(1+sb_kd)^(Y1683+1),0)</f>
        <v/>
      </c>
      <c r="Z1715" s="28">
        <f>IF(AND(Z1682=1,Z1683&lt;sb_tenor),1/(1+sb_kd)^(Z1683+1),0)</f>
        <v/>
      </c>
      <c r="AA1715" s="28">
        <f>IF(AND(AA1682=1,AA1683&lt;sb_tenor),1/(1+sb_kd)^(AA1683+1),0)</f>
        <v/>
      </c>
      <c r="AB1715" s="28">
        <f>IF(AND(AB1682=1,AB1683&lt;sb_tenor),1/(1+sb_kd)^(AB1683+1),0)</f>
        <v/>
      </c>
      <c r="AC1715" s="28">
        <f>IF(AND(AC1682=1,AC1683&lt;sb_tenor),1/(1+sb_kd)^(AC1683+1),0)</f>
        <v/>
      </c>
      <c r="AD1715" s="28">
        <f>IF(AND(AD1682=1,AD1683&lt;sb_tenor),1/(1+sb_kd)^(AD1683+1),0)</f>
        <v/>
      </c>
      <c r="AE1715" s="28">
        <f>IF(AND(AE1682=1,AE1683&lt;sb_tenor),1/(1+sb_kd)^(AE1683+1),0)</f>
        <v/>
      </c>
      <c r="AF1715" s="28">
        <f>IF(AND(AF1682=1,AF1683&lt;sb_tenor),1/(1+sb_kd)^(AF1683+1),0)</f>
        <v/>
      </c>
      <c r="AG1715" s="28">
        <f>IF(AND(AG1682=1,AG1683&lt;sb_tenor),1/(1+sb_kd)^(AG1683+1),0)</f>
        <v/>
      </c>
      <c r="AH1715" s="28">
        <f>IF(AND(AH1682=1,AH1683&lt;sb_tenor),1/(1+sb_kd)^(AH1683+1),0)</f>
        <v/>
      </c>
      <c r="AI1715" s="28">
        <f>IF(AND(AI1682=1,AI1683&lt;sb_tenor),1/(1+sb_kd)^(AI1683+1),0)</f>
        <v/>
      </c>
      <c r="AJ1715" s="28">
        <f>IF(AND(AJ1682=1,AJ1683&lt;sb_tenor),1/(1+sb_kd)^(AJ1683+1),0)</f>
        <v/>
      </c>
    </row>
    <row r="1716">
      <c r="B1716" s="2" t="inlineStr">
        <is>
          <t>Debt capacity at the sizing cover (PV of CFADS / cover)</t>
        </is>
      </c>
      <c r="C1716" s="5" t="inlineStr">
        <is>
          <t>$ million</t>
        </is>
      </c>
      <c r="D1716" s="23">
        <f>SUMPRODUCT($D$1711:AJ$1711,$D$1715:AJ$1715)/sb_dscr</f>
        <v/>
      </c>
    </row>
    <row r="1717">
      <c r="B1717" s="2" t="inlineStr">
        <is>
          <t>Senior debt (lower of cover sizing and gearing cap)</t>
        </is>
      </c>
      <c r="C1717" s="5" t="inlineStr">
        <is>
          <t>$ million</t>
        </is>
      </c>
      <c r="D1717" s="23">
        <f>MIN($D$1716,sb_gear*$D$1691)</f>
        <v/>
      </c>
    </row>
    <row r="1718">
      <c r="B1718" s="2" t="inlineStr">
        <is>
          <t>Gearing</t>
        </is>
      </c>
      <c r="C1718" s="5" t="inlineStr">
        <is>
          <t>share</t>
        </is>
      </c>
      <c r="D1718" s="20">
        <f>$D$1717/$D$1691</f>
        <v/>
      </c>
    </row>
    <row r="1719">
      <c r="B1719" s="2" t="inlineStr">
        <is>
          <t>Debt service (sculpted)</t>
        </is>
      </c>
      <c r="C1719" s="5" t="inlineStr">
        <is>
          <t>$ million</t>
        </is>
      </c>
      <c r="D1719" s="23">
        <f>IF(D1715&gt;0,D1711/sb_dscr*$D$1717/$D$1716,0)</f>
        <v/>
      </c>
      <c r="E1719" s="23">
        <f>IF(E1715&gt;0,E1711/sb_dscr*$D$1717/$D$1716,0)</f>
        <v/>
      </c>
      <c r="F1719" s="23">
        <f>IF(F1715&gt;0,F1711/sb_dscr*$D$1717/$D$1716,0)</f>
        <v/>
      </c>
      <c r="G1719" s="23">
        <f>IF(G1715&gt;0,G1711/sb_dscr*$D$1717/$D$1716,0)</f>
        <v/>
      </c>
      <c r="H1719" s="23">
        <f>IF(H1715&gt;0,H1711/sb_dscr*$D$1717/$D$1716,0)</f>
        <v/>
      </c>
      <c r="I1719" s="23">
        <f>IF(I1715&gt;0,I1711/sb_dscr*$D$1717/$D$1716,0)</f>
        <v/>
      </c>
      <c r="J1719" s="23">
        <f>IF(J1715&gt;0,J1711/sb_dscr*$D$1717/$D$1716,0)</f>
        <v/>
      </c>
      <c r="K1719" s="23">
        <f>IF(K1715&gt;0,K1711/sb_dscr*$D$1717/$D$1716,0)</f>
        <v/>
      </c>
      <c r="L1719" s="23">
        <f>IF(L1715&gt;0,L1711/sb_dscr*$D$1717/$D$1716,0)</f>
        <v/>
      </c>
      <c r="M1719" s="23">
        <f>IF(M1715&gt;0,M1711/sb_dscr*$D$1717/$D$1716,0)</f>
        <v/>
      </c>
      <c r="N1719" s="23">
        <f>IF(N1715&gt;0,N1711/sb_dscr*$D$1717/$D$1716,0)</f>
        <v/>
      </c>
      <c r="O1719" s="23">
        <f>IF(O1715&gt;0,O1711/sb_dscr*$D$1717/$D$1716,0)</f>
        <v/>
      </c>
      <c r="P1719" s="23">
        <f>IF(P1715&gt;0,P1711/sb_dscr*$D$1717/$D$1716,0)</f>
        <v/>
      </c>
      <c r="Q1719" s="23">
        <f>IF(Q1715&gt;0,Q1711/sb_dscr*$D$1717/$D$1716,0)</f>
        <v/>
      </c>
      <c r="R1719" s="23">
        <f>IF(R1715&gt;0,R1711/sb_dscr*$D$1717/$D$1716,0)</f>
        <v/>
      </c>
      <c r="S1719" s="23">
        <f>IF(S1715&gt;0,S1711/sb_dscr*$D$1717/$D$1716,0)</f>
        <v/>
      </c>
      <c r="T1719" s="23">
        <f>IF(T1715&gt;0,T1711/sb_dscr*$D$1717/$D$1716,0)</f>
        <v/>
      </c>
      <c r="U1719" s="23">
        <f>IF(U1715&gt;0,U1711/sb_dscr*$D$1717/$D$1716,0)</f>
        <v/>
      </c>
      <c r="V1719" s="23">
        <f>IF(V1715&gt;0,V1711/sb_dscr*$D$1717/$D$1716,0)</f>
        <v/>
      </c>
      <c r="W1719" s="23">
        <f>IF(W1715&gt;0,W1711/sb_dscr*$D$1717/$D$1716,0)</f>
        <v/>
      </c>
      <c r="X1719" s="23">
        <f>IF(X1715&gt;0,X1711/sb_dscr*$D$1717/$D$1716,0)</f>
        <v/>
      </c>
      <c r="Y1719" s="23">
        <f>IF(Y1715&gt;0,Y1711/sb_dscr*$D$1717/$D$1716,0)</f>
        <v/>
      </c>
      <c r="Z1719" s="23">
        <f>IF(Z1715&gt;0,Z1711/sb_dscr*$D$1717/$D$1716,0)</f>
        <v/>
      </c>
      <c r="AA1719" s="23">
        <f>IF(AA1715&gt;0,AA1711/sb_dscr*$D$1717/$D$1716,0)</f>
        <v/>
      </c>
      <c r="AB1719" s="23">
        <f>IF(AB1715&gt;0,AB1711/sb_dscr*$D$1717/$D$1716,0)</f>
        <v/>
      </c>
      <c r="AC1719" s="23">
        <f>IF(AC1715&gt;0,AC1711/sb_dscr*$D$1717/$D$1716,0)</f>
        <v/>
      </c>
      <c r="AD1719" s="23">
        <f>IF(AD1715&gt;0,AD1711/sb_dscr*$D$1717/$D$1716,0)</f>
        <v/>
      </c>
      <c r="AE1719" s="23">
        <f>IF(AE1715&gt;0,AE1711/sb_dscr*$D$1717/$D$1716,0)</f>
        <v/>
      </c>
      <c r="AF1719" s="23">
        <f>IF(AF1715&gt;0,AF1711/sb_dscr*$D$1717/$D$1716,0)</f>
        <v/>
      </c>
      <c r="AG1719" s="23">
        <f>IF(AG1715&gt;0,AG1711/sb_dscr*$D$1717/$D$1716,0)</f>
        <v/>
      </c>
      <c r="AH1719" s="23">
        <f>IF(AH1715&gt;0,AH1711/sb_dscr*$D$1717/$D$1716,0)</f>
        <v/>
      </c>
      <c r="AI1719" s="23">
        <f>IF(AI1715&gt;0,AI1711/sb_dscr*$D$1717/$D$1716,0)</f>
        <v/>
      </c>
      <c r="AJ1719" s="23">
        <f>IF(AJ1715&gt;0,AJ1711/sb_dscr*$D$1717/$D$1716,0)</f>
        <v/>
      </c>
    </row>
    <row r="1720">
      <c r="B1720" s="2" t="inlineStr">
        <is>
          <t>Debt service cover</t>
        </is>
      </c>
      <c r="C1720" s="5" t="inlineStr">
        <is>
          <t>x</t>
        </is>
      </c>
      <c r="D1720" s="30">
        <f>IF(D1719&gt;0,D1711/D1719,"")</f>
        <v/>
      </c>
      <c r="E1720" s="30">
        <f>IF(E1719&gt;0,E1711/E1719,"")</f>
        <v/>
      </c>
      <c r="F1720" s="30">
        <f>IF(F1719&gt;0,F1711/F1719,"")</f>
        <v/>
      </c>
      <c r="G1720" s="30">
        <f>IF(G1719&gt;0,G1711/G1719,"")</f>
        <v/>
      </c>
      <c r="H1720" s="30">
        <f>IF(H1719&gt;0,H1711/H1719,"")</f>
        <v/>
      </c>
      <c r="I1720" s="30">
        <f>IF(I1719&gt;0,I1711/I1719,"")</f>
        <v/>
      </c>
      <c r="J1720" s="30">
        <f>IF(J1719&gt;0,J1711/J1719,"")</f>
        <v/>
      </c>
      <c r="K1720" s="30">
        <f>IF(K1719&gt;0,K1711/K1719,"")</f>
        <v/>
      </c>
      <c r="L1720" s="30">
        <f>IF(L1719&gt;0,L1711/L1719,"")</f>
        <v/>
      </c>
      <c r="M1720" s="30">
        <f>IF(M1719&gt;0,M1711/M1719,"")</f>
        <v/>
      </c>
      <c r="N1720" s="30">
        <f>IF(N1719&gt;0,N1711/N1719,"")</f>
        <v/>
      </c>
      <c r="O1720" s="30">
        <f>IF(O1719&gt;0,O1711/O1719,"")</f>
        <v/>
      </c>
      <c r="P1720" s="30">
        <f>IF(P1719&gt;0,P1711/P1719,"")</f>
        <v/>
      </c>
      <c r="Q1720" s="30">
        <f>IF(Q1719&gt;0,Q1711/Q1719,"")</f>
        <v/>
      </c>
      <c r="R1720" s="30">
        <f>IF(R1719&gt;0,R1711/R1719,"")</f>
        <v/>
      </c>
      <c r="S1720" s="30">
        <f>IF(S1719&gt;0,S1711/S1719,"")</f>
        <v/>
      </c>
      <c r="T1720" s="30">
        <f>IF(T1719&gt;0,T1711/T1719,"")</f>
        <v/>
      </c>
      <c r="U1720" s="30">
        <f>IF(U1719&gt;0,U1711/U1719,"")</f>
        <v/>
      </c>
      <c r="V1720" s="30">
        <f>IF(V1719&gt;0,V1711/V1719,"")</f>
        <v/>
      </c>
      <c r="W1720" s="30">
        <f>IF(W1719&gt;0,W1711/W1719,"")</f>
        <v/>
      </c>
      <c r="X1720" s="30">
        <f>IF(X1719&gt;0,X1711/X1719,"")</f>
        <v/>
      </c>
      <c r="Y1720" s="30">
        <f>IF(Y1719&gt;0,Y1711/Y1719,"")</f>
        <v/>
      </c>
      <c r="Z1720" s="30">
        <f>IF(Z1719&gt;0,Z1711/Z1719,"")</f>
        <v/>
      </c>
      <c r="AA1720" s="30">
        <f>IF(AA1719&gt;0,AA1711/AA1719,"")</f>
        <v/>
      </c>
      <c r="AB1720" s="30">
        <f>IF(AB1719&gt;0,AB1711/AB1719,"")</f>
        <v/>
      </c>
      <c r="AC1720" s="30">
        <f>IF(AC1719&gt;0,AC1711/AC1719,"")</f>
        <v/>
      </c>
      <c r="AD1720" s="30">
        <f>IF(AD1719&gt;0,AD1711/AD1719,"")</f>
        <v/>
      </c>
      <c r="AE1720" s="30">
        <f>IF(AE1719&gt;0,AE1711/AE1719,"")</f>
        <v/>
      </c>
      <c r="AF1720" s="30">
        <f>IF(AF1719&gt;0,AF1711/AF1719,"")</f>
        <v/>
      </c>
      <c r="AG1720" s="30">
        <f>IF(AG1719&gt;0,AG1711/AG1719,"")</f>
        <v/>
      </c>
      <c r="AH1720" s="30">
        <f>IF(AH1719&gt;0,AH1711/AH1719,"")</f>
        <v/>
      </c>
      <c r="AI1720" s="30">
        <f>IF(AI1719&gt;0,AI1711/AI1719,"")</f>
        <v/>
      </c>
      <c r="AJ1720" s="30">
        <f>IF(AJ1719&gt;0,AJ1711/AJ1719,"")</f>
        <v/>
      </c>
    </row>
    <row r="1721">
      <c r="B1721" s="3" t="inlineStr">
        <is>
          <t>Project flows (unlevered, pre-tax)</t>
        </is>
      </c>
      <c r="C1721" s="5" t="inlineStr">
        <is>
          <t>$ million</t>
        </is>
      </c>
      <c r="D1721" s="23">
        <f>D1714+D1711</f>
        <v/>
      </c>
      <c r="E1721" s="23">
        <f>E1714+E1711</f>
        <v/>
      </c>
      <c r="F1721" s="23">
        <f>F1714+F1711</f>
        <v/>
      </c>
      <c r="G1721" s="23">
        <f>G1714+G1711</f>
        <v/>
      </c>
      <c r="H1721" s="23">
        <f>H1714+H1711</f>
        <v/>
      </c>
      <c r="I1721" s="23">
        <f>I1714+I1711</f>
        <v/>
      </c>
      <c r="J1721" s="23">
        <f>J1714+J1711</f>
        <v/>
      </c>
      <c r="K1721" s="23">
        <f>K1714+K1711</f>
        <v/>
      </c>
      <c r="L1721" s="23">
        <f>L1714+L1711</f>
        <v/>
      </c>
      <c r="M1721" s="23">
        <f>M1714+M1711</f>
        <v/>
      </c>
      <c r="N1721" s="23">
        <f>N1714+N1711</f>
        <v/>
      </c>
      <c r="O1721" s="23">
        <f>O1714+O1711</f>
        <v/>
      </c>
      <c r="P1721" s="23">
        <f>P1714+P1711</f>
        <v/>
      </c>
      <c r="Q1721" s="23">
        <f>Q1714+Q1711</f>
        <v/>
      </c>
      <c r="R1721" s="23">
        <f>R1714+R1711</f>
        <v/>
      </c>
      <c r="S1721" s="23">
        <f>S1714+S1711</f>
        <v/>
      </c>
      <c r="T1721" s="23">
        <f>T1714+T1711</f>
        <v/>
      </c>
      <c r="U1721" s="23">
        <f>U1714+U1711</f>
        <v/>
      </c>
      <c r="V1721" s="23">
        <f>V1714+V1711</f>
        <v/>
      </c>
      <c r="W1721" s="23">
        <f>W1714+W1711</f>
        <v/>
      </c>
      <c r="X1721" s="23">
        <f>X1714+X1711</f>
        <v/>
      </c>
      <c r="Y1721" s="23">
        <f>Y1714+Y1711</f>
        <v/>
      </c>
      <c r="Z1721" s="23">
        <f>Z1714+Z1711</f>
        <v/>
      </c>
      <c r="AA1721" s="23">
        <f>AA1714+AA1711</f>
        <v/>
      </c>
      <c r="AB1721" s="23">
        <f>AB1714+AB1711</f>
        <v/>
      </c>
      <c r="AC1721" s="23">
        <f>AC1714+AC1711</f>
        <v/>
      </c>
      <c r="AD1721" s="23">
        <f>AD1714+AD1711</f>
        <v/>
      </c>
      <c r="AE1721" s="23">
        <f>AE1714+AE1711</f>
        <v/>
      </c>
      <c r="AF1721" s="23">
        <f>AF1714+AF1711</f>
        <v/>
      </c>
      <c r="AG1721" s="23">
        <f>AG1714+AG1711</f>
        <v/>
      </c>
      <c r="AH1721" s="23">
        <f>AH1714+AH1711</f>
        <v/>
      </c>
      <c r="AI1721" s="23">
        <f>AI1714+AI1711</f>
        <v/>
      </c>
      <c r="AJ1721" s="23">
        <f>AJ1714+AJ1711</f>
        <v/>
      </c>
    </row>
    <row r="1722">
      <c r="B1722" s="3" t="inlineStr">
        <is>
          <t>Equity flows (pre-tax)</t>
        </is>
      </c>
      <c r="C1722" s="5" t="inlineStr">
        <is>
          <t>$ million</t>
        </is>
      </c>
      <c r="D1722" s="23">
        <f>D1714*(1-$D$1718)+D1711-D1719</f>
        <v/>
      </c>
      <c r="E1722" s="23">
        <f>E1714*(1-$D$1718)+E1711-E1719</f>
        <v/>
      </c>
      <c r="F1722" s="23">
        <f>F1714*(1-$D$1718)+F1711-F1719</f>
        <v/>
      </c>
      <c r="G1722" s="23">
        <f>G1714*(1-$D$1718)+G1711-G1719</f>
        <v/>
      </c>
      <c r="H1722" s="23">
        <f>H1714*(1-$D$1718)+H1711-H1719</f>
        <v/>
      </c>
      <c r="I1722" s="23">
        <f>I1714*(1-$D$1718)+I1711-I1719</f>
        <v/>
      </c>
      <c r="J1722" s="23">
        <f>J1714*(1-$D$1718)+J1711-J1719</f>
        <v/>
      </c>
      <c r="K1722" s="23">
        <f>K1714*(1-$D$1718)+K1711-K1719</f>
        <v/>
      </c>
      <c r="L1722" s="23">
        <f>L1714*(1-$D$1718)+L1711-L1719</f>
        <v/>
      </c>
      <c r="M1722" s="23">
        <f>M1714*(1-$D$1718)+M1711-M1719</f>
        <v/>
      </c>
      <c r="N1722" s="23">
        <f>N1714*(1-$D$1718)+N1711-N1719</f>
        <v/>
      </c>
      <c r="O1722" s="23">
        <f>O1714*(1-$D$1718)+O1711-O1719</f>
        <v/>
      </c>
      <c r="P1722" s="23">
        <f>P1714*(1-$D$1718)+P1711-P1719</f>
        <v/>
      </c>
      <c r="Q1722" s="23">
        <f>Q1714*(1-$D$1718)+Q1711-Q1719</f>
        <v/>
      </c>
      <c r="R1722" s="23">
        <f>R1714*(1-$D$1718)+R1711-R1719</f>
        <v/>
      </c>
      <c r="S1722" s="23">
        <f>S1714*(1-$D$1718)+S1711-S1719</f>
        <v/>
      </c>
      <c r="T1722" s="23">
        <f>T1714*(1-$D$1718)+T1711-T1719</f>
        <v/>
      </c>
      <c r="U1722" s="23">
        <f>U1714*(1-$D$1718)+U1711-U1719</f>
        <v/>
      </c>
      <c r="V1722" s="23">
        <f>V1714*(1-$D$1718)+V1711-V1719</f>
        <v/>
      </c>
      <c r="W1722" s="23">
        <f>W1714*(1-$D$1718)+W1711-W1719</f>
        <v/>
      </c>
      <c r="X1722" s="23">
        <f>X1714*(1-$D$1718)+X1711-X1719</f>
        <v/>
      </c>
      <c r="Y1722" s="23">
        <f>Y1714*(1-$D$1718)+Y1711-Y1719</f>
        <v/>
      </c>
      <c r="Z1722" s="23">
        <f>Z1714*(1-$D$1718)+Z1711-Z1719</f>
        <v/>
      </c>
      <c r="AA1722" s="23">
        <f>AA1714*(1-$D$1718)+AA1711-AA1719</f>
        <v/>
      </c>
      <c r="AB1722" s="23">
        <f>AB1714*(1-$D$1718)+AB1711-AB1719</f>
        <v/>
      </c>
      <c r="AC1722" s="23">
        <f>AC1714*(1-$D$1718)+AC1711-AC1719</f>
        <v/>
      </c>
      <c r="AD1722" s="23">
        <f>AD1714*(1-$D$1718)+AD1711-AD1719</f>
        <v/>
      </c>
      <c r="AE1722" s="23">
        <f>AE1714*(1-$D$1718)+AE1711-AE1719</f>
        <v/>
      </c>
      <c r="AF1722" s="23">
        <f>AF1714*(1-$D$1718)+AF1711-AF1719</f>
        <v/>
      </c>
      <c r="AG1722" s="23">
        <f>AG1714*(1-$D$1718)+AG1711-AG1719</f>
        <v/>
      </c>
      <c r="AH1722" s="23">
        <f>AH1714*(1-$D$1718)+AH1711-AH1719</f>
        <v/>
      </c>
      <c r="AI1722" s="23">
        <f>AI1714*(1-$D$1718)+AI1711-AI1719</f>
        <v/>
      </c>
      <c r="AJ1722" s="23">
        <f>AJ1714*(1-$D$1718)+AJ1711-AJ1719</f>
        <v/>
      </c>
    </row>
    <row r="1723">
      <c r="B1723" s="2" t="inlineStr">
        <is>
          <t>Project IRR</t>
        </is>
      </c>
      <c r="C1723" s="5" t="inlineStr">
        <is>
          <t>rate</t>
        </is>
      </c>
      <c r="D1723" s="27">
        <f>IRR($D$1721:AJ$1721,0.07)</f>
        <v/>
      </c>
    </row>
    <row r="1724">
      <c r="B1724" s="2" t="inlineStr">
        <is>
          <t>Equity IRR</t>
        </is>
      </c>
      <c r="C1724" s="5" t="inlineStr">
        <is>
          <t>rate</t>
        </is>
      </c>
      <c r="D1724" s="27">
        <f>IRR($D$1722:AJ$1722,0.1)</f>
        <v/>
      </c>
    </row>
    <row r="1725">
      <c r="B1725" s="2" t="inlineStr">
        <is>
          <t>Equity invested</t>
        </is>
      </c>
      <c r="C1725" s="5" t="inlineStr">
        <is>
          <t>$ million</t>
        </is>
      </c>
      <c r="D1725" s="23">
        <f>-SUMPRODUCT($D$1714:AJ$1714)*(1-$D$1718)</f>
        <v/>
      </c>
    </row>
    <row r="1728">
      <c r="B1728" s="6" t="inlineStr">
        <is>
          <t>C6: Energy use 3.9 kWh per m3 instead of 3.6 (Sorrel Bay, pre-tax, at the bid capacity charge)</t>
        </is>
      </c>
      <c r="C1728" s="7" t="n"/>
      <c r="D1728" s="7" t="n"/>
      <c r="E1728" s="7" t="n"/>
      <c r="F1728" s="7" t="n"/>
      <c r="G1728" s="7" t="n"/>
      <c r="H1728" s="7" t="n"/>
      <c r="I1728" s="7" t="n"/>
      <c r="J1728" s="7" t="n"/>
      <c r="K1728" s="7" t="n"/>
      <c r="L1728" s="7" t="n"/>
      <c r="M1728" s="7" t="n"/>
      <c r="N1728" s="7" t="n"/>
      <c r="O1728" s="7" t="n"/>
      <c r="P1728" s="7" t="n"/>
      <c r="Q1728" s="7" t="n"/>
      <c r="R1728" s="7" t="n"/>
      <c r="S1728" s="7" t="n"/>
      <c r="T1728" s="7" t="n"/>
      <c r="U1728" s="7" t="n"/>
      <c r="V1728" s="7" t="n"/>
      <c r="W1728" s="7" t="n"/>
      <c r="X1728" s="7" t="n"/>
      <c r="Y1728" s="7" t="n"/>
      <c r="Z1728" s="7" t="n"/>
      <c r="AA1728" s="7" t="n"/>
      <c r="AB1728" s="7" t="n"/>
      <c r="AC1728" s="7" t="n"/>
      <c r="AD1728" s="7" t="n"/>
      <c r="AE1728" s="7" t="n"/>
      <c r="AF1728" s="7" t="n"/>
      <c r="AG1728" s="7" t="n"/>
      <c r="AH1728" s="7" t="n"/>
      <c r="AI1728" s="7" t="n"/>
      <c r="AJ1728" s="7" t="n"/>
    </row>
    <row r="1729">
      <c r="B1729" s="2" t="inlineStr">
        <is>
          <t>Year (31 December)</t>
        </is>
      </c>
      <c r="D1729" s="26">
        <f>sb_start</f>
        <v/>
      </c>
      <c r="E1729" s="26">
        <f>D1729+1</f>
        <v/>
      </c>
      <c r="F1729" s="26">
        <f>E1729+1</f>
        <v/>
      </c>
      <c r="G1729" s="26">
        <f>F1729+1</f>
        <v/>
      </c>
      <c r="H1729" s="26">
        <f>G1729+1</f>
        <v/>
      </c>
      <c r="I1729" s="26">
        <f>H1729+1</f>
        <v/>
      </c>
      <c r="J1729" s="26">
        <f>I1729+1</f>
        <v/>
      </c>
      <c r="K1729" s="26">
        <f>J1729+1</f>
        <v/>
      </c>
      <c r="L1729" s="26">
        <f>K1729+1</f>
        <v/>
      </c>
      <c r="M1729" s="26">
        <f>L1729+1</f>
        <v/>
      </c>
      <c r="N1729" s="26">
        <f>M1729+1</f>
        <v/>
      </c>
      <c r="O1729" s="26">
        <f>N1729+1</f>
        <v/>
      </c>
      <c r="P1729" s="26">
        <f>O1729+1</f>
        <v/>
      </c>
      <c r="Q1729" s="26">
        <f>P1729+1</f>
        <v/>
      </c>
      <c r="R1729" s="26">
        <f>Q1729+1</f>
        <v/>
      </c>
      <c r="S1729" s="26">
        <f>R1729+1</f>
        <v/>
      </c>
      <c r="T1729" s="26">
        <f>S1729+1</f>
        <v/>
      </c>
      <c r="U1729" s="26">
        <f>T1729+1</f>
        <v/>
      </c>
      <c r="V1729" s="26">
        <f>U1729+1</f>
        <v/>
      </c>
      <c r="W1729" s="26">
        <f>V1729+1</f>
        <v/>
      </c>
      <c r="X1729" s="26">
        <f>W1729+1</f>
        <v/>
      </c>
      <c r="Y1729" s="26">
        <f>X1729+1</f>
        <v/>
      </c>
      <c r="Z1729" s="26">
        <f>Y1729+1</f>
        <v/>
      </c>
      <c r="AA1729" s="26">
        <f>Z1729+1</f>
        <v/>
      </c>
      <c r="AB1729" s="26">
        <f>AA1729+1</f>
        <v/>
      </c>
      <c r="AC1729" s="26">
        <f>AB1729+1</f>
        <v/>
      </c>
      <c r="AD1729" s="26">
        <f>AC1729+1</f>
        <v/>
      </c>
      <c r="AE1729" s="26">
        <f>AD1729+1</f>
        <v/>
      </c>
      <c r="AF1729" s="26">
        <f>AE1729+1</f>
        <v/>
      </c>
      <c r="AG1729" s="26">
        <f>AF1729+1</f>
        <v/>
      </c>
      <c r="AH1729" s="26">
        <f>AG1729+1</f>
        <v/>
      </c>
      <c r="AI1729" s="26">
        <f>AH1729+1</f>
        <v/>
      </c>
      <c r="AJ1729" s="26">
        <f>AI1729+1</f>
        <v/>
      </c>
    </row>
    <row r="1730">
      <c r="B1730" s="2" t="inlineStr">
        <is>
          <t>Operating year (1 = yes)</t>
        </is>
      </c>
      <c r="D1730" s="26">
        <f>IF(AND(D1729&gt;=sb_cod,D1729&lt;sb_cod+sb_term),1,0)</f>
        <v/>
      </c>
      <c r="E1730" s="26">
        <f>IF(AND(E1729&gt;=sb_cod,E1729&lt;sb_cod+sb_term),1,0)</f>
        <v/>
      </c>
      <c r="F1730" s="26">
        <f>IF(AND(F1729&gt;=sb_cod,F1729&lt;sb_cod+sb_term),1,0)</f>
        <v/>
      </c>
      <c r="G1730" s="26">
        <f>IF(AND(G1729&gt;=sb_cod,G1729&lt;sb_cod+sb_term),1,0)</f>
        <v/>
      </c>
      <c r="H1730" s="26">
        <f>IF(AND(H1729&gt;=sb_cod,H1729&lt;sb_cod+sb_term),1,0)</f>
        <v/>
      </c>
      <c r="I1730" s="26">
        <f>IF(AND(I1729&gt;=sb_cod,I1729&lt;sb_cod+sb_term),1,0)</f>
        <v/>
      </c>
      <c r="J1730" s="26">
        <f>IF(AND(J1729&gt;=sb_cod,J1729&lt;sb_cod+sb_term),1,0)</f>
        <v/>
      </c>
      <c r="K1730" s="26">
        <f>IF(AND(K1729&gt;=sb_cod,K1729&lt;sb_cod+sb_term),1,0)</f>
        <v/>
      </c>
      <c r="L1730" s="26">
        <f>IF(AND(L1729&gt;=sb_cod,L1729&lt;sb_cod+sb_term),1,0)</f>
        <v/>
      </c>
      <c r="M1730" s="26">
        <f>IF(AND(M1729&gt;=sb_cod,M1729&lt;sb_cod+sb_term),1,0)</f>
        <v/>
      </c>
      <c r="N1730" s="26">
        <f>IF(AND(N1729&gt;=sb_cod,N1729&lt;sb_cod+sb_term),1,0)</f>
        <v/>
      </c>
      <c r="O1730" s="26">
        <f>IF(AND(O1729&gt;=sb_cod,O1729&lt;sb_cod+sb_term),1,0)</f>
        <v/>
      </c>
      <c r="P1730" s="26">
        <f>IF(AND(P1729&gt;=sb_cod,P1729&lt;sb_cod+sb_term),1,0)</f>
        <v/>
      </c>
      <c r="Q1730" s="26">
        <f>IF(AND(Q1729&gt;=sb_cod,Q1729&lt;sb_cod+sb_term),1,0)</f>
        <v/>
      </c>
      <c r="R1730" s="26">
        <f>IF(AND(R1729&gt;=sb_cod,R1729&lt;sb_cod+sb_term),1,0)</f>
        <v/>
      </c>
      <c r="S1730" s="26">
        <f>IF(AND(S1729&gt;=sb_cod,S1729&lt;sb_cod+sb_term),1,0)</f>
        <v/>
      </c>
      <c r="T1730" s="26">
        <f>IF(AND(T1729&gt;=sb_cod,T1729&lt;sb_cod+sb_term),1,0)</f>
        <v/>
      </c>
      <c r="U1730" s="26">
        <f>IF(AND(U1729&gt;=sb_cod,U1729&lt;sb_cod+sb_term),1,0)</f>
        <v/>
      </c>
      <c r="V1730" s="26">
        <f>IF(AND(V1729&gt;=sb_cod,V1729&lt;sb_cod+sb_term),1,0)</f>
        <v/>
      </c>
      <c r="W1730" s="26">
        <f>IF(AND(W1729&gt;=sb_cod,W1729&lt;sb_cod+sb_term),1,0)</f>
        <v/>
      </c>
      <c r="X1730" s="26">
        <f>IF(AND(X1729&gt;=sb_cod,X1729&lt;sb_cod+sb_term),1,0)</f>
        <v/>
      </c>
      <c r="Y1730" s="26">
        <f>IF(AND(Y1729&gt;=sb_cod,Y1729&lt;sb_cod+sb_term),1,0)</f>
        <v/>
      </c>
      <c r="Z1730" s="26">
        <f>IF(AND(Z1729&gt;=sb_cod,Z1729&lt;sb_cod+sb_term),1,0)</f>
        <v/>
      </c>
      <c r="AA1730" s="26">
        <f>IF(AND(AA1729&gt;=sb_cod,AA1729&lt;sb_cod+sb_term),1,0)</f>
        <v/>
      </c>
      <c r="AB1730" s="26">
        <f>IF(AND(AB1729&gt;=sb_cod,AB1729&lt;sb_cod+sb_term),1,0)</f>
        <v/>
      </c>
      <c r="AC1730" s="26">
        <f>IF(AND(AC1729&gt;=sb_cod,AC1729&lt;sb_cod+sb_term),1,0)</f>
        <v/>
      </c>
      <c r="AD1730" s="26">
        <f>IF(AND(AD1729&gt;=sb_cod,AD1729&lt;sb_cod+sb_term),1,0)</f>
        <v/>
      </c>
      <c r="AE1730" s="26">
        <f>IF(AND(AE1729&gt;=sb_cod,AE1729&lt;sb_cod+sb_term),1,0)</f>
        <v/>
      </c>
      <c r="AF1730" s="26">
        <f>IF(AND(AF1729&gt;=sb_cod,AF1729&lt;sb_cod+sb_term),1,0)</f>
        <v/>
      </c>
      <c r="AG1730" s="26">
        <f>IF(AND(AG1729&gt;=sb_cod,AG1729&lt;sb_cod+sb_term),1,0)</f>
        <v/>
      </c>
      <c r="AH1730" s="26">
        <f>IF(AND(AH1729&gt;=sb_cod,AH1729&lt;sb_cod+sb_term),1,0)</f>
        <v/>
      </c>
      <c r="AI1730" s="26">
        <f>IF(AND(AI1729&gt;=sb_cod,AI1729&lt;sb_cod+sb_term),1,0)</f>
        <v/>
      </c>
      <c r="AJ1730" s="26">
        <f>IF(AND(AJ1729&gt;=sb_cod,AJ1729&lt;sb_cod+sb_term),1,0)</f>
        <v/>
      </c>
    </row>
    <row r="1731">
      <c r="B1731" s="2" t="inlineStr">
        <is>
          <t>Years since operation began</t>
        </is>
      </c>
      <c r="D1731" s="26">
        <f>D1729-sb_cod</f>
        <v/>
      </c>
      <c r="E1731" s="26">
        <f>E1729-sb_cod</f>
        <v/>
      </c>
      <c r="F1731" s="26">
        <f>F1729-sb_cod</f>
        <v/>
      </c>
      <c r="G1731" s="26">
        <f>G1729-sb_cod</f>
        <v/>
      </c>
      <c r="H1731" s="26">
        <f>H1729-sb_cod</f>
        <v/>
      </c>
      <c r="I1731" s="26">
        <f>I1729-sb_cod</f>
        <v/>
      </c>
      <c r="J1731" s="26">
        <f>J1729-sb_cod</f>
        <v/>
      </c>
      <c r="K1731" s="26">
        <f>K1729-sb_cod</f>
        <v/>
      </c>
      <c r="L1731" s="26">
        <f>L1729-sb_cod</f>
        <v/>
      </c>
      <c r="M1731" s="26">
        <f>M1729-sb_cod</f>
        <v/>
      </c>
      <c r="N1731" s="26">
        <f>N1729-sb_cod</f>
        <v/>
      </c>
      <c r="O1731" s="26">
        <f>O1729-sb_cod</f>
        <v/>
      </c>
      <c r="P1731" s="26">
        <f>P1729-sb_cod</f>
        <v/>
      </c>
      <c r="Q1731" s="26">
        <f>Q1729-sb_cod</f>
        <v/>
      </c>
      <c r="R1731" s="26">
        <f>R1729-sb_cod</f>
        <v/>
      </c>
      <c r="S1731" s="26">
        <f>S1729-sb_cod</f>
        <v/>
      </c>
      <c r="T1731" s="26">
        <f>T1729-sb_cod</f>
        <v/>
      </c>
      <c r="U1731" s="26">
        <f>U1729-sb_cod</f>
        <v/>
      </c>
      <c r="V1731" s="26">
        <f>V1729-sb_cod</f>
        <v/>
      </c>
      <c r="W1731" s="26">
        <f>W1729-sb_cod</f>
        <v/>
      </c>
      <c r="X1731" s="26">
        <f>X1729-sb_cod</f>
        <v/>
      </c>
      <c r="Y1731" s="26">
        <f>Y1729-sb_cod</f>
        <v/>
      </c>
      <c r="Z1731" s="26">
        <f>Z1729-sb_cod</f>
        <v/>
      </c>
      <c r="AA1731" s="26">
        <f>AA1729-sb_cod</f>
        <v/>
      </c>
      <c r="AB1731" s="26">
        <f>AB1729-sb_cod</f>
        <v/>
      </c>
      <c r="AC1731" s="26">
        <f>AC1729-sb_cod</f>
        <v/>
      </c>
      <c r="AD1731" s="26">
        <f>AD1729-sb_cod</f>
        <v/>
      </c>
      <c r="AE1731" s="26">
        <f>AE1729-sb_cod</f>
        <v/>
      </c>
      <c r="AF1731" s="26">
        <f>AF1729-sb_cod</f>
        <v/>
      </c>
      <c r="AG1731" s="26">
        <f>AG1729-sb_cod</f>
        <v/>
      </c>
      <c r="AH1731" s="26">
        <f>AH1729-sb_cod</f>
        <v/>
      </c>
      <c r="AI1731" s="26">
        <f>AI1729-sb_cod</f>
        <v/>
      </c>
      <c r="AJ1731" s="26">
        <f>AJ1729-sb_cod</f>
        <v/>
      </c>
    </row>
    <row r="1732">
      <c r="B1732" s="2" t="inlineStr">
        <is>
          <t>Indexation factor</t>
        </is>
      </c>
      <c r="D1732" s="28">
        <f>(1+sb_cpi)^D1731</f>
        <v/>
      </c>
      <c r="E1732" s="28">
        <f>(1+sb_cpi)^E1731</f>
        <v/>
      </c>
      <c r="F1732" s="28">
        <f>(1+sb_cpi)^F1731</f>
        <v/>
      </c>
      <c r="G1732" s="28">
        <f>(1+sb_cpi)^G1731</f>
        <v/>
      </c>
      <c r="H1732" s="28">
        <f>(1+sb_cpi)^H1731</f>
        <v/>
      </c>
      <c r="I1732" s="28">
        <f>(1+sb_cpi)^I1731</f>
        <v/>
      </c>
      <c r="J1732" s="28">
        <f>(1+sb_cpi)^J1731</f>
        <v/>
      </c>
      <c r="K1732" s="28">
        <f>(1+sb_cpi)^K1731</f>
        <v/>
      </c>
      <c r="L1732" s="28">
        <f>(1+sb_cpi)^L1731</f>
        <v/>
      </c>
      <c r="M1732" s="28">
        <f>(1+sb_cpi)^M1731</f>
        <v/>
      </c>
      <c r="N1732" s="28">
        <f>(1+sb_cpi)^N1731</f>
        <v/>
      </c>
      <c r="O1732" s="28">
        <f>(1+sb_cpi)^O1731</f>
        <v/>
      </c>
      <c r="P1732" s="28">
        <f>(1+sb_cpi)^P1731</f>
        <v/>
      </c>
      <c r="Q1732" s="28">
        <f>(1+sb_cpi)^Q1731</f>
        <v/>
      </c>
      <c r="R1732" s="28">
        <f>(1+sb_cpi)^R1731</f>
        <v/>
      </c>
      <c r="S1732" s="28">
        <f>(1+sb_cpi)^S1731</f>
        <v/>
      </c>
      <c r="T1732" s="28">
        <f>(1+sb_cpi)^T1731</f>
        <v/>
      </c>
      <c r="U1732" s="28">
        <f>(1+sb_cpi)^U1731</f>
        <v/>
      </c>
      <c r="V1732" s="28">
        <f>(1+sb_cpi)^V1731</f>
        <v/>
      </c>
      <c r="W1732" s="28">
        <f>(1+sb_cpi)^W1731</f>
        <v/>
      </c>
      <c r="X1732" s="28">
        <f>(1+sb_cpi)^X1731</f>
        <v/>
      </c>
      <c r="Y1732" s="28">
        <f>(1+sb_cpi)^Y1731</f>
        <v/>
      </c>
      <c r="Z1732" s="28">
        <f>(1+sb_cpi)^Z1731</f>
        <v/>
      </c>
      <c r="AA1732" s="28">
        <f>(1+sb_cpi)^AA1731</f>
        <v/>
      </c>
      <c r="AB1732" s="28">
        <f>(1+sb_cpi)^AB1731</f>
        <v/>
      </c>
      <c r="AC1732" s="28">
        <f>(1+sb_cpi)^AC1731</f>
        <v/>
      </c>
      <c r="AD1732" s="28">
        <f>(1+sb_cpi)^AD1731</f>
        <v/>
      </c>
      <c r="AE1732" s="28">
        <f>(1+sb_cpi)^AE1731</f>
        <v/>
      </c>
      <c r="AF1732" s="28">
        <f>(1+sb_cpi)^AF1731</f>
        <v/>
      </c>
      <c r="AG1732" s="28">
        <f>(1+sb_cpi)^AG1731</f>
        <v/>
      </c>
      <c r="AH1732" s="28">
        <f>(1+sb_cpi)^AH1731</f>
        <v/>
      </c>
      <c r="AI1732" s="28">
        <f>(1+sb_cpi)^AI1731</f>
        <v/>
      </c>
      <c r="AJ1732" s="28">
        <f>(1+sb_cpi)^AJ1731</f>
        <v/>
      </c>
    </row>
    <row r="1734">
      <c r="B1734" s="6" t="inlineStr">
        <is>
          <t>Plant scalars</t>
        </is>
      </c>
      <c r="C1734" s="7" t="n"/>
      <c r="D1734" s="7" t="n"/>
      <c r="E1734" s="7" t="n"/>
      <c r="F1734" s="7" t="n"/>
      <c r="G1734" s="7" t="n"/>
      <c r="H1734" s="7" t="n"/>
      <c r="I1734" s="7" t="n"/>
      <c r="J1734" s="7" t="n"/>
      <c r="K1734" s="7" t="n"/>
      <c r="L1734" s="7" t="n"/>
      <c r="M1734" s="7" t="n"/>
      <c r="N1734" s="7" t="n"/>
      <c r="O1734" s="7" t="n"/>
      <c r="P1734" s="7" t="n"/>
      <c r="Q1734" s="7" t="n"/>
      <c r="R1734" s="7" t="n"/>
      <c r="S1734" s="7" t="n"/>
      <c r="T1734" s="7" t="n"/>
      <c r="U1734" s="7" t="n"/>
      <c r="V1734" s="7" t="n"/>
      <c r="W1734" s="7" t="n"/>
      <c r="X1734" s="7" t="n"/>
      <c r="Y1734" s="7" t="n"/>
      <c r="Z1734" s="7" t="n"/>
      <c r="AA1734" s="7" t="n"/>
      <c r="AB1734" s="7" t="n"/>
      <c r="AC1734" s="7" t="n"/>
      <c r="AD1734" s="7" t="n"/>
      <c r="AE1734" s="7" t="n"/>
      <c r="AF1734" s="7" t="n"/>
      <c r="AG1734" s="7" t="n"/>
      <c r="AH1734" s="7" t="n"/>
      <c r="AI1734" s="7" t="n"/>
      <c r="AJ1734" s="7" t="n"/>
    </row>
    <row r="1735">
      <c r="B1735" s="2" t="inlineStr">
        <is>
          <t>Payment factor at expected availability</t>
        </is>
      </c>
      <c r="D1735" s="28">
        <f>IF(sb_avail&gt;=sb_guar,MIN(1,sb_avail/sb_guar),sb_avail/sb_guar-(sb_guar-sb_avail)/sb_guar)</f>
        <v/>
      </c>
    </row>
    <row r="1736">
      <c r="B1736" s="2" t="inlineStr">
        <is>
          <t>Paid capacity a year (m3)</t>
        </is>
      </c>
      <c r="C1736" s="5" t="inlineStr">
        <is>
          <t>m3</t>
        </is>
      </c>
      <c r="D1736" s="19">
        <f>sb_cap*365*sb_guar*$D$1735</f>
        <v/>
      </c>
    </row>
    <row r="1737">
      <c r="B1737" s="2" t="inlineStr">
        <is>
          <t>Water delivered a year (m3)</t>
        </is>
      </c>
      <c r="C1737" s="5" t="inlineStr">
        <is>
          <t>m3</t>
        </is>
      </c>
      <c r="D1737" s="19">
        <f>sb_cap*365*sb_avail*sb_dispatch</f>
        <v/>
      </c>
    </row>
    <row r="1738">
      <c r="B1738" s="2" t="inlineStr">
        <is>
          <t>Fixed O&amp;M charge, 2030 ($ per m3 of available capacity)</t>
        </is>
      </c>
      <c r="C1738" s="5" t="inlineStr">
        <is>
          <t>$ per m3</t>
        </is>
      </c>
      <c r="D1738" s="38">
        <f>sb_fom*1000000/(sb_cap*365*sb_guar)</f>
        <v/>
      </c>
    </row>
    <row r="1739">
      <c r="B1739" s="2" t="inlineStr">
        <is>
          <t>Capital cost</t>
        </is>
      </c>
      <c r="C1739" s="5" t="inlineStr">
        <is>
          <t>$ million</t>
        </is>
      </c>
      <c r="D1739" s="23">
        <f>(sb_cx_plant+sb_cx_marine+sb_cx_conv+sb_cx_grid+sb_cx_dev+sb_cx_fin)*(1+sb_capex_shift)</f>
        <v/>
      </c>
    </row>
    <row r="1740">
      <c r="B1740" s="2" t="inlineStr">
        <is>
          <t>Capacity charge used</t>
        </is>
      </c>
      <c r="C1740" s="5" t="inlineStr">
        <is>
          <t>$ per m3</t>
        </is>
      </c>
      <c r="D1740" s="38">
        <f>'SB_Finance'!$C$6</f>
        <v/>
      </c>
    </row>
    <row r="1742">
      <c r="B1742" s="6" t="inlineStr">
        <is>
          <t>Operations</t>
        </is>
      </c>
      <c r="C1742" s="7" t="n"/>
      <c r="D1742" s="7" t="n"/>
      <c r="E1742" s="7" t="n"/>
      <c r="F1742" s="7" t="n"/>
      <c r="G1742" s="7" t="n"/>
      <c r="H1742" s="7" t="n"/>
      <c r="I1742" s="7" t="n"/>
      <c r="J1742" s="7" t="n"/>
      <c r="K1742" s="7" t="n"/>
      <c r="L1742" s="7" t="n"/>
      <c r="M1742" s="7" t="n"/>
      <c r="N1742" s="7" t="n"/>
      <c r="O1742" s="7" t="n"/>
      <c r="P1742" s="7" t="n"/>
      <c r="Q1742" s="7" t="n"/>
      <c r="R1742" s="7" t="n"/>
      <c r="S1742" s="7" t="n"/>
      <c r="T1742" s="7" t="n"/>
      <c r="U1742" s="7" t="n"/>
      <c r="V1742" s="7" t="n"/>
      <c r="W1742" s="7" t="n"/>
      <c r="X1742" s="7" t="n"/>
      <c r="Y1742" s="7" t="n"/>
      <c r="Z1742" s="7" t="n"/>
      <c r="AA1742" s="7" t="n"/>
      <c r="AB1742" s="7" t="n"/>
      <c r="AC1742" s="7" t="n"/>
      <c r="AD1742" s="7" t="n"/>
      <c r="AE1742" s="7" t="n"/>
      <c r="AF1742" s="7" t="n"/>
      <c r="AG1742" s="7" t="n"/>
      <c r="AH1742" s="7" t="n"/>
      <c r="AI1742" s="7" t="n"/>
      <c r="AJ1742" s="7" t="n"/>
    </row>
    <row r="1743">
      <c r="B1743" s="2" t="inlineStr">
        <is>
          <t>Paid capacity (m3)</t>
        </is>
      </c>
      <c r="C1743" s="5" t="inlineStr">
        <is>
          <t>m3</t>
        </is>
      </c>
      <c r="D1743" s="19">
        <f>D1730*$D$1736</f>
        <v/>
      </c>
      <c r="E1743" s="19">
        <f>E1730*$D$1736</f>
        <v/>
      </c>
      <c r="F1743" s="19">
        <f>F1730*$D$1736</f>
        <v/>
      </c>
      <c r="G1743" s="19">
        <f>G1730*$D$1736</f>
        <v/>
      </c>
      <c r="H1743" s="19">
        <f>H1730*$D$1736</f>
        <v/>
      </c>
      <c r="I1743" s="19">
        <f>I1730*$D$1736</f>
        <v/>
      </c>
      <c r="J1743" s="19">
        <f>J1730*$D$1736</f>
        <v/>
      </c>
      <c r="K1743" s="19">
        <f>K1730*$D$1736</f>
        <v/>
      </c>
      <c r="L1743" s="19">
        <f>L1730*$D$1736</f>
        <v/>
      </c>
      <c r="M1743" s="19">
        <f>M1730*$D$1736</f>
        <v/>
      </c>
      <c r="N1743" s="19">
        <f>N1730*$D$1736</f>
        <v/>
      </c>
      <c r="O1743" s="19">
        <f>O1730*$D$1736</f>
        <v/>
      </c>
      <c r="P1743" s="19">
        <f>P1730*$D$1736</f>
        <v/>
      </c>
      <c r="Q1743" s="19">
        <f>Q1730*$D$1736</f>
        <v/>
      </c>
      <c r="R1743" s="19">
        <f>R1730*$D$1736</f>
        <v/>
      </c>
      <c r="S1743" s="19">
        <f>S1730*$D$1736</f>
        <v/>
      </c>
      <c r="T1743" s="19">
        <f>T1730*$D$1736</f>
        <v/>
      </c>
      <c r="U1743" s="19">
        <f>U1730*$D$1736</f>
        <v/>
      </c>
      <c r="V1743" s="19">
        <f>V1730*$D$1736</f>
        <v/>
      </c>
      <c r="W1743" s="19">
        <f>W1730*$D$1736</f>
        <v/>
      </c>
      <c r="X1743" s="19">
        <f>X1730*$D$1736</f>
        <v/>
      </c>
      <c r="Y1743" s="19">
        <f>Y1730*$D$1736</f>
        <v/>
      </c>
      <c r="Z1743" s="19">
        <f>Z1730*$D$1736</f>
        <v/>
      </c>
      <c r="AA1743" s="19">
        <f>AA1730*$D$1736</f>
        <v/>
      </c>
      <c r="AB1743" s="19">
        <f>AB1730*$D$1736</f>
        <v/>
      </c>
      <c r="AC1743" s="19">
        <f>AC1730*$D$1736</f>
        <v/>
      </c>
      <c r="AD1743" s="19">
        <f>AD1730*$D$1736</f>
        <v/>
      </c>
      <c r="AE1743" s="19">
        <f>AE1730*$D$1736</f>
        <v/>
      </c>
      <c r="AF1743" s="19">
        <f>AF1730*$D$1736</f>
        <v/>
      </c>
      <c r="AG1743" s="19">
        <f>AG1730*$D$1736</f>
        <v/>
      </c>
      <c r="AH1743" s="19">
        <f>AH1730*$D$1736</f>
        <v/>
      </c>
      <c r="AI1743" s="19">
        <f>AI1730*$D$1736</f>
        <v/>
      </c>
      <c r="AJ1743" s="19">
        <f>AJ1730*$D$1736</f>
        <v/>
      </c>
    </row>
    <row r="1744">
      <c r="B1744" s="2" t="inlineStr">
        <is>
          <t>Water delivered (m3)</t>
        </is>
      </c>
      <c r="C1744" s="5" t="inlineStr">
        <is>
          <t>m3</t>
        </is>
      </c>
      <c r="D1744" s="19">
        <f>D1730*$D$1737</f>
        <v/>
      </c>
      <c r="E1744" s="19">
        <f>E1730*$D$1737</f>
        <v/>
      </c>
      <c r="F1744" s="19">
        <f>F1730*$D$1737</f>
        <v/>
      </c>
      <c r="G1744" s="19">
        <f>G1730*$D$1737</f>
        <v/>
      </c>
      <c r="H1744" s="19">
        <f>H1730*$D$1737</f>
        <v/>
      </c>
      <c r="I1744" s="19">
        <f>I1730*$D$1737</f>
        <v/>
      </c>
      <c r="J1744" s="19">
        <f>J1730*$D$1737</f>
        <v/>
      </c>
      <c r="K1744" s="19">
        <f>K1730*$D$1737</f>
        <v/>
      </c>
      <c r="L1744" s="19">
        <f>L1730*$D$1737</f>
        <v/>
      </c>
      <c r="M1744" s="19">
        <f>M1730*$D$1737</f>
        <v/>
      </c>
      <c r="N1744" s="19">
        <f>N1730*$D$1737</f>
        <v/>
      </c>
      <c r="O1744" s="19">
        <f>O1730*$D$1737</f>
        <v/>
      </c>
      <c r="P1744" s="19">
        <f>P1730*$D$1737</f>
        <v/>
      </c>
      <c r="Q1744" s="19">
        <f>Q1730*$D$1737</f>
        <v/>
      </c>
      <c r="R1744" s="19">
        <f>R1730*$D$1737</f>
        <v/>
      </c>
      <c r="S1744" s="19">
        <f>S1730*$D$1737</f>
        <v/>
      </c>
      <c r="T1744" s="19">
        <f>T1730*$D$1737</f>
        <v/>
      </c>
      <c r="U1744" s="19">
        <f>U1730*$D$1737</f>
        <v/>
      </c>
      <c r="V1744" s="19">
        <f>V1730*$D$1737</f>
        <v/>
      </c>
      <c r="W1744" s="19">
        <f>W1730*$D$1737</f>
        <v/>
      </c>
      <c r="X1744" s="19">
        <f>X1730*$D$1737</f>
        <v/>
      </c>
      <c r="Y1744" s="19">
        <f>Y1730*$D$1737</f>
        <v/>
      </c>
      <c r="Z1744" s="19">
        <f>Z1730*$D$1737</f>
        <v/>
      </c>
      <c r="AA1744" s="19">
        <f>AA1730*$D$1737</f>
        <v/>
      </c>
      <c r="AB1744" s="19">
        <f>AB1730*$D$1737</f>
        <v/>
      </c>
      <c r="AC1744" s="19">
        <f>AC1730*$D$1737</f>
        <v/>
      </c>
      <c r="AD1744" s="19">
        <f>AD1730*$D$1737</f>
        <v/>
      </c>
      <c r="AE1744" s="19">
        <f>AE1730*$D$1737</f>
        <v/>
      </c>
      <c r="AF1744" s="19">
        <f>AF1730*$D$1737</f>
        <v/>
      </c>
      <c r="AG1744" s="19">
        <f>AG1730*$D$1737</f>
        <v/>
      </c>
      <c r="AH1744" s="19">
        <f>AH1730*$D$1737</f>
        <v/>
      </c>
      <c r="AI1744" s="19">
        <f>AI1730*$D$1737</f>
        <v/>
      </c>
      <c r="AJ1744" s="19">
        <f>AJ1730*$D$1737</f>
        <v/>
      </c>
    </row>
    <row r="1745">
      <c r="B1745" s="2" t="inlineStr">
        <is>
          <t>Power price paid</t>
        </is>
      </c>
      <c r="C1745" s="5" t="inlineStr">
        <is>
          <t>$ per MWh</t>
        </is>
      </c>
      <c r="D1745" s="22">
        <f>D1730*(sb_power*(1+sb_power_esc)^D1731+sb_power_shift)</f>
        <v/>
      </c>
      <c r="E1745" s="22">
        <f>E1730*(sb_power*(1+sb_power_esc)^E1731+sb_power_shift)</f>
        <v/>
      </c>
      <c r="F1745" s="22">
        <f>F1730*(sb_power*(1+sb_power_esc)^F1731+sb_power_shift)</f>
        <v/>
      </c>
      <c r="G1745" s="22">
        <f>G1730*(sb_power*(1+sb_power_esc)^G1731+sb_power_shift)</f>
        <v/>
      </c>
      <c r="H1745" s="22">
        <f>H1730*(sb_power*(1+sb_power_esc)^H1731+sb_power_shift)</f>
        <v/>
      </c>
      <c r="I1745" s="22">
        <f>I1730*(sb_power*(1+sb_power_esc)^I1731+sb_power_shift)</f>
        <v/>
      </c>
      <c r="J1745" s="22">
        <f>J1730*(sb_power*(1+sb_power_esc)^J1731+sb_power_shift)</f>
        <v/>
      </c>
      <c r="K1745" s="22">
        <f>K1730*(sb_power*(1+sb_power_esc)^K1731+sb_power_shift)</f>
        <v/>
      </c>
      <c r="L1745" s="22">
        <f>L1730*(sb_power*(1+sb_power_esc)^L1731+sb_power_shift)</f>
        <v/>
      </c>
      <c r="M1745" s="22">
        <f>M1730*(sb_power*(1+sb_power_esc)^M1731+sb_power_shift)</f>
        <v/>
      </c>
      <c r="N1745" s="22">
        <f>N1730*(sb_power*(1+sb_power_esc)^N1731+sb_power_shift)</f>
        <v/>
      </c>
      <c r="O1745" s="22">
        <f>O1730*(sb_power*(1+sb_power_esc)^O1731+sb_power_shift)</f>
        <v/>
      </c>
      <c r="P1745" s="22">
        <f>P1730*(sb_power*(1+sb_power_esc)^P1731+sb_power_shift)</f>
        <v/>
      </c>
      <c r="Q1745" s="22">
        <f>Q1730*(sb_power*(1+sb_power_esc)^Q1731+sb_power_shift)</f>
        <v/>
      </c>
      <c r="R1745" s="22">
        <f>R1730*(sb_power*(1+sb_power_esc)^R1731+sb_power_shift)</f>
        <v/>
      </c>
      <c r="S1745" s="22">
        <f>S1730*(sb_power*(1+sb_power_esc)^S1731+sb_power_shift)</f>
        <v/>
      </c>
      <c r="T1745" s="22">
        <f>T1730*(sb_power*(1+sb_power_esc)^T1731+sb_power_shift)</f>
        <v/>
      </c>
      <c r="U1745" s="22">
        <f>U1730*(sb_power*(1+sb_power_esc)^U1731+sb_power_shift)</f>
        <v/>
      </c>
      <c r="V1745" s="22">
        <f>V1730*(sb_power*(1+sb_power_esc)^V1731+sb_power_shift)</f>
        <v/>
      </c>
      <c r="W1745" s="22">
        <f>W1730*(sb_power*(1+sb_power_esc)^W1731+sb_power_shift)</f>
        <v/>
      </c>
      <c r="X1745" s="22">
        <f>X1730*(sb_power*(1+sb_power_esc)^X1731+sb_power_shift)</f>
        <v/>
      </c>
      <c r="Y1745" s="22">
        <f>Y1730*(sb_power*(1+sb_power_esc)^Y1731+sb_power_shift)</f>
        <v/>
      </c>
      <c r="Z1745" s="22">
        <f>Z1730*(sb_power*(1+sb_power_esc)^Z1731+sb_power_shift)</f>
        <v/>
      </c>
      <c r="AA1745" s="22">
        <f>AA1730*(sb_power*(1+sb_power_esc)^AA1731+sb_power_shift)</f>
        <v/>
      </c>
      <c r="AB1745" s="22">
        <f>AB1730*(sb_power*(1+sb_power_esc)^AB1731+sb_power_shift)</f>
        <v/>
      </c>
      <c r="AC1745" s="22">
        <f>AC1730*(sb_power*(1+sb_power_esc)^AC1731+sb_power_shift)</f>
        <v/>
      </c>
      <c r="AD1745" s="22">
        <f>AD1730*(sb_power*(1+sb_power_esc)^AD1731+sb_power_shift)</f>
        <v/>
      </c>
      <c r="AE1745" s="22">
        <f>AE1730*(sb_power*(1+sb_power_esc)^AE1731+sb_power_shift)</f>
        <v/>
      </c>
      <c r="AF1745" s="22">
        <f>AF1730*(sb_power*(1+sb_power_esc)^AF1731+sb_power_shift)</f>
        <v/>
      </c>
      <c r="AG1745" s="22">
        <f>AG1730*(sb_power*(1+sb_power_esc)^AG1731+sb_power_shift)</f>
        <v/>
      </c>
      <c r="AH1745" s="22">
        <f>AH1730*(sb_power*(1+sb_power_esc)^AH1731+sb_power_shift)</f>
        <v/>
      </c>
      <c r="AI1745" s="22">
        <f>AI1730*(sb_power*(1+sb_power_esc)^AI1731+sb_power_shift)</f>
        <v/>
      </c>
      <c r="AJ1745" s="22">
        <f>AJ1730*(sb_power*(1+sb_power_esc)^AJ1731+sb_power_shift)</f>
        <v/>
      </c>
    </row>
    <row r="1746">
      <c r="B1746" s="2" t="inlineStr">
        <is>
          <t>Power price in the energy charge</t>
        </is>
      </c>
      <c r="C1746" s="5" t="inlineStr">
        <is>
          <t>$ per MWh</t>
        </is>
      </c>
      <c r="D1746" s="22">
        <f>D1730*(sb_power*(1+sb_power_esc)^D1731+IF(sb_pass=1,sb_power_shift,0))</f>
        <v/>
      </c>
      <c r="E1746" s="22">
        <f>E1730*(sb_power*(1+sb_power_esc)^E1731+IF(sb_pass=1,sb_power_shift,0))</f>
        <v/>
      </c>
      <c r="F1746" s="22">
        <f>F1730*(sb_power*(1+sb_power_esc)^F1731+IF(sb_pass=1,sb_power_shift,0))</f>
        <v/>
      </c>
      <c r="G1746" s="22">
        <f>G1730*(sb_power*(1+sb_power_esc)^G1731+IF(sb_pass=1,sb_power_shift,0))</f>
        <v/>
      </c>
      <c r="H1746" s="22">
        <f>H1730*(sb_power*(1+sb_power_esc)^H1731+IF(sb_pass=1,sb_power_shift,0))</f>
        <v/>
      </c>
      <c r="I1746" s="22">
        <f>I1730*(sb_power*(1+sb_power_esc)^I1731+IF(sb_pass=1,sb_power_shift,0))</f>
        <v/>
      </c>
      <c r="J1746" s="22">
        <f>J1730*(sb_power*(1+sb_power_esc)^J1731+IF(sb_pass=1,sb_power_shift,0))</f>
        <v/>
      </c>
      <c r="K1746" s="22">
        <f>K1730*(sb_power*(1+sb_power_esc)^K1731+IF(sb_pass=1,sb_power_shift,0))</f>
        <v/>
      </c>
      <c r="L1746" s="22">
        <f>L1730*(sb_power*(1+sb_power_esc)^L1731+IF(sb_pass=1,sb_power_shift,0))</f>
        <v/>
      </c>
      <c r="M1746" s="22">
        <f>M1730*(sb_power*(1+sb_power_esc)^M1731+IF(sb_pass=1,sb_power_shift,0))</f>
        <v/>
      </c>
      <c r="N1746" s="22">
        <f>N1730*(sb_power*(1+sb_power_esc)^N1731+IF(sb_pass=1,sb_power_shift,0))</f>
        <v/>
      </c>
      <c r="O1746" s="22">
        <f>O1730*(sb_power*(1+sb_power_esc)^O1731+IF(sb_pass=1,sb_power_shift,0))</f>
        <v/>
      </c>
      <c r="P1746" s="22">
        <f>P1730*(sb_power*(1+sb_power_esc)^P1731+IF(sb_pass=1,sb_power_shift,0))</f>
        <v/>
      </c>
      <c r="Q1746" s="22">
        <f>Q1730*(sb_power*(1+sb_power_esc)^Q1731+IF(sb_pass=1,sb_power_shift,0))</f>
        <v/>
      </c>
      <c r="R1746" s="22">
        <f>R1730*(sb_power*(1+sb_power_esc)^R1731+IF(sb_pass=1,sb_power_shift,0))</f>
        <v/>
      </c>
      <c r="S1746" s="22">
        <f>S1730*(sb_power*(1+sb_power_esc)^S1731+IF(sb_pass=1,sb_power_shift,0))</f>
        <v/>
      </c>
      <c r="T1746" s="22">
        <f>T1730*(sb_power*(1+sb_power_esc)^T1731+IF(sb_pass=1,sb_power_shift,0))</f>
        <v/>
      </c>
      <c r="U1746" s="22">
        <f>U1730*(sb_power*(1+sb_power_esc)^U1731+IF(sb_pass=1,sb_power_shift,0))</f>
        <v/>
      </c>
      <c r="V1746" s="22">
        <f>V1730*(sb_power*(1+sb_power_esc)^V1731+IF(sb_pass=1,sb_power_shift,0))</f>
        <v/>
      </c>
      <c r="W1746" s="22">
        <f>W1730*(sb_power*(1+sb_power_esc)^W1731+IF(sb_pass=1,sb_power_shift,0))</f>
        <v/>
      </c>
      <c r="X1746" s="22">
        <f>X1730*(sb_power*(1+sb_power_esc)^X1731+IF(sb_pass=1,sb_power_shift,0))</f>
        <v/>
      </c>
      <c r="Y1746" s="22">
        <f>Y1730*(sb_power*(1+sb_power_esc)^Y1731+IF(sb_pass=1,sb_power_shift,0))</f>
        <v/>
      </c>
      <c r="Z1746" s="22">
        <f>Z1730*(sb_power*(1+sb_power_esc)^Z1731+IF(sb_pass=1,sb_power_shift,0))</f>
        <v/>
      </c>
      <c r="AA1746" s="22">
        <f>AA1730*(sb_power*(1+sb_power_esc)^AA1731+IF(sb_pass=1,sb_power_shift,0))</f>
        <v/>
      </c>
      <c r="AB1746" s="22">
        <f>AB1730*(sb_power*(1+sb_power_esc)^AB1731+IF(sb_pass=1,sb_power_shift,0))</f>
        <v/>
      </c>
      <c r="AC1746" s="22">
        <f>AC1730*(sb_power*(1+sb_power_esc)^AC1731+IF(sb_pass=1,sb_power_shift,0))</f>
        <v/>
      </c>
      <c r="AD1746" s="22">
        <f>AD1730*(sb_power*(1+sb_power_esc)^AD1731+IF(sb_pass=1,sb_power_shift,0))</f>
        <v/>
      </c>
      <c r="AE1746" s="22">
        <f>AE1730*(sb_power*(1+sb_power_esc)^AE1731+IF(sb_pass=1,sb_power_shift,0))</f>
        <v/>
      </c>
      <c r="AF1746" s="22">
        <f>AF1730*(sb_power*(1+sb_power_esc)^AF1731+IF(sb_pass=1,sb_power_shift,0))</f>
        <v/>
      </c>
      <c r="AG1746" s="22">
        <f>AG1730*(sb_power*(1+sb_power_esc)^AG1731+IF(sb_pass=1,sb_power_shift,0))</f>
        <v/>
      </c>
      <c r="AH1746" s="22">
        <f>AH1730*(sb_power*(1+sb_power_esc)^AH1731+IF(sb_pass=1,sb_power_shift,0))</f>
        <v/>
      </c>
      <c r="AI1746" s="22">
        <f>AI1730*(sb_power*(1+sb_power_esc)^AI1731+IF(sb_pass=1,sb_power_shift,0))</f>
        <v/>
      </c>
      <c r="AJ1746" s="22">
        <f>AJ1730*(sb_power*(1+sb_power_esc)^AJ1731+IF(sb_pass=1,sb_power_shift,0))</f>
        <v/>
      </c>
    </row>
    <row r="1747">
      <c r="B1747" s="2" t="inlineStr">
        <is>
          <t>Capacity payments</t>
        </is>
      </c>
      <c r="C1747" s="5" t="inlineStr">
        <is>
          <t>$ million</t>
        </is>
      </c>
      <c r="D1747" s="23">
        <f>$D$1740*D1743/1000000</f>
        <v/>
      </c>
      <c r="E1747" s="23">
        <f>$D$1740*E1743/1000000</f>
        <v/>
      </c>
      <c r="F1747" s="23">
        <f>$D$1740*F1743/1000000</f>
        <v/>
      </c>
      <c r="G1747" s="23">
        <f>$D$1740*G1743/1000000</f>
        <v/>
      </c>
      <c r="H1747" s="23">
        <f>$D$1740*H1743/1000000</f>
        <v/>
      </c>
      <c r="I1747" s="23">
        <f>$D$1740*I1743/1000000</f>
        <v/>
      </c>
      <c r="J1747" s="23">
        <f>$D$1740*J1743/1000000</f>
        <v/>
      </c>
      <c r="K1747" s="23">
        <f>$D$1740*K1743/1000000</f>
        <v/>
      </c>
      <c r="L1747" s="23">
        <f>$D$1740*L1743/1000000</f>
        <v/>
      </c>
      <c r="M1747" s="23">
        <f>$D$1740*M1743/1000000</f>
        <v/>
      </c>
      <c r="N1747" s="23">
        <f>$D$1740*N1743/1000000</f>
        <v/>
      </c>
      <c r="O1747" s="23">
        <f>$D$1740*O1743/1000000</f>
        <v/>
      </c>
      <c r="P1747" s="23">
        <f>$D$1740*P1743/1000000</f>
        <v/>
      </c>
      <c r="Q1747" s="23">
        <f>$D$1740*Q1743/1000000</f>
        <v/>
      </c>
      <c r="R1747" s="23">
        <f>$D$1740*R1743/1000000</f>
        <v/>
      </c>
      <c r="S1747" s="23">
        <f>$D$1740*S1743/1000000</f>
        <v/>
      </c>
      <c r="T1747" s="23">
        <f>$D$1740*T1743/1000000</f>
        <v/>
      </c>
      <c r="U1747" s="23">
        <f>$D$1740*U1743/1000000</f>
        <v/>
      </c>
      <c r="V1747" s="23">
        <f>$D$1740*V1743/1000000</f>
        <v/>
      </c>
      <c r="W1747" s="23">
        <f>$D$1740*W1743/1000000</f>
        <v/>
      </c>
      <c r="X1747" s="23">
        <f>$D$1740*X1743/1000000</f>
        <v/>
      </c>
      <c r="Y1747" s="23">
        <f>$D$1740*Y1743/1000000</f>
        <v/>
      </c>
      <c r="Z1747" s="23">
        <f>$D$1740*Z1743/1000000</f>
        <v/>
      </c>
      <c r="AA1747" s="23">
        <f>$D$1740*AA1743/1000000</f>
        <v/>
      </c>
      <c r="AB1747" s="23">
        <f>$D$1740*AB1743/1000000</f>
        <v/>
      </c>
      <c r="AC1747" s="23">
        <f>$D$1740*AC1743/1000000</f>
        <v/>
      </c>
      <c r="AD1747" s="23">
        <f>$D$1740*AD1743/1000000</f>
        <v/>
      </c>
      <c r="AE1747" s="23">
        <f>$D$1740*AE1743/1000000</f>
        <v/>
      </c>
      <c r="AF1747" s="23">
        <f>$D$1740*AF1743/1000000</f>
        <v/>
      </c>
      <c r="AG1747" s="23">
        <f>$D$1740*AG1743/1000000</f>
        <v/>
      </c>
      <c r="AH1747" s="23">
        <f>$D$1740*AH1743/1000000</f>
        <v/>
      </c>
      <c r="AI1747" s="23">
        <f>$D$1740*AI1743/1000000</f>
        <v/>
      </c>
      <c r="AJ1747" s="23">
        <f>$D$1740*AJ1743/1000000</f>
        <v/>
      </c>
    </row>
    <row r="1748">
      <c r="B1748" s="2" t="inlineStr">
        <is>
          <t>Fixed O&amp;M payments (indexed)</t>
        </is>
      </c>
      <c r="C1748" s="5" t="inlineStr">
        <is>
          <t>$ million</t>
        </is>
      </c>
      <c r="D1748" s="23">
        <f>$D$1738*D1732*D1743/1000000</f>
        <v/>
      </c>
      <c r="E1748" s="23">
        <f>$D$1738*E1732*E1743/1000000</f>
        <v/>
      </c>
      <c r="F1748" s="23">
        <f>$D$1738*F1732*F1743/1000000</f>
        <v/>
      </c>
      <c r="G1748" s="23">
        <f>$D$1738*G1732*G1743/1000000</f>
        <v/>
      </c>
      <c r="H1748" s="23">
        <f>$D$1738*H1732*H1743/1000000</f>
        <v/>
      </c>
      <c r="I1748" s="23">
        <f>$D$1738*I1732*I1743/1000000</f>
        <v/>
      </c>
      <c r="J1748" s="23">
        <f>$D$1738*J1732*J1743/1000000</f>
        <v/>
      </c>
      <c r="K1748" s="23">
        <f>$D$1738*K1732*K1743/1000000</f>
        <v/>
      </c>
      <c r="L1748" s="23">
        <f>$D$1738*L1732*L1743/1000000</f>
        <v/>
      </c>
      <c r="M1748" s="23">
        <f>$D$1738*M1732*M1743/1000000</f>
        <v/>
      </c>
      <c r="N1748" s="23">
        <f>$D$1738*N1732*N1743/1000000</f>
        <v/>
      </c>
      <c r="O1748" s="23">
        <f>$D$1738*O1732*O1743/1000000</f>
        <v/>
      </c>
      <c r="P1748" s="23">
        <f>$D$1738*P1732*P1743/1000000</f>
        <v/>
      </c>
      <c r="Q1748" s="23">
        <f>$D$1738*Q1732*Q1743/1000000</f>
        <v/>
      </c>
      <c r="R1748" s="23">
        <f>$D$1738*R1732*R1743/1000000</f>
        <v/>
      </c>
      <c r="S1748" s="23">
        <f>$D$1738*S1732*S1743/1000000</f>
        <v/>
      </c>
      <c r="T1748" s="23">
        <f>$D$1738*T1732*T1743/1000000</f>
        <v/>
      </c>
      <c r="U1748" s="23">
        <f>$D$1738*U1732*U1743/1000000</f>
        <v/>
      </c>
      <c r="V1748" s="23">
        <f>$D$1738*V1732*V1743/1000000</f>
        <v/>
      </c>
      <c r="W1748" s="23">
        <f>$D$1738*W1732*W1743/1000000</f>
        <v/>
      </c>
      <c r="X1748" s="23">
        <f>$D$1738*X1732*X1743/1000000</f>
        <v/>
      </c>
      <c r="Y1748" s="23">
        <f>$D$1738*Y1732*Y1743/1000000</f>
        <v/>
      </c>
      <c r="Z1748" s="23">
        <f>$D$1738*Z1732*Z1743/1000000</f>
        <v/>
      </c>
      <c r="AA1748" s="23">
        <f>$D$1738*AA1732*AA1743/1000000</f>
        <v/>
      </c>
      <c r="AB1748" s="23">
        <f>$D$1738*AB1732*AB1743/1000000</f>
        <v/>
      </c>
      <c r="AC1748" s="23">
        <f>$D$1738*AC1732*AC1743/1000000</f>
        <v/>
      </c>
      <c r="AD1748" s="23">
        <f>$D$1738*AD1732*AD1743/1000000</f>
        <v/>
      </c>
      <c r="AE1748" s="23">
        <f>$D$1738*AE1732*AE1743/1000000</f>
        <v/>
      </c>
      <c r="AF1748" s="23">
        <f>$D$1738*AF1732*AF1743/1000000</f>
        <v/>
      </c>
      <c r="AG1748" s="23">
        <f>$D$1738*AG1732*AG1743/1000000</f>
        <v/>
      </c>
      <c r="AH1748" s="23">
        <f>$D$1738*AH1732*AH1743/1000000</f>
        <v/>
      </c>
      <c r="AI1748" s="23">
        <f>$D$1738*AI1732*AI1743/1000000</f>
        <v/>
      </c>
      <c r="AJ1748" s="23">
        <f>$D$1738*AJ1732*AJ1743/1000000</f>
        <v/>
      </c>
    </row>
    <row r="1749">
      <c r="B1749" s="2" t="inlineStr">
        <is>
          <t>Energy charge (guaranteed kWh x power price)</t>
        </is>
      </c>
      <c r="C1749" s="5" t="inlineStr">
        <is>
          <t>$ million</t>
        </is>
      </c>
      <c r="D1749" s="23">
        <f>D1744*sb_sec*D1746/1000/1000000</f>
        <v/>
      </c>
      <c r="E1749" s="23">
        <f>E1744*sb_sec*E1746/1000/1000000</f>
        <v/>
      </c>
      <c r="F1749" s="23">
        <f>F1744*sb_sec*F1746/1000/1000000</f>
        <v/>
      </c>
      <c r="G1749" s="23">
        <f>G1744*sb_sec*G1746/1000/1000000</f>
        <v/>
      </c>
      <c r="H1749" s="23">
        <f>H1744*sb_sec*H1746/1000/1000000</f>
        <v/>
      </c>
      <c r="I1749" s="23">
        <f>I1744*sb_sec*I1746/1000/1000000</f>
        <v/>
      </c>
      <c r="J1749" s="23">
        <f>J1744*sb_sec*J1746/1000/1000000</f>
        <v/>
      </c>
      <c r="K1749" s="23">
        <f>K1744*sb_sec*K1746/1000/1000000</f>
        <v/>
      </c>
      <c r="L1749" s="23">
        <f>L1744*sb_sec*L1746/1000/1000000</f>
        <v/>
      </c>
      <c r="M1749" s="23">
        <f>M1744*sb_sec*M1746/1000/1000000</f>
        <v/>
      </c>
      <c r="N1749" s="23">
        <f>N1744*sb_sec*N1746/1000/1000000</f>
        <v/>
      </c>
      <c r="O1749" s="23">
        <f>O1744*sb_sec*O1746/1000/1000000</f>
        <v/>
      </c>
      <c r="P1749" s="23">
        <f>P1744*sb_sec*P1746/1000/1000000</f>
        <v/>
      </c>
      <c r="Q1749" s="23">
        <f>Q1744*sb_sec*Q1746/1000/1000000</f>
        <v/>
      </c>
      <c r="R1749" s="23">
        <f>R1744*sb_sec*R1746/1000/1000000</f>
        <v/>
      </c>
      <c r="S1749" s="23">
        <f>S1744*sb_sec*S1746/1000/1000000</f>
        <v/>
      </c>
      <c r="T1749" s="23">
        <f>T1744*sb_sec*T1746/1000/1000000</f>
        <v/>
      </c>
      <c r="U1749" s="23">
        <f>U1744*sb_sec*U1746/1000/1000000</f>
        <v/>
      </c>
      <c r="V1749" s="23">
        <f>V1744*sb_sec*V1746/1000/1000000</f>
        <v/>
      </c>
      <c r="W1749" s="23">
        <f>W1744*sb_sec*W1746/1000/1000000</f>
        <v/>
      </c>
      <c r="X1749" s="23">
        <f>X1744*sb_sec*X1746/1000/1000000</f>
        <v/>
      </c>
      <c r="Y1749" s="23">
        <f>Y1744*sb_sec*Y1746/1000/1000000</f>
        <v/>
      </c>
      <c r="Z1749" s="23">
        <f>Z1744*sb_sec*Z1746/1000/1000000</f>
        <v/>
      </c>
      <c r="AA1749" s="23">
        <f>AA1744*sb_sec*AA1746/1000/1000000</f>
        <v/>
      </c>
      <c r="AB1749" s="23">
        <f>AB1744*sb_sec*AB1746/1000/1000000</f>
        <v/>
      </c>
      <c r="AC1749" s="23">
        <f>AC1744*sb_sec*AC1746/1000/1000000</f>
        <v/>
      </c>
      <c r="AD1749" s="23">
        <f>AD1744*sb_sec*AD1746/1000/1000000</f>
        <v/>
      </c>
      <c r="AE1749" s="23">
        <f>AE1744*sb_sec*AE1746/1000/1000000</f>
        <v/>
      </c>
      <c r="AF1749" s="23">
        <f>AF1744*sb_sec*AF1746/1000/1000000</f>
        <v/>
      </c>
      <c r="AG1749" s="23">
        <f>AG1744*sb_sec*AG1746/1000/1000000</f>
        <v/>
      </c>
      <c r="AH1749" s="23">
        <f>AH1744*sb_sec*AH1746/1000/1000000</f>
        <v/>
      </c>
      <c r="AI1749" s="23">
        <f>AI1744*sb_sec*AI1746/1000/1000000</f>
        <v/>
      </c>
      <c r="AJ1749" s="23">
        <f>AJ1744*sb_sec*AJ1746/1000/1000000</f>
        <v/>
      </c>
    </row>
    <row r="1750">
      <c r="B1750" s="2" t="inlineStr">
        <is>
          <t>Chemicals charge (indexed)</t>
        </is>
      </c>
      <c r="C1750" s="5" t="inlineStr">
        <is>
          <t>$ million</t>
        </is>
      </c>
      <c r="D1750" s="23">
        <f>D1744*sb_chem*D1732/1000000</f>
        <v/>
      </c>
      <c r="E1750" s="23">
        <f>E1744*sb_chem*E1732/1000000</f>
        <v/>
      </c>
      <c r="F1750" s="23">
        <f>F1744*sb_chem*F1732/1000000</f>
        <v/>
      </c>
      <c r="G1750" s="23">
        <f>G1744*sb_chem*G1732/1000000</f>
        <v/>
      </c>
      <c r="H1750" s="23">
        <f>H1744*sb_chem*H1732/1000000</f>
        <v/>
      </c>
      <c r="I1750" s="23">
        <f>I1744*sb_chem*I1732/1000000</f>
        <v/>
      </c>
      <c r="J1750" s="23">
        <f>J1744*sb_chem*J1732/1000000</f>
        <v/>
      </c>
      <c r="K1750" s="23">
        <f>K1744*sb_chem*K1732/1000000</f>
        <v/>
      </c>
      <c r="L1750" s="23">
        <f>L1744*sb_chem*L1732/1000000</f>
        <v/>
      </c>
      <c r="M1750" s="23">
        <f>M1744*sb_chem*M1732/1000000</f>
        <v/>
      </c>
      <c r="N1750" s="23">
        <f>N1744*sb_chem*N1732/1000000</f>
        <v/>
      </c>
      <c r="O1750" s="23">
        <f>O1744*sb_chem*O1732/1000000</f>
        <v/>
      </c>
      <c r="P1750" s="23">
        <f>P1744*sb_chem*P1732/1000000</f>
        <v/>
      </c>
      <c r="Q1750" s="23">
        <f>Q1744*sb_chem*Q1732/1000000</f>
        <v/>
      </c>
      <c r="R1750" s="23">
        <f>R1744*sb_chem*R1732/1000000</f>
        <v/>
      </c>
      <c r="S1750" s="23">
        <f>S1744*sb_chem*S1732/1000000</f>
        <v/>
      </c>
      <c r="T1750" s="23">
        <f>T1744*sb_chem*T1732/1000000</f>
        <v/>
      </c>
      <c r="U1750" s="23">
        <f>U1744*sb_chem*U1732/1000000</f>
        <v/>
      </c>
      <c r="V1750" s="23">
        <f>V1744*sb_chem*V1732/1000000</f>
        <v/>
      </c>
      <c r="W1750" s="23">
        <f>W1744*sb_chem*W1732/1000000</f>
        <v/>
      </c>
      <c r="X1750" s="23">
        <f>X1744*sb_chem*X1732/1000000</f>
        <v/>
      </c>
      <c r="Y1750" s="23">
        <f>Y1744*sb_chem*Y1732/1000000</f>
        <v/>
      </c>
      <c r="Z1750" s="23">
        <f>Z1744*sb_chem*Z1732/1000000</f>
        <v/>
      </c>
      <c r="AA1750" s="23">
        <f>AA1744*sb_chem*AA1732/1000000</f>
        <v/>
      </c>
      <c r="AB1750" s="23">
        <f>AB1744*sb_chem*AB1732/1000000</f>
        <v/>
      </c>
      <c r="AC1750" s="23">
        <f>AC1744*sb_chem*AC1732/1000000</f>
        <v/>
      </c>
      <c r="AD1750" s="23">
        <f>AD1744*sb_chem*AD1732/1000000</f>
        <v/>
      </c>
      <c r="AE1750" s="23">
        <f>AE1744*sb_chem*AE1732/1000000</f>
        <v/>
      </c>
      <c r="AF1750" s="23">
        <f>AF1744*sb_chem*AF1732/1000000</f>
        <v/>
      </c>
      <c r="AG1750" s="23">
        <f>AG1744*sb_chem*AG1732/1000000</f>
        <v/>
      </c>
      <c r="AH1750" s="23">
        <f>AH1744*sb_chem*AH1732/1000000</f>
        <v/>
      </c>
      <c r="AI1750" s="23">
        <f>AI1744*sb_chem*AI1732/1000000</f>
        <v/>
      </c>
      <c r="AJ1750" s="23">
        <f>AJ1744*sb_chem*AJ1732/1000000</f>
        <v/>
      </c>
    </row>
    <row r="1751">
      <c r="B1751" s="2" t="inlineStr">
        <is>
          <t>Capacity payments lost to delay</t>
        </is>
      </c>
      <c r="C1751" s="5" t="inlineStr">
        <is>
          <t>$ million</t>
        </is>
      </c>
      <c r="D1751" s="23">
        <f>IF(D1729=sb_cod,D1747*sb_delay,0)</f>
        <v/>
      </c>
      <c r="E1751" s="23">
        <f>IF(E1729=sb_cod,E1747*sb_delay,0)</f>
        <v/>
      </c>
      <c r="F1751" s="23">
        <f>IF(F1729=sb_cod,F1747*sb_delay,0)</f>
        <v/>
      </c>
      <c r="G1751" s="23">
        <f>IF(G1729=sb_cod,G1747*sb_delay,0)</f>
        <v/>
      </c>
      <c r="H1751" s="23">
        <f>IF(H1729=sb_cod,H1747*sb_delay,0)</f>
        <v/>
      </c>
      <c r="I1751" s="23">
        <f>IF(I1729=sb_cod,I1747*sb_delay,0)</f>
        <v/>
      </c>
      <c r="J1751" s="23">
        <f>IF(J1729=sb_cod,J1747*sb_delay,0)</f>
        <v/>
      </c>
      <c r="K1751" s="23">
        <f>IF(K1729=sb_cod,K1747*sb_delay,0)</f>
        <v/>
      </c>
      <c r="L1751" s="23">
        <f>IF(L1729=sb_cod,L1747*sb_delay,0)</f>
        <v/>
      </c>
      <c r="M1751" s="23">
        <f>IF(M1729=sb_cod,M1747*sb_delay,0)</f>
        <v/>
      </c>
      <c r="N1751" s="23">
        <f>IF(N1729=sb_cod,N1747*sb_delay,0)</f>
        <v/>
      </c>
      <c r="O1751" s="23">
        <f>IF(O1729=sb_cod,O1747*sb_delay,0)</f>
        <v/>
      </c>
      <c r="P1751" s="23">
        <f>IF(P1729=sb_cod,P1747*sb_delay,0)</f>
        <v/>
      </c>
      <c r="Q1751" s="23">
        <f>IF(Q1729=sb_cod,Q1747*sb_delay,0)</f>
        <v/>
      </c>
      <c r="R1751" s="23">
        <f>IF(R1729=sb_cod,R1747*sb_delay,0)</f>
        <v/>
      </c>
      <c r="S1751" s="23">
        <f>IF(S1729=sb_cod,S1747*sb_delay,0)</f>
        <v/>
      </c>
      <c r="T1751" s="23">
        <f>IF(T1729=sb_cod,T1747*sb_delay,0)</f>
        <v/>
      </c>
      <c r="U1751" s="23">
        <f>IF(U1729=sb_cod,U1747*sb_delay,0)</f>
        <v/>
      </c>
      <c r="V1751" s="23">
        <f>IF(V1729=sb_cod,V1747*sb_delay,0)</f>
        <v/>
      </c>
      <c r="W1751" s="23">
        <f>IF(W1729=sb_cod,W1747*sb_delay,0)</f>
        <v/>
      </c>
      <c r="X1751" s="23">
        <f>IF(X1729=sb_cod,X1747*sb_delay,0)</f>
        <v/>
      </c>
      <c r="Y1751" s="23">
        <f>IF(Y1729=sb_cod,Y1747*sb_delay,0)</f>
        <v/>
      </c>
      <c r="Z1751" s="23">
        <f>IF(Z1729=sb_cod,Z1747*sb_delay,0)</f>
        <v/>
      </c>
      <c r="AA1751" s="23">
        <f>IF(AA1729=sb_cod,AA1747*sb_delay,0)</f>
        <v/>
      </c>
      <c r="AB1751" s="23">
        <f>IF(AB1729=sb_cod,AB1747*sb_delay,0)</f>
        <v/>
      </c>
      <c r="AC1751" s="23">
        <f>IF(AC1729=sb_cod,AC1747*sb_delay,0)</f>
        <v/>
      </c>
      <c r="AD1751" s="23">
        <f>IF(AD1729=sb_cod,AD1747*sb_delay,0)</f>
        <v/>
      </c>
      <c r="AE1751" s="23">
        <f>IF(AE1729=sb_cod,AE1747*sb_delay,0)</f>
        <v/>
      </c>
      <c r="AF1751" s="23">
        <f>IF(AF1729=sb_cod,AF1747*sb_delay,0)</f>
        <v/>
      </c>
      <c r="AG1751" s="23">
        <f>IF(AG1729=sb_cod,AG1747*sb_delay,0)</f>
        <v/>
      </c>
      <c r="AH1751" s="23">
        <f>IF(AH1729=sb_cod,AH1747*sb_delay,0)</f>
        <v/>
      </c>
      <c r="AI1751" s="23">
        <f>IF(AI1729=sb_cod,AI1747*sb_delay,0)</f>
        <v/>
      </c>
      <c r="AJ1751" s="23">
        <f>IF(AJ1729=sb_cod,AJ1747*sb_delay,0)</f>
        <v/>
      </c>
    </row>
    <row r="1752">
      <c r="B1752" s="2" t="inlineStr">
        <is>
          <t>Lost payments not covered by delay damages</t>
        </is>
      </c>
      <c r="C1752" s="5" t="inlineStr">
        <is>
          <t>$ million</t>
        </is>
      </c>
      <c r="D1752" s="23">
        <f>D1751*(1-sb_ld)</f>
        <v/>
      </c>
      <c r="E1752" s="23">
        <f>E1751*(1-sb_ld)</f>
        <v/>
      </c>
      <c r="F1752" s="23">
        <f>F1751*(1-sb_ld)</f>
        <v/>
      </c>
      <c r="G1752" s="23">
        <f>G1751*(1-sb_ld)</f>
        <v/>
      </c>
      <c r="H1752" s="23">
        <f>H1751*(1-sb_ld)</f>
        <v/>
      </c>
      <c r="I1752" s="23">
        <f>I1751*(1-sb_ld)</f>
        <v/>
      </c>
      <c r="J1752" s="23">
        <f>J1751*(1-sb_ld)</f>
        <v/>
      </c>
      <c r="K1752" s="23">
        <f>K1751*(1-sb_ld)</f>
        <v/>
      </c>
      <c r="L1752" s="23">
        <f>L1751*(1-sb_ld)</f>
        <v/>
      </c>
      <c r="M1752" s="23">
        <f>M1751*(1-sb_ld)</f>
        <v/>
      </c>
      <c r="N1752" s="23">
        <f>N1751*(1-sb_ld)</f>
        <v/>
      </c>
      <c r="O1752" s="23">
        <f>O1751*(1-sb_ld)</f>
        <v/>
      </c>
      <c r="P1752" s="23">
        <f>P1751*(1-sb_ld)</f>
        <v/>
      </c>
      <c r="Q1752" s="23">
        <f>Q1751*(1-sb_ld)</f>
        <v/>
      </c>
      <c r="R1752" s="23">
        <f>R1751*(1-sb_ld)</f>
        <v/>
      </c>
      <c r="S1752" s="23">
        <f>S1751*(1-sb_ld)</f>
        <v/>
      </c>
      <c r="T1752" s="23">
        <f>T1751*(1-sb_ld)</f>
        <v/>
      </c>
      <c r="U1752" s="23">
        <f>U1751*(1-sb_ld)</f>
        <v/>
      </c>
      <c r="V1752" s="23">
        <f>V1751*(1-sb_ld)</f>
        <v/>
      </c>
      <c r="W1752" s="23">
        <f>W1751*(1-sb_ld)</f>
        <v/>
      </c>
      <c r="X1752" s="23">
        <f>X1751*(1-sb_ld)</f>
        <v/>
      </c>
      <c r="Y1752" s="23">
        <f>Y1751*(1-sb_ld)</f>
        <v/>
      </c>
      <c r="Z1752" s="23">
        <f>Z1751*(1-sb_ld)</f>
        <v/>
      </c>
      <c r="AA1752" s="23">
        <f>AA1751*(1-sb_ld)</f>
        <v/>
      </c>
      <c r="AB1752" s="23">
        <f>AB1751*(1-sb_ld)</f>
        <v/>
      </c>
      <c r="AC1752" s="23">
        <f>AC1751*(1-sb_ld)</f>
        <v/>
      </c>
      <c r="AD1752" s="23">
        <f>AD1751*(1-sb_ld)</f>
        <v/>
      </c>
      <c r="AE1752" s="23">
        <f>AE1751*(1-sb_ld)</f>
        <v/>
      </c>
      <c r="AF1752" s="23">
        <f>AF1751*(1-sb_ld)</f>
        <v/>
      </c>
      <c r="AG1752" s="23">
        <f>AG1751*(1-sb_ld)</f>
        <v/>
      </c>
      <c r="AH1752" s="23">
        <f>AH1751*(1-sb_ld)</f>
        <v/>
      </c>
      <c r="AI1752" s="23">
        <f>AI1751*(1-sb_ld)</f>
        <v/>
      </c>
      <c r="AJ1752" s="23">
        <f>AJ1751*(1-sb_ld)</f>
        <v/>
      </c>
    </row>
    <row r="1753">
      <c r="B1753" s="3" t="inlineStr">
        <is>
          <t>Revenue</t>
        </is>
      </c>
      <c r="C1753" s="5" t="inlineStr">
        <is>
          <t>$ million</t>
        </is>
      </c>
      <c r="D1753" s="23">
        <f>D1747+D1748+D1749+D1750-D1752</f>
        <v/>
      </c>
      <c r="E1753" s="23">
        <f>E1747+E1748+E1749+E1750-E1752</f>
        <v/>
      </c>
      <c r="F1753" s="23">
        <f>F1747+F1748+F1749+F1750-F1752</f>
        <v/>
      </c>
      <c r="G1753" s="23">
        <f>G1747+G1748+G1749+G1750-G1752</f>
        <v/>
      </c>
      <c r="H1753" s="23">
        <f>H1747+H1748+H1749+H1750-H1752</f>
        <v/>
      </c>
      <c r="I1753" s="23">
        <f>I1747+I1748+I1749+I1750-I1752</f>
        <v/>
      </c>
      <c r="J1753" s="23">
        <f>J1747+J1748+J1749+J1750-J1752</f>
        <v/>
      </c>
      <c r="K1753" s="23">
        <f>K1747+K1748+K1749+K1750-K1752</f>
        <v/>
      </c>
      <c r="L1753" s="23">
        <f>L1747+L1748+L1749+L1750-L1752</f>
        <v/>
      </c>
      <c r="M1753" s="23">
        <f>M1747+M1748+M1749+M1750-M1752</f>
        <v/>
      </c>
      <c r="N1753" s="23">
        <f>N1747+N1748+N1749+N1750-N1752</f>
        <v/>
      </c>
      <c r="O1753" s="23">
        <f>O1747+O1748+O1749+O1750-O1752</f>
        <v/>
      </c>
      <c r="P1753" s="23">
        <f>P1747+P1748+P1749+P1750-P1752</f>
        <v/>
      </c>
      <c r="Q1753" s="23">
        <f>Q1747+Q1748+Q1749+Q1750-Q1752</f>
        <v/>
      </c>
      <c r="R1753" s="23">
        <f>R1747+R1748+R1749+R1750-R1752</f>
        <v/>
      </c>
      <c r="S1753" s="23">
        <f>S1747+S1748+S1749+S1750-S1752</f>
        <v/>
      </c>
      <c r="T1753" s="23">
        <f>T1747+T1748+T1749+T1750-T1752</f>
        <v/>
      </c>
      <c r="U1753" s="23">
        <f>U1747+U1748+U1749+U1750-U1752</f>
        <v/>
      </c>
      <c r="V1753" s="23">
        <f>V1747+V1748+V1749+V1750-V1752</f>
        <v/>
      </c>
      <c r="W1753" s="23">
        <f>W1747+W1748+W1749+W1750-W1752</f>
        <v/>
      </c>
      <c r="X1753" s="23">
        <f>X1747+X1748+X1749+X1750-X1752</f>
        <v/>
      </c>
      <c r="Y1753" s="23">
        <f>Y1747+Y1748+Y1749+Y1750-Y1752</f>
        <v/>
      </c>
      <c r="Z1753" s="23">
        <f>Z1747+Z1748+Z1749+Z1750-Z1752</f>
        <v/>
      </c>
      <c r="AA1753" s="23">
        <f>AA1747+AA1748+AA1749+AA1750-AA1752</f>
        <v/>
      </c>
      <c r="AB1753" s="23">
        <f>AB1747+AB1748+AB1749+AB1750-AB1752</f>
        <v/>
      </c>
      <c r="AC1753" s="23">
        <f>AC1747+AC1748+AC1749+AC1750-AC1752</f>
        <v/>
      </c>
      <c r="AD1753" s="23">
        <f>AD1747+AD1748+AD1749+AD1750-AD1752</f>
        <v/>
      </c>
      <c r="AE1753" s="23">
        <f>AE1747+AE1748+AE1749+AE1750-AE1752</f>
        <v/>
      </c>
      <c r="AF1753" s="23">
        <f>AF1747+AF1748+AF1749+AF1750-AF1752</f>
        <v/>
      </c>
      <c r="AG1753" s="23">
        <f>AG1747+AG1748+AG1749+AG1750-AG1752</f>
        <v/>
      </c>
      <c r="AH1753" s="23">
        <f>AH1747+AH1748+AH1749+AH1750-AH1752</f>
        <v/>
      </c>
      <c r="AI1753" s="23">
        <f>AI1747+AI1748+AI1749+AI1750-AI1752</f>
        <v/>
      </c>
      <c r="AJ1753" s="23">
        <f>AJ1747+AJ1748+AJ1749+AJ1750-AJ1752</f>
        <v/>
      </c>
    </row>
    <row r="1754">
      <c r="B1754" s="2" t="inlineStr">
        <is>
          <t>Fixed O&amp;M</t>
        </is>
      </c>
      <c r="C1754" s="5" t="inlineStr">
        <is>
          <t>$ million</t>
        </is>
      </c>
      <c r="D1754" s="23">
        <f>D1730*sb_fom*D1732</f>
        <v/>
      </c>
      <c r="E1754" s="23">
        <f>E1730*sb_fom*E1732</f>
        <v/>
      </c>
      <c r="F1754" s="23">
        <f>F1730*sb_fom*F1732</f>
        <v/>
      </c>
      <c r="G1754" s="23">
        <f>G1730*sb_fom*G1732</f>
        <v/>
      </c>
      <c r="H1754" s="23">
        <f>H1730*sb_fom*H1732</f>
        <v/>
      </c>
      <c r="I1754" s="23">
        <f>I1730*sb_fom*I1732</f>
        <v/>
      </c>
      <c r="J1754" s="23">
        <f>J1730*sb_fom*J1732</f>
        <v/>
      </c>
      <c r="K1754" s="23">
        <f>K1730*sb_fom*K1732</f>
        <v/>
      </c>
      <c r="L1754" s="23">
        <f>L1730*sb_fom*L1732</f>
        <v/>
      </c>
      <c r="M1754" s="23">
        <f>M1730*sb_fom*M1732</f>
        <v/>
      </c>
      <c r="N1754" s="23">
        <f>N1730*sb_fom*N1732</f>
        <v/>
      </c>
      <c r="O1754" s="23">
        <f>O1730*sb_fom*O1732</f>
        <v/>
      </c>
      <c r="P1754" s="23">
        <f>P1730*sb_fom*P1732</f>
        <v/>
      </c>
      <c r="Q1754" s="23">
        <f>Q1730*sb_fom*Q1732</f>
        <v/>
      </c>
      <c r="R1754" s="23">
        <f>R1730*sb_fom*R1732</f>
        <v/>
      </c>
      <c r="S1754" s="23">
        <f>S1730*sb_fom*S1732</f>
        <v/>
      </c>
      <c r="T1754" s="23">
        <f>T1730*sb_fom*T1732</f>
        <v/>
      </c>
      <c r="U1754" s="23">
        <f>U1730*sb_fom*U1732</f>
        <v/>
      </c>
      <c r="V1754" s="23">
        <f>V1730*sb_fom*V1732</f>
        <v/>
      </c>
      <c r="W1754" s="23">
        <f>W1730*sb_fom*W1732</f>
        <v/>
      </c>
      <c r="X1754" s="23">
        <f>X1730*sb_fom*X1732</f>
        <v/>
      </c>
      <c r="Y1754" s="23">
        <f>Y1730*sb_fom*Y1732</f>
        <v/>
      </c>
      <c r="Z1754" s="23">
        <f>Z1730*sb_fom*Z1732</f>
        <v/>
      </c>
      <c r="AA1754" s="23">
        <f>AA1730*sb_fom*AA1732</f>
        <v/>
      </c>
      <c r="AB1754" s="23">
        <f>AB1730*sb_fom*AB1732</f>
        <v/>
      </c>
      <c r="AC1754" s="23">
        <f>AC1730*sb_fom*AC1732</f>
        <v/>
      </c>
      <c r="AD1754" s="23">
        <f>AD1730*sb_fom*AD1732</f>
        <v/>
      </c>
      <c r="AE1754" s="23">
        <f>AE1730*sb_fom*AE1732</f>
        <v/>
      </c>
      <c r="AF1754" s="23">
        <f>AF1730*sb_fom*AF1732</f>
        <v/>
      </c>
      <c r="AG1754" s="23">
        <f>AG1730*sb_fom*AG1732</f>
        <v/>
      </c>
      <c r="AH1754" s="23">
        <f>AH1730*sb_fom*AH1732</f>
        <v/>
      </c>
      <c r="AI1754" s="23">
        <f>AI1730*sb_fom*AI1732</f>
        <v/>
      </c>
      <c r="AJ1754" s="23">
        <f>AJ1730*sb_fom*AJ1732</f>
        <v/>
      </c>
    </row>
    <row r="1755">
      <c r="B1755" s="2" t="inlineStr">
        <is>
          <t>Energy cost (actual kWh x power price)</t>
        </is>
      </c>
      <c r="C1755" s="5" t="inlineStr">
        <is>
          <t>$ million</t>
        </is>
      </c>
      <c r="D1755" s="23">
        <f>D1744*Inputs!$C$273*D1745/1000/1000000</f>
        <v/>
      </c>
      <c r="E1755" s="23">
        <f>E1744*Inputs!$C$273*E1745/1000/1000000</f>
        <v/>
      </c>
      <c r="F1755" s="23">
        <f>F1744*Inputs!$C$273*F1745/1000/1000000</f>
        <v/>
      </c>
      <c r="G1755" s="23">
        <f>G1744*Inputs!$C$273*G1745/1000/1000000</f>
        <v/>
      </c>
      <c r="H1755" s="23">
        <f>H1744*Inputs!$C$273*H1745/1000/1000000</f>
        <v/>
      </c>
      <c r="I1755" s="23">
        <f>I1744*Inputs!$C$273*I1745/1000/1000000</f>
        <v/>
      </c>
      <c r="J1755" s="23">
        <f>J1744*Inputs!$C$273*J1745/1000/1000000</f>
        <v/>
      </c>
      <c r="K1755" s="23">
        <f>K1744*Inputs!$C$273*K1745/1000/1000000</f>
        <v/>
      </c>
      <c r="L1755" s="23">
        <f>L1744*Inputs!$C$273*L1745/1000/1000000</f>
        <v/>
      </c>
      <c r="M1755" s="23">
        <f>M1744*Inputs!$C$273*M1745/1000/1000000</f>
        <v/>
      </c>
      <c r="N1755" s="23">
        <f>N1744*Inputs!$C$273*N1745/1000/1000000</f>
        <v/>
      </c>
      <c r="O1755" s="23">
        <f>O1744*Inputs!$C$273*O1745/1000/1000000</f>
        <v/>
      </c>
      <c r="P1755" s="23">
        <f>P1744*Inputs!$C$273*P1745/1000/1000000</f>
        <v/>
      </c>
      <c r="Q1755" s="23">
        <f>Q1744*Inputs!$C$273*Q1745/1000/1000000</f>
        <v/>
      </c>
      <c r="R1755" s="23">
        <f>R1744*Inputs!$C$273*R1745/1000/1000000</f>
        <v/>
      </c>
      <c r="S1755" s="23">
        <f>S1744*Inputs!$C$273*S1745/1000/1000000</f>
        <v/>
      </c>
      <c r="T1755" s="23">
        <f>T1744*Inputs!$C$273*T1745/1000/1000000</f>
        <v/>
      </c>
      <c r="U1755" s="23">
        <f>U1744*Inputs!$C$273*U1745/1000/1000000</f>
        <v/>
      </c>
      <c r="V1755" s="23">
        <f>V1744*Inputs!$C$273*V1745/1000/1000000</f>
        <v/>
      </c>
      <c r="W1755" s="23">
        <f>W1744*Inputs!$C$273*W1745/1000/1000000</f>
        <v/>
      </c>
      <c r="X1755" s="23">
        <f>X1744*Inputs!$C$273*X1745/1000/1000000</f>
        <v/>
      </c>
      <c r="Y1755" s="23">
        <f>Y1744*Inputs!$C$273*Y1745/1000/1000000</f>
        <v/>
      </c>
      <c r="Z1755" s="23">
        <f>Z1744*Inputs!$C$273*Z1745/1000/1000000</f>
        <v/>
      </c>
      <c r="AA1755" s="23">
        <f>AA1744*Inputs!$C$273*AA1745/1000/1000000</f>
        <v/>
      </c>
      <c r="AB1755" s="23">
        <f>AB1744*Inputs!$C$273*AB1745/1000/1000000</f>
        <v/>
      </c>
      <c r="AC1755" s="23">
        <f>AC1744*Inputs!$C$273*AC1745/1000/1000000</f>
        <v/>
      </c>
      <c r="AD1755" s="23">
        <f>AD1744*Inputs!$C$273*AD1745/1000/1000000</f>
        <v/>
      </c>
      <c r="AE1755" s="23">
        <f>AE1744*Inputs!$C$273*AE1745/1000/1000000</f>
        <v/>
      </c>
      <c r="AF1755" s="23">
        <f>AF1744*Inputs!$C$273*AF1745/1000/1000000</f>
        <v/>
      </c>
      <c r="AG1755" s="23">
        <f>AG1744*Inputs!$C$273*AG1745/1000/1000000</f>
        <v/>
      </c>
      <c r="AH1755" s="23">
        <f>AH1744*Inputs!$C$273*AH1745/1000/1000000</f>
        <v/>
      </c>
      <c r="AI1755" s="23">
        <f>AI1744*Inputs!$C$273*AI1745/1000/1000000</f>
        <v/>
      </c>
      <c r="AJ1755" s="23">
        <f>AJ1744*Inputs!$C$273*AJ1745/1000/1000000</f>
        <v/>
      </c>
    </row>
    <row r="1756">
      <c r="B1756" s="2" t="inlineStr">
        <is>
          <t>Chemicals</t>
        </is>
      </c>
      <c r="C1756" s="5" t="inlineStr">
        <is>
          <t>$ million</t>
        </is>
      </c>
      <c r="D1756" s="23">
        <f>D1750</f>
        <v/>
      </c>
      <c r="E1756" s="23">
        <f>E1750</f>
        <v/>
      </c>
      <c r="F1756" s="23">
        <f>F1750</f>
        <v/>
      </c>
      <c r="G1756" s="23">
        <f>G1750</f>
        <v/>
      </c>
      <c r="H1756" s="23">
        <f>H1750</f>
        <v/>
      </c>
      <c r="I1756" s="23">
        <f>I1750</f>
        <v/>
      </c>
      <c r="J1756" s="23">
        <f>J1750</f>
        <v/>
      </c>
      <c r="K1756" s="23">
        <f>K1750</f>
        <v/>
      </c>
      <c r="L1756" s="23">
        <f>L1750</f>
        <v/>
      </c>
      <c r="M1756" s="23">
        <f>M1750</f>
        <v/>
      </c>
      <c r="N1756" s="23">
        <f>N1750</f>
        <v/>
      </c>
      <c r="O1756" s="23">
        <f>O1750</f>
        <v/>
      </c>
      <c r="P1756" s="23">
        <f>P1750</f>
        <v/>
      </c>
      <c r="Q1756" s="23">
        <f>Q1750</f>
        <v/>
      </c>
      <c r="R1756" s="23">
        <f>R1750</f>
        <v/>
      </c>
      <c r="S1756" s="23">
        <f>S1750</f>
        <v/>
      </c>
      <c r="T1756" s="23">
        <f>T1750</f>
        <v/>
      </c>
      <c r="U1756" s="23">
        <f>U1750</f>
        <v/>
      </c>
      <c r="V1756" s="23">
        <f>V1750</f>
        <v/>
      </c>
      <c r="W1756" s="23">
        <f>W1750</f>
        <v/>
      </c>
      <c r="X1756" s="23">
        <f>X1750</f>
        <v/>
      </c>
      <c r="Y1756" s="23">
        <f>Y1750</f>
        <v/>
      </c>
      <c r="Z1756" s="23">
        <f>Z1750</f>
        <v/>
      </c>
      <c r="AA1756" s="23">
        <f>AA1750</f>
        <v/>
      </c>
      <c r="AB1756" s="23">
        <f>AB1750</f>
        <v/>
      </c>
      <c r="AC1756" s="23">
        <f>AC1750</f>
        <v/>
      </c>
      <c r="AD1756" s="23">
        <f>AD1750</f>
        <v/>
      </c>
      <c r="AE1756" s="23">
        <f>AE1750</f>
        <v/>
      </c>
      <c r="AF1756" s="23">
        <f>AF1750</f>
        <v/>
      </c>
      <c r="AG1756" s="23">
        <f>AG1750</f>
        <v/>
      </c>
      <c r="AH1756" s="23">
        <f>AH1750</f>
        <v/>
      </c>
      <c r="AI1756" s="23">
        <f>AI1750</f>
        <v/>
      </c>
      <c r="AJ1756" s="23">
        <f>AJ1750</f>
        <v/>
      </c>
    </row>
    <row r="1757">
      <c r="B1757" s="2" t="inlineStr">
        <is>
          <t>Major overhauls</t>
        </is>
      </c>
      <c r="C1757" s="5" t="inlineStr">
        <is>
          <t>$ million</t>
        </is>
      </c>
      <c r="D1757" s="23">
        <f>D1730*IF(OR(D1729=sb_major_y1,D1729=sb_major_y2),sb_major*D1732,0)</f>
        <v/>
      </c>
      <c r="E1757" s="23">
        <f>E1730*IF(OR(E1729=sb_major_y1,E1729=sb_major_y2),sb_major*E1732,0)</f>
        <v/>
      </c>
      <c r="F1757" s="23">
        <f>F1730*IF(OR(F1729=sb_major_y1,F1729=sb_major_y2),sb_major*F1732,0)</f>
        <v/>
      </c>
      <c r="G1757" s="23">
        <f>G1730*IF(OR(G1729=sb_major_y1,G1729=sb_major_y2),sb_major*G1732,0)</f>
        <v/>
      </c>
      <c r="H1757" s="23">
        <f>H1730*IF(OR(H1729=sb_major_y1,H1729=sb_major_y2),sb_major*H1732,0)</f>
        <v/>
      </c>
      <c r="I1757" s="23">
        <f>I1730*IF(OR(I1729=sb_major_y1,I1729=sb_major_y2),sb_major*I1732,0)</f>
        <v/>
      </c>
      <c r="J1757" s="23">
        <f>J1730*IF(OR(J1729=sb_major_y1,J1729=sb_major_y2),sb_major*J1732,0)</f>
        <v/>
      </c>
      <c r="K1757" s="23">
        <f>K1730*IF(OR(K1729=sb_major_y1,K1729=sb_major_y2),sb_major*K1732,0)</f>
        <v/>
      </c>
      <c r="L1757" s="23">
        <f>L1730*IF(OR(L1729=sb_major_y1,L1729=sb_major_y2),sb_major*L1732,0)</f>
        <v/>
      </c>
      <c r="M1757" s="23">
        <f>M1730*IF(OR(M1729=sb_major_y1,M1729=sb_major_y2),sb_major*M1732,0)</f>
        <v/>
      </c>
      <c r="N1757" s="23">
        <f>N1730*IF(OR(N1729=sb_major_y1,N1729=sb_major_y2),sb_major*N1732,0)</f>
        <v/>
      </c>
      <c r="O1757" s="23">
        <f>O1730*IF(OR(O1729=sb_major_y1,O1729=sb_major_y2),sb_major*O1732,0)</f>
        <v/>
      </c>
      <c r="P1757" s="23">
        <f>P1730*IF(OR(P1729=sb_major_y1,P1729=sb_major_y2),sb_major*P1732,0)</f>
        <v/>
      </c>
      <c r="Q1757" s="23">
        <f>Q1730*IF(OR(Q1729=sb_major_y1,Q1729=sb_major_y2),sb_major*Q1732,0)</f>
        <v/>
      </c>
      <c r="R1757" s="23">
        <f>R1730*IF(OR(R1729=sb_major_y1,R1729=sb_major_y2),sb_major*R1732,0)</f>
        <v/>
      </c>
      <c r="S1757" s="23">
        <f>S1730*IF(OR(S1729=sb_major_y1,S1729=sb_major_y2),sb_major*S1732,0)</f>
        <v/>
      </c>
      <c r="T1757" s="23">
        <f>T1730*IF(OR(T1729=sb_major_y1,T1729=sb_major_y2),sb_major*T1732,0)</f>
        <v/>
      </c>
      <c r="U1757" s="23">
        <f>U1730*IF(OR(U1729=sb_major_y1,U1729=sb_major_y2),sb_major*U1732,0)</f>
        <v/>
      </c>
      <c r="V1757" s="23">
        <f>V1730*IF(OR(V1729=sb_major_y1,V1729=sb_major_y2),sb_major*V1732,0)</f>
        <v/>
      </c>
      <c r="W1757" s="23">
        <f>W1730*IF(OR(W1729=sb_major_y1,W1729=sb_major_y2),sb_major*W1732,0)</f>
        <v/>
      </c>
      <c r="X1757" s="23">
        <f>X1730*IF(OR(X1729=sb_major_y1,X1729=sb_major_y2),sb_major*X1732,0)</f>
        <v/>
      </c>
      <c r="Y1757" s="23">
        <f>Y1730*IF(OR(Y1729=sb_major_y1,Y1729=sb_major_y2),sb_major*Y1732,0)</f>
        <v/>
      </c>
      <c r="Z1757" s="23">
        <f>Z1730*IF(OR(Z1729=sb_major_y1,Z1729=sb_major_y2),sb_major*Z1732,0)</f>
        <v/>
      </c>
      <c r="AA1757" s="23">
        <f>AA1730*IF(OR(AA1729=sb_major_y1,AA1729=sb_major_y2),sb_major*AA1732,0)</f>
        <v/>
      </c>
      <c r="AB1757" s="23">
        <f>AB1730*IF(OR(AB1729=sb_major_y1,AB1729=sb_major_y2),sb_major*AB1732,0)</f>
        <v/>
      </c>
      <c r="AC1757" s="23">
        <f>AC1730*IF(OR(AC1729=sb_major_y1,AC1729=sb_major_y2),sb_major*AC1732,0)</f>
        <v/>
      </c>
      <c r="AD1757" s="23">
        <f>AD1730*IF(OR(AD1729=sb_major_y1,AD1729=sb_major_y2),sb_major*AD1732,0)</f>
        <v/>
      </c>
      <c r="AE1757" s="23">
        <f>AE1730*IF(OR(AE1729=sb_major_y1,AE1729=sb_major_y2),sb_major*AE1732,0)</f>
        <v/>
      </c>
      <c r="AF1757" s="23">
        <f>AF1730*IF(OR(AF1729=sb_major_y1,AF1729=sb_major_y2),sb_major*AF1732,0)</f>
        <v/>
      </c>
      <c r="AG1757" s="23">
        <f>AG1730*IF(OR(AG1729=sb_major_y1,AG1729=sb_major_y2),sb_major*AG1732,0)</f>
        <v/>
      </c>
      <c r="AH1757" s="23">
        <f>AH1730*IF(OR(AH1729=sb_major_y1,AH1729=sb_major_y2),sb_major*AH1732,0)</f>
        <v/>
      </c>
      <c r="AI1757" s="23">
        <f>AI1730*IF(OR(AI1729=sb_major_y1,AI1729=sb_major_y2),sb_major*AI1732,0)</f>
        <v/>
      </c>
      <c r="AJ1757" s="23">
        <f>AJ1730*IF(OR(AJ1729=sb_major_y1,AJ1729=sb_major_y2),sb_major*AJ1732,0)</f>
        <v/>
      </c>
    </row>
    <row r="1758">
      <c r="B1758" s="2" t="inlineStr">
        <is>
          <t>Operating cost</t>
        </is>
      </c>
      <c r="C1758" s="5" t="inlineStr">
        <is>
          <t>$ million</t>
        </is>
      </c>
      <c r="D1758" s="23">
        <f>SUM(D1754:D1757)</f>
        <v/>
      </c>
      <c r="E1758" s="23">
        <f>SUM(E1754:E1757)</f>
        <v/>
      </c>
      <c r="F1758" s="23">
        <f>SUM(F1754:F1757)</f>
        <v/>
      </c>
      <c r="G1758" s="23">
        <f>SUM(G1754:G1757)</f>
        <v/>
      </c>
      <c r="H1758" s="23">
        <f>SUM(H1754:H1757)</f>
        <v/>
      </c>
      <c r="I1758" s="23">
        <f>SUM(I1754:I1757)</f>
        <v/>
      </c>
      <c r="J1758" s="23">
        <f>SUM(J1754:J1757)</f>
        <v/>
      </c>
      <c r="K1758" s="23">
        <f>SUM(K1754:K1757)</f>
        <v/>
      </c>
      <c r="L1758" s="23">
        <f>SUM(L1754:L1757)</f>
        <v/>
      </c>
      <c r="M1758" s="23">
        <f>SUM(M1754:M1757)</f>
        <v/>
      </c>
      <c r="N1758" s="23">
        <f>SUM(N1754:N1757)</f>
        <v/>
      </c>
      <c r="O1758" s="23">
        <f>SUM(O1754:O1757)</f>
        <v/>
      </c>
      <c r="P1758" s="23">
        <f>SUM(P1754:P1757)</f>
        <v/>
      </c>
      <c r="Q1758" s="23">
        <f>SUM(Q1754:Q1757)</f>
        <v/>
      </c>
      <c r="R1758" s="23">
        <f>SUM(R1754:R1757)</f>
        <v/>
      </c>
      <c r="S1758" s="23">
        <f>SUM(S1754:S1757)</f>
        <v/>
      </c>
      <c r="T1758" s="23">
        <f>SUM(T1754:T1757)</f>
        <v/>
      </c>
      <c r="U1758" s="23">
        <f>SUM(U1754:U1757)</f>
        <v/>
      </c>
      <c r="V1758" s="23">
        <f>SUM(V1754:V1757)</f>
        <v/>
      </c>
      <c r="W1758" s="23">
        <f>SUM(W1754:W1757)</f>
        <v/>
      </c>
      <c r="X1758" s="23">
        <f>SUM(X1754:X1757)</f>
        <v/>
      </c>
      <c r="Y1758" s="23">
        <f>SUM(Y1754:Y1757)</f>
        <v/>
      </c>
      <c r="Z1758" s="23">
        <f>SUM(Z1754:Z1757)</f>
        <v/>
      </c>
      <c r="AA1758" s="23">
        <f>SUM(AA1754:AA1757)</f>
        <v/>
      </c>
      <c r="AB1758" s="23">
        <f>SUM(AB1754:AB1757)</f>
        <v/>
      </c>
      <c r="AC1758" s="23">
        <f>SUM(AC1754:AC1757)</f>
        <v/>
      </c>
      <c r="AD1758" s="23">
        <f>SUM(AD1754:AD1757)</f>
        <v/>
      </c>
      <c r="AE1758" s="23">
        <f>SUM(AE1754:AE1757)</f>
        <v/>
      </c>
      <c r="AF1758" s="23">
        <f>SUM(AF1754:AF1757)</f>
        <v/>
      </c>
      <c r="AG1758" s="23">
        <f>SUM(AG1754:AG1757)</f>
        <v/>
      </c>
      <c r="AH1758" s="23">
        <f>SUM(AH1754:AH1757)</f>
        <v/>
      </c>
      <c r="AI1758" s="23">
        <f>SUM(AI1754:AI1757)</f>
        <v/>
      </c>
      <c r="AJ1758" s="23">
        <f>SUM(AJ1754:AJ1757)</f>
        <v/>
      </c>
    </row>
    <row r="1759">
      <c r="B1759" s="3" t="inlineStr">
        <is>
          <t>Cash flow available for debt service (CFADS)</t>
        </is>
      </c>
      <c r="C1759" s="5" t="inlineStr">
        <is>
          <t>$ million</t>
        </is>
      </c>
      <c r="D1759" s="23">
        <f>D1753-D1758</f>
        <v/>
      </c>
      <c r="E1759" s="23">
        <f>E1753-E1758</f>
        <v/>
      </c>
      <c r="F1759" s="23">
        <f>F1753-F1758</f>
        <v/>
      </c>
      <c r="G1759" s="23">
        <f>G1753-G1758</f>
        <v/>
      </c>
      <c r="H1759" s="23">
        <f>H1753-H1758</f>
        <v/>
      </c>
      <c r="I1759" s="23">
        <f>I1753-I1758</f>
        <v/>
      </c>
      <c r="J1759" s="23">
        <f>J1753-J1758</f>
        <v/>
      </c>
      <c r="K1759" s="23">
        <f>K1753-K1758</f>
        <v/>
      </c>
      <c r="L1759" s="23">
        <f>L1753-L1758</f>
        <v/>
      </c>
      <c r="M1759" s="23">
        <f>M1753-M1758</f>
        <v/>
      </c>
      <c r="N1759" s="23">
        <f>N1753-N1758</f>
        <v/>
      </c>
      <c r="O1759" s="23">
        <f>O1753-O1758</f>
        <v/>
      </c>
      <c r="P1759" s="23">
        <f>P1753-P1758</f>
        <v/>
      </c>
      <c r="Q1759" s="23">
        <f>Q1753-Q1758</f>
        <v/>
      </c>
      <c r="R1759" s="23">
        <f>R1753-R1758</f>
        <v/>
      </c>
      <c r="S1759" s="23">
        <f>S1753-S1758</f>
        <v/>
      </c>
      <c r="T1759" s="23">
        <f>T1753-T1758</f>
        <v/>
      </c>
      <c r="U1759" s="23">
        <f>U1753-U1758</f>
        <v/>
      </c>
      <c r="V1759" s="23">
        <f>V1753-V1758</f>
        <v/>
      </c>
      <c r="W1759" s="23">
        <f>W1753-W1758</f>
        <v/>
      </c>
      <c r="X1759" s="23">
        <f>X1753-X1758</f>
        <v/>
      </c>
      <c r="Y1759" s="23">
        <f>Y1753-Y1758</f>
        <v/>
      </c>
      <c r="Z1759" s="23">
        <f>Z1753-Z1758</f>
        <v/>
      </c>
      <c r="AA1759" s="23">
        <f>AA1753-AA1758</f>
        <v/>
      </c>
      <c r="AB1759" s="23">
        <f>AB1753-AB1758</f>
        <v/>
      </c>
      <c r="AC1759" s="23">
        <f>AC1753-AC1758</f>
        <v/>
      </c>
      <c r="AD1759" s="23">
        <f>AD1753-AD1758</f>
        <v/>
      </c>
      <c r="AE1759" s="23">
        <f>AE1753-AE1758</f>
        <v/>
      </c>
      <c r="AF1759" s="23">
        <f>AF1753-AF1758</f>
        <v/>
      </c>
      <c r="AG1759" s="23">
        <f>AG1753-AG1758</f>
        <v/>
      </c>
      <c r="AH1759" s="23">
        <f>AH1753-AH1758</f>
        <v/>
      </c>
      <c r="AI1759" s="23">
        <f>AI1753-AI1758</f>
        <v/>
      </c>
      <c r="AJ1759" s="23">
        <f>AJ1753-AJ1758</f>
        <v/>
      </c>
    </row>
    <row r="1761">
      <c r="B1761" s="6" t="inlineStr">
        <is>
          <t>Debt and flows</t>
        </is>
      </c>
      <c r="C1761" s="7" t="n"/>
      <c r="D1761" s="7" t="n"/>
      <c r="E1761" s="7" t="n"/>
      <c r="F1761" s="7" t="n"/>
      <c r="G1761" s="7" t="n"/>
      <c r="H1761" s="7" t="n"/>
      <c r="I1761" s="7" t="n"/>
      <c r="J1761" s="7" t="n"/>
      <c r="K1761" s="7" t="n"/>
      <c r="L1761" s="7" t="n"/>
      <c r="M1761" s="7" t="n"/>
      <c r="N1761" s="7" t="n"/>
      <c r="O1761" s="7" t="n"/>
      <c r="P1761" s="7" t="n"/>
      <c r="Q1761" s="7" t="n"/>
      <c r="R1761" s="7" t="n"/>
      <c r="S1761" s="7" t="n"/>
      <c r="T1761" s="7" t="n"/>
      <c r="U1761" s="7" t="n"/>
      <c r="V1761" s="7" t="n"/>
      <c r="W1761" s="7" t="n"/>
      <c r="X1761" s="7" t="n"/>
      <c r="Y1761" s="7" t="n"/>
      <c r="Z1761" s="7" t="n"/>
      <c r="AA1761" s="7" t="n"/>
      <c r="AB1761" s="7" t="n"/>
      <c r="AC1761" s="7" t="n"/>
      <c r="AD1761" s="7" t="n"/>
      <c r="AE1761" s="7" t="n"/>
      <c r="AF1761" s="7" t="n"/>
      <c r="AG1761" s="7" t="n"/>
      <c r="AH1761" s="7" t="n"/>
      <c r="AI1761" s="7" t="n"/>
      <c r="AJ1761" s="7" t="n"/>
    </row>
    <row r="1762">
      <c r="B1762" s="2" t="inlineStr">
        <is>
          <t>Capital cost paid</t>
        </is>
      </c>
      <c r="C1762" s="5" t="inlineStr">
        <is>
          <t>$ million</t>
        </is>
      </c>
      <c r="D1762" s="23">
        <f>-IF(D1729=sb_start+1,sb_phase1,IF(D1729=sb_start+2,1-sb_phase1,0))*$D$1739</f>
        <v/>
      </c>
      <c r="E1762" s="23">
        <f>-IF(E1729=sb_start+1,sb_phase1,IF(E1729=sb_start+2,1-sb_phase1,0))*$D$1739</f>
        <v/>
      </c>
      <c r="F1762" s="23">
        <f>-IF(F1729=sb_start+1,sb_phase1,IF(F1729=sb_start+2,1-sb_phase1,0))*$D$1739</f>
        <v/>
      </c>
      <c r="G1762" s="23">
        <f>-IF(G1729=sb_start+1,sb_phase1,IF(G1729=sb_start+2,1-sb_phase1,0))*$D$1739</f>
        <v/>
      </c>
      <c r="H1762" s="23">
        <f>-IF(H1729=sb_start+1,sb_phase1,IF(H1729=sb_start+2,1-sb_phase1,0))*$D$1739</f>
        <v/>
      </c>
      <c r="I1762" s="23">
        <f>-IF(I1729=sb_start+1,sb_phase1,IF(I1729=sb_start+2,1-sb_phase1,0))*$D$1739</f>
        <v/>
      </c>
      <c r="J1762" s="23">
        <f>-IF(J1729=sb_start+1,sb_phase1,IF(J1729=sb_start+2,1-sb_phase1,0))*$D$1739</f>
        <v/>
      </c>
      <c r="K1762" s="23">
        <f>-IF(K1729=sb_start+1,sb_phase1,IF(K1729=sb_start+2,1-sb_phase1,0))*$D$1739</f>
        <v/>
      </c>
      <c r="L1762" s="23">
        <f>-IF(L1729=sb_start+1,sb_phase1,IF(L1729=sb_start+2,1-sb_phase1,0))*$D$1739</f>
        <v/>
      </c>
      <c r="M1762" s="23">
        <f>-IF(M1729=sb_start+1,sb_phase1,IF(M1729=sb_start+2,1-sb_phase1,0))*$D$1739</f>
        <v/>
      </c>
      <c r="N1762" s="23">
        <f>-IF(N1729=sb_start+1,sb_phase1,IF(N1729=sb_start+2,1-sb_phase1,0))*$D$1739</f>
        <v/>
      </c>
      <c r="O1762" s="23">
        <f>-IF(O1729=sb_start+1,sb_phase1,IF(O1729=sb_start+2,1-sb_phase1,0))*$D$1739</f>
        <v/>
      </c>
      <c r="P1762" s="23">
        <f>-IF(P1729=sb_start+1,sb_phase1,IF(P1729=sb_start+2,1-sb_phase1,0))*$D$1739</f>
        <v/>
      </c>
      <c r="Q1762" s="23">
        <f>-IF(Q1729=sb_start+1,sb_phase1,IF(Q1729=sb_start+2,1-sb_phase1,0))*$D$1739</f>
        <v/>
      </c>
      <c r="R1762" s="23">
        <f>-IF(R1729=sb_start+1,sb_phase1,IF(R1729=sb_start+2,1-sb_phase1,0))*$D$1739</f>
        <v/>
      </c>
      <c r="S1762" s="23">
        <f>-IF(S1729=sb_start+1,sb_phase1,IF(S1729=sb_start+2,1-sb_phase1,0))*$D$1739</f>
        <v/>
      </c>
      <c r="T1762" s="23">
        <f>-IF(T1729=sb_start+1,sb_phase1,IF(T1729=sb_start+2,1-sb_phase1,0))*$D$1739</f>
        <v/>
      </c>
      <c r="U1762" s="23">
        <f>-IF(U1729=sb_start+1,sb_phase1,IF(U1729=sb_start+2,1-sb_phase1,0))*$D$1739</f>
        <v/>
      </c>
      <c r="V1762" s="23">
        <f>-IF(V1729=sb_start+1,sb_phase1,IF(V1729=sb_start+2,1-sb_phase1,0))*$D$1739</f>
        <v/>
      </c>
      <c r="W1762" s="23">
        <f>-IF(W1729=sb_start+1,sb_phase1,IF(W1729=sb_start+2,1-sb_phase1,0))*$D$1739</f>
        <v/>
      </c>
      <c r="X1762" s="23">
        <f>-IF(X1729=sb_start+1,sb_phase1,IF(X1729=sb_start+2,1-sb_phase1,0))*$D$1739</f>
        <v/>
      </c>
      <c r="Y1762" s="23">
        <f>-IF(Y1729=sb_start+1,sb_phase1,IF(Y1729=sb_start+2,1-sb_phase1,0))*$D$1739</f>
        <v/>
      </c>
      <c r="Z1762" s="23">
        <f>-IF(Z1729=sb_start+1,sb_phase1,IF(Z1729=sb_start+2,1-sb_phase1,0))*$D$1739</f>
        <v/>
      </c>
      <c r="AA1762" s="23">
        <f>-IF(AA1729=sb_start+1,sb_phase1,IF(AA1729=sb_start+2,1-sb_phase1,0))*$D$1739</f>
        <v/>
      </c>
      <c r="AB1762" s="23">
        <f>-IF(AB1729=sb_start+1,sb_phase1,IF(AB1729=sb_start+2,1-sb_phase1,0))*$D$1739</f>
        <v/>
      </c>
      <c r="AC1762" s="23">
        <f>-IF(AC1729=sb_start+1,sb_phase1,IF(AC1729=sb_start+2,1-sb_phase1,0))*$D$1739</f>
        <v/>
      </c>
      <c r="AD1762" s="23">
        <f>-IF(AD1729=sb_start+1,sb_phase1,IF(AD1729=sb_start+2,1-sb_phase1,0))*$D$1739</f>
        <v/>
      </c>
      <c r="AE1762" s="23">
        <f>-IF(AE1729=sb_start+1,sb_phase1,IF(AE1729=sb_start+2,1-sb_phase1,0))*$D$1739</f>
        <v/>
      </c>
      <c r="AF1762" s="23">
        <f>-IF(AF1729=sb_start+1,sb_phase1,IF(AF1729=sb_start+2,1-sb_phase1,0))*$D$1739</f>
        <v/>
      </c>
      <c r="AG1762" s="23">
        <f>-IF(AG1729=sb_start+1,sb_phase1,IF(AG1729=sb_start+2,1-sb_phase1,0))*$D$1739</f>
        <v/>
      </c>
      <c r="AH1762" s="23">
        <f>-IF(AH1729=sb_start+1,sb_phase1,IF(AH1729=sb_start+2,1-sb_phase1,0))*$D$1739</f>
        <v/>
      </c>
      <c r="AI1762" s="23">
        <f>-IF(AI1729=sb_start+1,sb_phase1,IF(AI1729=sb_start+2,1-sb_phase1,0))*$D$1739</f>
        <v/>
      </c>
      <c r="AJ1762" s="23">
        <f>-IF(AJ1729=sb_start+1,sb_phase1,IF(AJ1729=sb_start+2,1-sb_phase1,0))*$D$1739</f>
        <v/>
      </c>
    </row>
    <row r="1763">
      <c r="B1763" s="2" t="inlineStr">
        <is>
          <t>Debt discount factor (tenor years)</t>
        </is>
      </c>
      <c r="D1763" s="28">
        <f>IF(AND(D1730=1,D1731&lt;sb_tenor),1/(1+sb_kd)^(D1731+1),0)</f>
        <v/>
      </c>
      <c r="E1763" s="28">
        <f>IF(AND(E1730=1,E1731&lt;sb_tenor),1/(1+sb_kd)^(E1731+1),0)</f>
        <v/>
      </c>
      <c r="F1763" s="28">
        <f>IF(AND(F1730=1,F1731&lt;sb_tenor),1/(1+sb_kd)^(F1731+1),0)</f>
        <v/>
      </c>
      <c r="G1763" s="28">
        <f>IF(AND(G1730=1,G1731&lt;sb_tenor),1/(1+sb_kd)^(G1731+1),0)</f>
        <v/>
      </c>
      <c r="H1763" s="28">
        <f>IF(AND(H1730=1,H1731&lt;sb_tenor),1/(1+sb_kd)^(H1731+1),0)</f>
        <v/>
      </c>
      <c r="I1763" s="28">
        <f>IF(AND(I1730=1,I1731&lt;sb_tenor),1/(1+sb_kd)^(I1731+1),0)</f>
        <v/>
      </c>
      <c r="J1763" s="28">
        <f>IF(AND(J1730=1,J1731&lt;sb_tenor),1/(1+sb_kd)^(J1731+1),0)</f>
        <v/>
      </c>
      <c r="K1763" s="28">
        <f>IF(AND(K1730=1,K1731&lt;sb_tenor),1/(1+sb_kd)^(K1731+1),0)</f>
        <v/>
      </c>
      <c r="L1763" s="28">
        <f>IF(AND(L1730=1,L1731&lt;sb_tenor),1/(1+sb_kd)^(L1731+1),0)</f>
        <v/>
      </c>
      <c r="M1763" s="28">
        <f>IF(AND(M1730=1,M1731&lt;sb_tenor),1/(1+sb_kd)^(M1731+1),0)</f>
        <v/>
      </c>
      <c r="N1763" s="28">
        <f>IF(AND(N1730=1,N1731&lt;sb_tenor),1/(1+sb_kd)^(N1731+1),0)</f>
        <v/>
      </c>
      <c r="O1763" s="28">
        <f>IF(AND(O1730=1,O1731&lt;sb_tenor),1/(1+sb_kd)^(O1731+1),0)</f>
        <v/>
      </c>
      <c r="P1763" s="28">
        <f>IF(AND(P1730=1,P1731&lt;sb_tenor),1/(1+sb_kd)^(P1731+1),0)</f>
        <v/>
      </c>
      <c r="Q1763" s="28">
        <f>IF(AND(Q1730=1,Q1731&lt;sb_tenor),1/(1+sb_kd)^(Q1731+1),0)</f>
        <v/>
      </c>
      <c r="R1763" s="28">
        <f>IF(AND(R1730=1,R1731&lt;sb_tenor),1/(1+sb_kd)^(R1731+1),0)</f>
        <v/>
      </c>
      <c r="S1763" s="28">
        <f>IF(AND(S1730=1,S1731&lt;sb_tenor),1/(1+sb_kd)^(S1731+1),0)</f>
        <v/>
      </c>
      <c r="T1763" s="28">
        <f>IF(AND(T1730=1,T1731&lt;sb_tenor),1/(1+sb_kd)^(T1731+1),0)</f>
        <v/>
      </c>
      <c r="U1763" s="28">
        <f>IF(AND(U1730=1,U1731&lt;sb_tenor),1/(1+sb_kd)^(U1731+1),0)</f>
        <v/>
      </c>
      <c r="V1763" s="28">
        <f>IF(AND(V1730=1,V1731&lt;sb_tenor),1/(1+sb_kd)^(V1731+1),0)</f>
        <v/>
      </c>
      <c r="W1763" s="28">
        <f>IF(AND(W1730=1,W1731&lt;sb_tenor),1/(1+sb_kd)^(W1731+1),0)</f>
        <v/>
      </c>
      <c r="X1763" s="28">
        <f>IF(AND(X1730=1,X1731&lt;sb_tenor),1/(1+sb_kd)^(X1731+1),0)</f>
        <v/>
      </c>
      <c r="Y1763" s="28">
        <f>IF(AND(Y1730=1,Y1731&lt;sb_tenor),1/(1+sb_kd)^(Y1731+1),0)</f>
        <v/>
      </c>
      <c r="Z1763" s="28">
        <f>IF(AND(Z1730=1,Z1731&lt;sb_tenor),1/(1+sb_kd)^(Z1731+1),0)</f>
        <v/>
      </c>
      <c r="AA1763" s="28">
        <f>IF(AND(AA1730=1,AA1731&lt;sb_tenor),1/(1+sb_kd)^(AA1731+1),0)</f>
        <v/>
      </c>
      <c r="AB1763" s="28">
        <f>IF(AND(AB1730=1,AB1731&lt;sb_tenor),1/(1+sb_kd)^(AB1731+1),0)</f>
        <v/>
      </c>
      <c r="AC1763" s="28">
        <f>IF(AND(AC1730=1,AC1731&lt;sb_tenor),1/(1+sb_kd)^(AC1731+1),0)</f>
        <v/>
      </c>
      <c r="AD1763" s="28">
        <f>IF(AND(AD1730=1,AD1731&lt;sb_tenor),1/(1+sb_kd)^(AD1731+1),0)</f>
        <v/>
      </c>
      <c r="AE1763" s="28">
        <f>IF(AND(AE1730=1,AE1731&lt;sb_tenor),1/(1+sb_kd)^(AE1731+1),0)</f>
        <v/>
      </c>
      <c r="AF1763" s="28">
        <f>IF(AND(AF1730=1,AF1731&lt;sb_tenor),1/(1+sb_kd)^(AF1731+1),0)</f>
        <v/>
      </c>
      <c r="AG1763" s="28">
        <f>IF(AND(AG1730=1,AG1731&lt;sb_tenor),1/(1+sb_kd)^(AG1731+1),0)</f>
        <v/>
      </c>
      <c r="AH1763" s="28">
        <f>IF(AND(AH1730=1,AH1731&lt;sb_tenor),1/(1+sb_kd)^(AH1731+1),0)</f>
        <v/>
      </c>
      <c r="AI1763" s="28">
        <f>IF(AND(AI1730=1,AI1731&lt;sb_tenor),1/(1+sb_kd)^(AI1731+1),0)</f>
        <v/>
      </c>
      <c r="AJ1763" s="28">
        <f>IF(AND(AJ1730=1,AJ1731&lt;sb_tenor),1/(1+sb_kd)^(AJ1731+1),0)</f>
        <v/>
      </c>
    </row>
    <row r="1764">
      <c r="B1764" s="2" t="inlineStr">
        <is>
          <t>Debt capacity at the sizing cover (PV of CFADS / cover)</t>
        </is>
      </c>
      <c r="C1764" s="5" t="inlineStr">
        <is>
          <t>$ million</t>
        </is>
      </c>
      <c r="D1764" s="23">
        <f>SUMPRODUCT($D$1759:AJ$1759,$D$1763:AJ$1763)/sb_dscr</f>
        <v/>
      </c>
    </row>
    <row r="1765">
      <c r="B1765" s="2" t="inlineStr">
        <is>
          <t>Senior debt (lower of cover sizing and gearing cap)</t>
        </is>
      </c>
      <c r="C1765" s="5" t="inlineStr">
        <is>
          <t>$ million</t>
        </is>
      </c>
      <c r="D1765" s="23">
        <f>MIN($D$1764,sb_gear*$D$1739)</f>
        <v/>
      </c>
    </row>
    <row r="1766">
      <c r="B1766" s="2" t="inlineStr">
        <is>
          <t>Gearing</t>
        </is>
      </c>
      <c r="C1766" s="5" t="inlineStr">
        <is>
          <t>share</t>
        </is>
      </c>
      <c r="D1766" s="20">
        <f>$D$1765/$D$1739</f>
        <v/>
      </c>
    </row>
    <row r="1767">
      <c r="B1767" s="2" t="inlineStr">
        <is>
          <t>Debt service (sculpted)</t>
        </is>
      </c>
      <c r="C1767" s="5" t="inlineStr">
        <is>
          <t>$ million</t>
        </is>
      </c>
      <c r="D1767" s="23">
        <f>IF(D1763&gt;0,D1759/sb_dscr*$D$1765/$D$1764,0)</f>
        <v/>
      </c>
      <c r="E1767" s="23">
        <f>IF(E1763&gt;0,E1759/sb_dscr*$D$1765/$D$1764,0)</f>
        <v/>
      </c>
      <c r="F1767" s="23">
        <f>IF(F1763&gt;0,F1759/sb_dscr*$D$1765/$D$1764,0)</f>
        <v/>
      </c>
      <c r="G1767" s="23">
        <f>IF(G1763&gt;0,G1759/sb_dscr*$D$1765/$D$1764,0)</f>
        <v/>
      </c>
      <c r="H1767" s="23">
        <f>IF(H1763&gt;0,H1759/sb_dscr*$D$1765/$D$1764,0)</f>
        <v/>
      </c>
      <c r="I1767" s="23">
        <f>IF(I1763&gt;0,I1759/sb_dscr*$D$1765/$D$1764,0)</f>
        <v/>
      </c>
      <c r="J1767" s="23">
        <f>IF(J1763&gt;0,J1759/sb_dscr*$D$1765/$D$1764,0)</f>
        <v/>
      </c>
      <c r="K1767" s="23">
        <f>IF(K1763&gt;0,K1759/sb_dscr*$D$1765/$D$1764,0)</f>
        <v/>
      </c>
      <c r="L1767" s="23">
        <f>IF(L1763&gt;0,L1759/sb_dscr*$D$1765/$D$1764,0)</f>
        <v/>
      </c>
      <c r="M1767" s="23">
        <f>IF(M1763&gt;0,M1759/sb_dscr*$D$1765/$D$1764,0)</f>
        <v/>
      </c>
      <c r="N1767" s="23">
        <f>IF(N1763&gt;0,N1759/sb_dscr*$D$1765/$D$1764,0)</f>
        <v/>
      </c>
      <c r="O1767" s="23">
        <f>IF(O1763&gt;0,O1759/sb_dscr*$D$1765/$D$1764,0)</f>
        <v/>
      </c>
      <c r="P1767" s="23">
        <f>IF(P1763&gt;0,P1759/sb_dscr*$D$1765/$D$1764,0)</f>
        <v/>
      </c>
      <c r="Q1767" s="23">
        <f>IF(Q1763&gt;0,Q1759/sb_dscr*$D$1765/$D$1764,0)</f>
        <v/>
      </c>
      <c r="R1767" s="23">
        <f>IF(R1763&gt;0,R1759/sb_dscr*$D$1765/$D$1764,0)</f>
        <v/>
      </c>
      <c r="S1767" s="23">
        <f>IF(S1763&gt;0,S1759/sb_dscr*$D$1765/$D$1764,0)</f>
        <v/>
      </c>
      <c r="T1767" s="23">
        <f>IF(T1763&gt;0,T1759/sb_dscr*$D$1765/$D$1764,0)</f>
        <v/>
      </c>
      <c r="U1767" s="23">
        <f>IF(U1763&gt;0,U1759/sb_dscr*$D$1765/$D$1764,0)</f>
        <v/>
      </c>
      <c r="V1767" s="23">
        <f>IF(V1763&gt;0,V1759/sb_dscr*$D$1765/$D$1764,0)</f>
        <v/>
      </c>
      <c r="W1767" s="23">
        <f>IF(W1763&gt;0,W1759/sb_dscr*$D$1765/$D$1764,0)</f>
        <v/>
      </c>
      <c r="X1767" s="23">
        <f>IF(X1763&gt;0,X1759/sb_dscr*$D$1765/$D$1764,0)</f>
        <v/>
      </c>
      <c r="Y1767" s="23">
        <f>IF(Y1763&gt;0,Y1759/sb_dscr*$D$1765/$D$1764,0)</f>
        <v/>
      </c>
      <c r="Z1767" s="23">
        <f>IF(Z1763&gt;0,Z1759/sb_dscr*$D$1765/$D$1764,0)</f>
        <v/>
      </c>
      <c r="AA1767" s="23">
        <f>IF(AA1763&gt;0,AA1759/sb_dscr*$D$1765/$D$1764,0)</f>
        <v/>
      </c>
      <c r="AB1767" s="23">
        <f>IF(AB1763&gt;0,AB1759/sb_dscr*$D$1765/$D$1764,0)</f>
        <v/>
      </c>
      <c r="AC1767" s="23">
        <f>IF(AC1763&gt;0,AC1759/sb_dscr*$D$1765/$D$1764,0)</f>
        <v/>
      </c>
      <c r="AD1767" s="23">
        <f>IF(AD1763&gt;0,AD1759/sb_dscr*$D$1765/$D$1764,0)</f>
        <v/>
      </c>
      <c r="AE1767" s="23">
        <f>IF(AE1763&gt;0,AE1759/sb_dscr*$D$1765/$D$1764,0)</f>
        <v/>
      </c>
      <c r="AF1767" s="23">
        <f>IF(AF1763&gt;0,AF1759/sb_dscr*$D$1765/$D$1764,0)</f>
        <v/>
      </c>
      <c r="AG1767" s="23">
        <f>IF(AG1763&gt;0,AG1759/sb_dscr*$D$1765/$D$1764,0)</f>
        <v/>
      </c>
      <c r="AH1767" s="23">
        <f>IF(AH1763&gt;0,AH1759/sb_dscr*$D$1765/$D$1764,0)</f>
        <v/>
      </c>
      <c r="AI1767" s="23">
        <f>IF(AI1763&gt;0,AI1759/sb_dscr*$D$1765/$D$1764,0)</f>
        <v/>
      </c>
      <c r="AJ1767" s="23">
        <f>IF(AJ1763&gt;0,AJ1759/sb_dscr*$D$1765/$D$1764,0)</f>
        <v/>
      </c>
    </row>
    <row r="1768">
      <c r="B1768" s="2" t="inlineStr">
        <is>
          <t>Debt service cover</t>
        </is>
      </c>
      <c r="C1768" s="5" t="inlineStr">
        <is>
          <t>x</t>
        </is>
      </c>
      <c r="D1768" s="30">
        <f>IF(D1767&gt;0,D1759/D1767,"")</f>
        <v/>
      </c>
      <c r="E1768" s="30">
        <f>IF(E1767&gt;0,E1759/E1767,"")</f>
        <v/>
      </c>
      <c r="F1768" s="30">
        <f>IF(F1767&gt;0,F1759/F1767,"")</f>
        <v/>
      </c>
      <c r="G1768" s="30">
        <f>IF(G1767&gt;0,G1759/G1767,"")</f>
        <v/>
      </c>
      <c r="H1768" s="30">
        <f>IF(H1767&gt;0,H1759/H1767,"")</f>
        <v/>
      </c>
      <c r="I1768" s="30">
        <f>IF(I1767&gt;0,I1759/I1767,"")</f>
        <v/>
      </c>
      <c r="J1768" s="30">
        <f>IF(J1767&gt;0,J1759/J1767,"")</f>
        <v/>
      </c>
      <c r="K1768" s="30">
        <f>IF(K1767&gt;0,K1759/K1767,"")</f>
        <v/>
      </c>
      <c r="L1768" s="30">
        <f>IF(L1767&gt;0,L1759/L1767,"")</f>
        <v/>
      </c>
      <c r="M1768" s="30">
        <f>IF(M1767&gt;0,M1759/M1767,"")</f>
        <v/>
      </c>
      <c r="N1768" s="30">
        <f>IF(N1767&gt;0,N1759/N1767,"")</f>
        <v/>
      </c>
      <c r="O1768" s="30">
        <f>IF(O1767&gt;0,O1759/O1767,"")</f>
        <v/>
      </c>
      <c r="P1768" s="30">
        <f>IF(P1767&gt;0,P1759/P1767,"")</f>
        <v/>
      </c>
      <c r="Q1768" s="30">
        <f>IF(Q1767&gt;0,Q1759/Q1767,"")</f>
        <v/>
      </c>
      <c r="R1768" s="30">
        <f>IF(R1767&gt;0,R1759/R1767,"")</f>
        <v/>
      </c>
      <c r="S1768" s="30">
        <f>IF(S1767&gt;0,S1759/S1767,"")</f>
        <v/>
      </c>
      <c r="T1768" s="30">
        <f>IF(T1767&gt;0,T1759/T1767,"")</f>
        <v/>
      </c>
      <c r="U1768" s="30">
        <f>IF(U1767&gt;0,U1759/U1767,"")</f>
        <v/>
      </c>
      <c r="V1768" s="30">
        <f>IF(V1767&gt;0,V1759/V1767,"")</f>
        <v/>
      </c>
      <c r="W1768" s="30">
        <f>IF(W1767&gt;0,W1759/W1767,"")</f>
        <v/>
      </c>
      <c r="X1768" s="30">
        <f>IF(X1767&gt;0,X1759/X1767,"")</f>
        <v/>
      </c>
      <c r="Y1768" s="30">
        <f>IF(Y1767&gt;0,Y1759/Y1767,"")</f>
        <v/>
      </c>
      <c r="Z1768" s="30">
        <f>IF(Z1767&gt;0,Z1759/Z1767,"")</f>
        <v/>
      </c>
      <c r="AA1768" s="30">
        <f>IF(AA1767&gt;0,AA1759/AA1767,"")</f>
        <v/>
      </c>
      <c r="AB1768" s="30">
        <f>IF(AB1767&gt;0,AB1759/AB1767,"")</f>
        <v/>
      </c>
      <c r="AC1768" s="30">
        <f>IF(AC1767&gt;0,AC1759/AC1767,"")</f>
        <v/>
      </c>
      <c r="AD1768" s="30">
        <f>IF(AD1767&gt;0,AD1759/AD1767,"")</f>
        <v/>
      </c>
      <c r="AE1768" s="30">
        <f>IF(AE1767&gt;0,AE1759/AE1767,"")</f>
        <v/>
      </c>
      <c r="AF1768" s="30">
        <f>IF(AF1767&gt;0,AF1759/AF1767,"")</f>
        <v/>
      </c>
      <c r="AG1768" s="30">
        <f>IF(AG1767&gt;0,AG1759/AG1767,"")</f>
        <v/>
      </c>
      <c r="AH1768" s="30">
        <f>IF(AH1767&gt;0,AH1759/AH1767,"")</f>
        <v/>
      </c>
      <c r="AI1768" s="30">
        <f>IF(AI1767&gt;0,AI1759/AI1767,"")</f>
        <v/>
      </c>
      <c r="AJ1768" s="30">
        <f>IF(AJ1767&gt;0,AJ1759/AJ1767,"")</f>
        <v/>
      </c>
    </row>
    <row r="1769">
      <c r="B1769" s="3" t="inlineStr">
        <is>
          <t>Project flows (unlevered, pre-tax)</t>
        </is>
      </c>
      <c r="C1769" s="5" t="inlineStr">
        <is>
          <t>$ million</t>
        </is>
      </c>
      <c r="D1769" s="23">
        <f>D1762+D1759</f>
        <v/>
      </c>
      <c r="E1769" s="23">
        <f>E1762+E1759</f>
        <v/>
      </c>
      <c r="F1769" s="23">
        <f>F1762+F1759</f>
        <v/>
      </c>
      <c r="G1769" s="23">
        <f>G1762+G1759</f>
        <v/>
      </c>
      <c r="H1769" s="23">
        <f>H1762+H1759</f>
        <v/>
      </c>
      <c r="I1769" s="23">
        <f>I1762+I1759</f>
        <v/>
      </c>
      <c r="J1769" s="23">
        <f>J1762+J1759</f>
        <v/>
      </c>
      <c r="K1769" s="23">
        <f>K1762+K1759</f>
        <v/>
      </c>
      <c r="L1769" s="23">
        <f>L1762+L1759</f>
        <v/>
      </c>
      <c r="M1769" s="23">
        <f>M1762+M1759</f>
        <v/>
      </c>
      <c r="N1769" s="23">
        <f>N1762+N1759</f>
        <v/>
      </c>
      <c r="O1769" s="23">
        <f>O1762+O1759</f>
        <v/>
      </c>
      <c r="P1769" s="23">
        <f>P1762+P1759</f>
        <v/>
      </c>
      <c r="Q1769" s="23">
        <f>Q1762+Q1759</f>
        <v/>
      </c>
      <c r="R1769" s="23">
        <f>R1762+R1759</f>
        <v/>
      </c>
      <c r="S1769" s="23">
        <f>S1762+S1759</f>
        <v/>
      </c>
      <c r="T1769" s="23">
        <f>T1762+T1759</f>
        <v/>
      </c>
      <c r="U1769" s="23">
        <f>U1762+U1759</f>
        <v/>
      </c>
      <c r="V1769" s="23">
        <f>V1762+V1759</f>
        <v/>
      </c>
      <c r="W1769" s="23">
        <f>W1762+W1759</f>
        <v/>
      </c>
      <c r="X1769" s="23">
        <f>X1762+X1759</f>
        <v/>
      </c>
      <c r="Y1769" s="23">
        <f>Y1762+Y1759</f>
        <v/>
      </c>
      <c r="Z1769" s="23">
        <f>Z1762+Z1759</f>
        <v/>
      </c>
      <c r="AA1769" s="23">
        <f>AA1762+AA1759</f>
        <v/>
      </c>
      <c r="AB1769" s="23">
        <f>AB1762+AB1759</f>
        <v/>
      </c>
      <c r="AC1769" s="23">
        <f>AC1762+AC1759</f>
        <v/>
      </c>
      <c r="AD1769" s="23">
        <f>AD1762+AD1759</f>
        <v/>
      </c>
      <c r="AE1769" s="23">
        <f>AE1762+AE1759</f>
        <v/>
      </c>
      <c r="AF1769" s="23">
        <f>AF1762+AF1759</f>
        <v/>
      </c>
      <c r="AG1769" s="23">
        <f>AG1762+AG1759</f>
        <v/>
      </c>
      <c r="AH1769" s="23">
        <f>AH1762+AH1759</f>
        <v/>
      </c>
      <c r="AI1769" s="23">
        <f>AI1762+AI1759</f>
        <v/>
      </c>
      <c r="AJ1769" s="23">
        <f>AJ1762+AJ1759</f>
        <v/>
      </c>
    </row>
    <row r="1770">
      <c r="B1770" s="3" t="inlineStr">
        <is>
          <t>Equity flows (pre-tax)</t>
        </is>
      </c>
      <c r="C1770" s="5" t="inlineStr">
        <is>
          <t>$ million</t>
        </is>
      </c>
      <c r="D1770" s="23">
        <f>D1762*(1-$D$1766)+D1759-D1767</f>
        <v/>
      </c>
      <c r="E1770" s="23">
        <f>E1762*(1-$D$1766)+E1759-E1767</f>
        <v/>
      </c>
      <c r="F1770" s="23">
        <f>F1762*(1-$D$1766)+F1759-F1767</f>
        <v/>
      </c>
      <c r="G1770" s="23">
        <f>G1762*(1-$D$1766)+G1759-G1767</f>
        <v/>
      </c>
      <c r="H1770" s="23">
        <f>H1762*(1-$D$1766)+H1759-H1767</f>
        <v/>
      </c>
      <c r="I1770" s="23">
        <f>I1762*(1-$D$1766)+I1759-I1767</f>
        <v/>
      </c>
      <c r="J1770" s="23">
        <f>J1762*(1-$D$1766)+J1759-J1767</f>
        <v/>
      </c>
      <c r="K1770" s="23">
        <f>K1762*(1-$D$1766)+K1759-K1767</f>
        <v/>
      </c>
      <c r="L1770" s="23">
        <f>L1762*(1-$D$1766)+L1759-L1767</f>
        <v/>
      </c>
      <c r="M1770" s="23">
        <f>M1762*(1-$D$1766)+M1759-M1767</f>
        <v/>
      </c>
      <c r="N1770" s="23">
        <f>N1762*(1-$D$1766)+N1759-N1767</f>
        <v/>
      </c>
      <c r="O1770" s="23">
        <f>O1762*(1-$D$1766)+O1759-O1767</f>
        <v/>
      </c>
      <c r="P1770" s="23">
        <f>P1762*(1-$D$1766)+P1759-P1767</f>
        <v/>
      </c>
      <c r="Q1770" s="23">
        <f>Q1762*(1-$D$1766)+Q1759-Q1767</f>
        <v/>
      </c>
      <c r="R1770" s="23">
        <f>R1762*(1-$D$1766)+R1759-R1767</f>
        <v/>
      </c>
      <c r="S1770" s="23">
        <f>S1762*(1-$D$1766)+S1759-S1767</f>
        <v/>
      </c>
      <c r="T1770" s="23">
        <f>T1762*(1-$D$1766)+T1759-T1767</f>
        <v/>
      </c>
      <c r="U1770" s="23">
        <f>U1762*(1-$D$1766)+U1759-U1767</f>
        <v/>
      </c>
      <c r="V1770" s="23">
        <f>V1762*(1-$D$1766)+V1759-V1767</f>
        <v/>
      </c>
      <c r="W1770" s="23">
        <f>W1762*(1-$D$1766)+W1759-W1767</f>
        <v/>
      </c>
      <c r="X1770" s="23">
        <f>X1762*(1-$D$1766)+X1759-X1767</f>
        <v/>
      </c>
      <c r="Y1770" s="23">
        <f>Y1762*(1-$D$1766)+Y1759-Y1767</f>
        <v/>
      </c>
      <c r="Z1770" s="23">
        <f>Z1762*(1-$D$1766)+Z1759-Z1767</f>
        <v/>
      </c>
      <c r="AA1770" s="23">
        <f>AA1762*(1-$D$1766)+AA1759-AA1767</f>
        <v/>
      </c>
      <c r="AB1770" s="23">
        <f>AB1762*(1-$D$1766)+AB1759-AB1767</f>
        <v/>
      </c>
      <c r="AC1770" s="23">
        <f>AC1762*(1-$D$1766)+AC1759-AC1767</f>
        <v/>
      </c>
      <c r="AD1770" s="23">
        <f>AD1762*(1-$D$1766)+AD1759-AD1767</f>
        <v/>
      </c>
      <c r="AE1770" s="23">
        <f>AE1762*(1-$D$1766)+AE1759-AE1767</f>
        <v/>
      </c>
      <c r="AF1770" s="23">
        <f>AF1762*(1-$D$1766)+AF1759-AF1767</f>
        <v/>
      </c>
      <c r="AG1770" s="23">
        <f>AG1762*(1-$D$1766)+AG1759-AG1767</f>
        <v/>
      </c>
      <c r="AH1770" s="23">
        <f>AH1762*(1-$D$1766)+AH1759-AH1767</f>
        <v/>
      </c>
      <c r="AI1770" s="23">
        <f>AI1762*(1-$D$1766)+AI1759-AI1767</f>
        <v/>
      </c>
      <c r="AJ1770" s="23">
        <f>AJ1762*(1-$D$1766)+AJ1759-AJ1767</f>
        <v/>
      </c>
    </row>
    <row r="1771">
      <c r="B1771" s="2" t="inlineStr">
        <is>
          <t>Project IRR</t>
        </is>
      </c>
      <c r="C1771" s="5" t="inlineStr">
        <is>
          <t>rate</t>
        </is>
      </c>
      <c r="D1771" s="27">
        <f>IRR($D$1769:AJ$1769,0.07)</f>
        <v/>
      </c>
    </row>
    <row r="1772">
      <c r="B1772" s="2" t="inlineStr">
        <is>
          <t>Equity IRR</t>
        </is>
      </c>
      <c r="C1772" s="5" t="inlineStr">
        <is>
          <t>rate</t>
        </is>
      </c>
      <c r="D1772" s="27">
        <f>IRR($D$1770:AJ$1770,0.1)</f>
        <v/>
      </c>
    </row>
    <row r="1773">
      <c r="B1773" s="2" t="inlineStr">
        <is>
          <t>Equity invested</t>
        </is>
      </c>
      <c r="C1773" s="5" t="inlineStr">
        <is>
          <t>$ million</t>
        </is>
      </c>
      <c r="D1773" s="23">
        <f>-SUMPRODUCT($D$1762:AJ$1762)*(1-$D$1766)</f>
        <v/>
      </c>
    </row>
    <row r="1776">
      <c r="B1776" s="6" t="inlineStr">
        <is>
          <t>C7: Offtake 65 percent instead of 85 (Sorrel Bay, pre-tax, at the bid capacity charge)</t>
        </is>
      </c>
      <c r="C1776" s="7" t="n"/>
      <c r="D1776" s="7" t="n"/>
      <c r="E1776" s="7" t="n"/>
      <c r="F1776" s="7" t="n"/>
      <c r="G1776" s="7" t="n"/>
      <c r="H1776" s="7" t="n"/>
      <c r="I1776" s="7" t="n"/>
      <c r="J1776" s="7" t="n"/>
      <c r="K1776" s="7" t="n"/>
      <c r="L1776" s="7" t="n"/>
      <c r="M1776" s="7" t="n"/>
      <c r="N1776" s="7" t="n"/>
      <c r="O1776" s="7" t="n"/>
      <c r="P1776" s="7" t="n"/>
      <c r="Q1776" s="7" t="n"/>
      <c r="R1776" s="7" t="n"/>
      <c r="S1776" s="7" t="n"/>
      <c r="T1776" s="7" t="n"/>
      <c r="U1776" s="7" t="n"/>
      <c r="V1776" s="7" t="n"/>
      <c r="W1776" s="7" t="n"/>
      <c r="X1776" s="7" t="n"/>
      <c r="Y1776" s="7" t="n"/>
      <c r="Z1776" s="7" t="n"/>
      <c r="AA1776" s="7" t="n"/>
      <c r="AB1776" s="7" t="n"/>
      <c r="AC1776" s="7" t="n"/>
      <c r="AD1776" s="7" t="n"/>
      <c r="AE1776" s="7" t="n"/>
      <c r="AF1776" s="7" t="n"/>
      <c r="AG1776" s="7" t="n"/>
      <c r="AH1776" s="7" t="n"/>
      <c r="AI1776" s="7" t="n"/>
      <c r="AJ1776" s="7" t="n"/>
    </row>
    <row r="1777">
      <c r="B1777" s="2" t="inlineStr">
        <is>
          <t>Year (31 December)</t>
        </is>
      </c>
      <c r="D1777" s="26">
        <f>sb_start</f>
        <v/>
      </c>
      <c r="E1777" s="26">
        <f>D1777+1</f>
        <v/>
      </c>
      <c r="F1777" s="26">
        <f>E1777+1</f>
        <v/>
      </c>
      <c r="G1777" s="26">
        <f>F1777+1</f>
        <v/>
      </c>
      <c r="H1777" s="26">
        <f>G1777+1</f>
        <v/>
      </c>
      <c r="I1777" s="26">
        <f>H1777+1</f>
        <v/>
      </c>
      <c r="J1777" s="26">
        <f>I1777+1</f>
        <v/>
      </c>
      <c r="K1777" s="26">
        <f>J1777+1</f>
        <v/>
      </c>
      <c r="L1777" s="26">
        <f>K1777+1</f>
        <v/>
      </c>
      <c r="M1777" s="26">
        <f>L1777+1</f>
        <v/>
      </c>
      <c r="N1777" s="26">
        <f>M1777+1</f>
        <v/>
      </c>
      <c r="O1777" s="26">
        <f>N1777+1</f>
        <v/>
      </c>
      <c r="P1777" s="26">
        <f>O1777+1</f>
        <v/>
      </c>
      <c r="Q1777" s="26">
        <f>P1777+1</f>
        <v/>
      </c>
      <c r="R1777" s="26">
        <f>Q1777+1</f>
        <v/>
      </c>
      <c r="S1777" s="26">
        <f>R1777+1</f>
        <v/>
      </c>
      <c r="T1777" s="26">
        <f>S1777+1</f>
        <v/>
      </c>
      <c r="U1777" s="26">
        <f>T1777+1</f>
        <v/>
      </c>
      <c r="V1777" s="26">
        <f>U1777+1</f>
        <v/>
      </c>
      <c r="W1777" s="26">
        <f>V1777+1</f>
        <v/>
      </c>
      <c r="X1777" s="26">
        <f>W1777+1</f>
        <v/>
      </c>
      <c r="Y1777" s="26">
        <f>X1777+1</f>
        <v/>
      </c>
      <c r="Z1777" s="26">
        <f>Y1777+1</f>
        <v/>
      </c>
      <c r="AA1777" s="26">
        <f>Z1777+1</f>
        <v/>
      </c>
      <c r="AB1777" s="26">
        <f>AA1777+1</f>
        <v/>
      </c>
      <c r="AC1777" s="26">
        <f>AB1777+1</f>
        <v/>
      </c>
      <c r="AD1777" s="26">
        <f>AC1777+1</f>
        <v/>
      </c>
      <c r="AE1777" s="26">
        <f>AD1777+1</f>
        <v/>
      </c>
      <c r="AF1777" s="26">
        <f>AE1777+1</f>
        <v/>
      </c>
      <c r="AG1777" s="26">
        <f>AF1777+1</f>
        <v/>
      </c>
      <c r="AH1777" s="26">
        <f>AG1777+1</f>
        <v/>
      </c>
      <c r="AI1777" s="26">
        <f>AH1777+1</f>
        <v/>
      </c>
      <c r="AJ1777" s="26">
        <f>AI1777+1</f>
        <v/>
      </c>
    </row>
    <row r="1778">
      <c r="B1778" s="2" t="inlineStr">
        <is>
          <t>Operating year (1 = yes)</t>
        </is>
      </c>
      <c r="D1778" s="26">
        <f>IF(AND(D1777&gt;=sb_cod,D1777&lt;sb_cod+sb_term),1,0)</f>
        <v/>
      </c>
      <c r="E1778" s="26">
        <f>IF(AND(E1777&gt;=sb_cod,E1777&lt;sb_cod+sb_term),1,0)</f>
        <v/>
      </c>
      <c r="F1778" s="26">
        <f>IF(AND(F1777&gt;=sb_cod,F1777&lt;sb_cod+sb_term),1,0)</f>
        <v/>
      </c>
      <c r="G1778" s="26">
        <f>IF(AND(G1777&gt;=sb_cod,G1777&lt;sb_cod+sb_term),1,0)</f>
        <v/>
      </c>
      <c r="H1778" s="26">
        <f>IF(AND(H1777&gt;=sb_cod,H1777&lt;sb_cod+sb_term),1,0)</f>
        <v/>
      </c>
      <c r="I1778" s="26">
        <f>IF(AND(I1777&gt;=sb_cod,I1777&lt;sb_cod+sb_term),1,0)</f>
        <v/>
      </c>
      <c r="J1778" s="26">
        <f>IF(AND(J1777&gt;=sb_cod,J1777&lt;sb_cod+sb_term),1,0)</f>
        <v/>
      </c>
      <c r="K1778" s="26">
        <f>IF(AND(K1777&gt;=sb_cod,K1777&lt;sb_cod+sb_term),1,0)</f>
        <v/>
      </c>
      <c r="L1778" s="26">
        <f>IF(AND(L1777&gt;=sb_cod,L1777&lt;sb_cod+sb_term),1,0)</f>
        <v/>
      </c>
      <c r="M1778" s="26">
        <f>IF(AND(M1777&gt;=sb_cod,M1777&lt;sb_cod+sb_term),1,0)</f>
        <v/>
      </c>
      <c r="N1778" s="26">
        <f>IF(AND(N1777&gt;=sb_cod,N1777&lt;sb_cod+sb_term),1,0)</f>
        <v/>
      </c>
      <c r="O1778" s="26">
        <f>IF(AND(O1777&gt;=sb_cod,O1777&lt;sb_cod+sb_term),1,0)</f>
        <v/>
      </c>
      <c r="P1778" s="26">
        <f>IF(AND(P1777&gt;=sb_cod,P1777&lt;sb_cod+sb_term),1,0)</f>
        <v/>
      </c>
      <c r="Q1778" s="26">
        <f>IF(AND(Q1777&gt;=sb_cod,Q1777&lt;sb_cod+sb_term),1,0)</f>
        <v/>
      </c>
      <c r="R1778" s="26">
        <f>IF(AND(R1777&gt;=sb_cod,R1777&lt;sb_cod+sb_term),1,0)</f>
        <v/>
      </c>
      <c r="S1778" s="26">
        <f>IF(AND(S1777&gt;=sb_cod,S1777&lt;sb_cod+sb_term),1,0)</f>
        <v/>
      </c>
      <c r="T1778" s="26">
        <f>IF(AND(T1777&gt;=sb_cod,T1777&lt;sb_cod+sb_term),1,0)</f>
        <v/>
      </c>
      <c r="U1778" s="26">
        <f>IF(AND(U1777&gt;=sb_cod,U1777&lt;sb_cod+sb_term),1,0)</f>
        <v/>
      </c>
      <c r="V1778" s="26">
        <f>IF(AND(V1777&gt;=sb_cod,V1777&lt;sb_cod+sb_term),1,0)</f>
        <v/>
      </c>
      <c r="W1778" s="26">
        <f>IF(AND(W1777&gt;=sb_cod,W1777&lt;sb_cod+sb_term),1,0)</f>
        <v/>
      </c>
      <c r="X1778" s="26">
        <f>IF(AND(X1777&gt;=sb_cod,X1777&lt;sb_cod+sb_term),1,0)</f>
        <v/>
      </c>
      <c r="Y1778" s="26">
        <f>IF(AND(Y1777&gt;=sb_cod,Y1777&lt;sb_cod+sb_term),1,0)</f>
        <v/>
      </c>
      <c r="Z1778" s="26">
        <f>IF(AND(Z1777&gt;=sb_cod,Z1777&lt;sb_cod+sb_term),1,0)</f>
        <v/>
      </c>
      <c r="AA1778" s="26">
        <f>IF(AND(AA1777&gt;=sb_cod,AA1777&lt;sb_cod+sb_term),1,0)</f>
        <v/>
      </c>
      <c r="AB1778" s="26">
        <f>IF(AND(AB1777&gt;=sb_cod,AB1777&lt;sb_cod+sb_term),1,0)</f>
        <v/>
      </c>
      <c r="AC1778" s="26">
        <f>IF(AND(AC1777&gt;=sb_cod,AC1777&lt;sb_cod+sb_term),1,0)</f>
        <v/>
      </c>
      <c r="AD1778" s="26">
        <f>IF(AND(AD1777&gt;=sb_cod,AD1777&lt;sb_cod+sb_term),1,0)</f>
        <v/>
      </c>
      <c r="AE1778" s="26">
        <f>IF(AND(AE1777&gt;=sb_cod,AE1777&lt;sb_cod+sb_term),1,0)</f>
        <v/>
      </c>
      <c r="AF1778" s="26">
        <f>IF(AND(AF1777&gt;=sb_cod,AF1777&lt;sb_cod+sb_term),1,0)</f>
        <v/>
      </c>
      <c r="AG1778" s="26">
        <f>IF(AND(AG1777&gt;=sb_cod,AG1777&lt;sb_cod+sb_term),1,0)</f>
        <v/>
      </c>
      <c r="AH1778" s="26">
        <f>IF(AND(AH1777&gt;=sb_cod,AH1777&lt;sb_cod+sb_term),1,0)</f>
        <v/>
      </c>
      <c r="AI1778" s="26">
        <f>IF(AND(AI1777&gt;=sb_cod,AI1777&lt;sb_cod+sb_term),1,0)</f>
        <v/>
      </c>
      <c r="AJ1778" s="26">
        <f>IF(AND(AJ1777&gt;=sb_cod,AJ1777&lt;sb_cod+sb_term),1,0)</f>
        <v/>
      </c>
    </row>
    <row r="1779">
      <c r="B1779" s="2" t="inlineStr">
        <is>
          <t>Years since operation began</t>
        </is>
      </c>
      <c r="D1779" s="26">
        <f>D1777-sb_cod</f>
        <v/>
      </c>
      <c r="E1779" s="26">
        <f>E1777-sb_cod</f>
        <v/>
      </c>
      <c r="F1779" s="26">
        <f>F1777-sb_cod</f>
        <v/>
      </c>
      <c r="G1779" s="26">
        <f>G1777-sb_cod</f>
        <v/>
      </c>
      <c r="H1779" s="26">
        <f>H1777-sb_cod</f>
        <v/>
      </c>
      <c r="I1779" s="26">
        <f>I1777-sb_cod</f>
        <v/>
      </c>
      <c r="J1779" s="26">
        <f>J1777-sb_cod</f>
        <v/>
      </c>
      <c r="K1779" s="26">
        <f>K1777-sb_cod</f>
        <v/>
      </c>
      <c r="L1779" s="26">
        <f>L1777-sb_cod</f>
        <v/>
      </c>
      <c r="M1779" s="26">
        <f>M1777-sb_cod</f>
        <v/>
      </c>
      <c r="N1779" s="26">
        <f>N1777-sb_cod</f>
        <v/>
      </c>
      <c r="O1779" s="26">
        <f>O1777-sb_cod</f>
        <v/>
      </c>
      <c r="P1779" s="26">
        <f>P1777-sb_cod</f>
        <v/>
      </c>
      <c r="Q1779" s="26">
        <f>Q1777-sb_cod</f>
        <v/>
      </c>
      <c r="R1779" s="26">
        <f>R1777-sb_cod</f>
        <v/>
      </c>
      <c r="S1779" s="26">
        <f>S1777-sb_cod</f>
        <v/>
      </c>
      <c r="T1779" s="26">
        <f>T1777-sb_cod</f>
        <v/>
      </c>
      <c r="U1779" s="26">
        <f>U1777-sb_cod</f>
        <v/>
      </c>
      <c r="V1779" s="26">
        <f>V1777-sb_cod</f>
        <v/>
      </c>
      <c r="W1779" s="26">
        <f>W1777-sb_cod</f>
        <v/>
      </c>
      <c r="X1779" s="26">
        <f>X1777-sb_cod</f>
        <v/>
      </c>
      <c r="Y1779" s="26">
        <f>Y1777-sb_cod</f>
        <v/>
      </c>
      <c r="Z1779" s="26">
        <f>Z1777-sb_cod</f>
        <v/>
      </c>
      <c r="AA1779" s="26">
        <f>AA1777-sb_cod</f>
        <v/>
      </c>
      <c r="AB1779" s="26">
        <f>AB1777-sb_cod</f>
        <v/>
      </c>
      <c r="AC1779" s="26">
        <f>AC1777-sb_cod</f>
        <v/>
      </c>
      <c r="AD1779" s="26">
        <f>AD1777-sb_cod</f>
        <v/>
      </c>
      <c r="AE1779" s="26">
        <f>AE1777-sb_cod</f>
        <v/>
      </c>
      <c r="AF1779" s="26">
        <f>AF1777-sb_cod</f>
        <v/>
      </c>
      <c r="AG1779" s="26">
        <f>AG1777-sb_cod</f>
        <v/>
      </c>
      <c r="AH1779" s="26">
        <f>AH1777-sb_cod</f>
        <v/>
      </c>
      <c r="AI1779" s="26">
        <f>AI1777-sb_cod</f>
        <v/>
      </c>
      <c r="AJ1779" s="26">
        <f>AJ1777-sb_cod</f>
        <v/>
      </c>
    </row>
    <row r="1780">
      <c r="B1780" s="2" t="inlineStr">
        <is>
          <t>Indexation factor</t>
        </is>
      </c>
      <c r="D1780" s="28">
        <f>(1+sb_cpi)^D1779</f>
        <v/>
      </c>
      <c r="E1780" s="28">
        <f>(1+sb_cpi)^E1779</f>
        <v/>
      </c>
      <c r="F1780" s="28">
        <f>(1+sb_cpi)^F1779</f>
        <v/>
      </c>
      <c r="G1780" s="28">
        <f>(1+sb_cpi)^G1779</f>
        <v/>
      </c>
      <c r="H1780" s="28">
        <f>(1+sb_cpi)^H1779</f>
        <v/>
      </c>
      <c r="I1780" s="28">
        <f>(1+sb_cpi)^I1779</f>
        <v/>
      </c>
      <c r="J1780" s="28">
        <f>(1+sb_cpi)^J1779</f>
        <v/>
      </c>
      <c r="K1780" s="28">
        <f>(1+sb_cpi)^K1779</f>
        <v/>
      </c>
      <c r="L1780" s="28">
        <f>(1+sb_cpi)^L1779</f>
        <v/>
      </c>
      <c r="M1780" s="28">
        <f>(1+sb_cpi)^M1779</f>
        <v/>
      </c>
      <c r="N1780" s="28">
        <f>(1+sb_cpi)^N1779</f>
        <v/>
      </c>
      <c r="O1780" s="28">
        <f>(1+sb_cpi)^O1779</f>
        <v/>
      </c>
      <c r="P1780" s="28">
        <f>(1+sb_cpi)^P1779</f>
        <v/>
      </c>
      <c r="Q1780" s="28">
        <f>(1+sb_cpi)^Q1779</f>
        <v/>
      </c>
      <c r="R1780" s="28">
        <f>(1+sb_cpi)^R1779</f>
        <v/>
      </c>
      <c r="S1780" s="28">
        <f>(1+sb_cpi)^S1779</f>
        <v/>
      </c>
      <c r="T1780" s="28">
        <f>(1+sb_cpi)^T1779</f>
        <v/>
      </c>
      <c r="U1780" s="28">
        <f>(1+sb_cpi)^U1779</f>
        <v/>
      </c>
      <c r="V1780" s="28">
        <f>(1+sb_cpi)^V1779</f>
        <v/>
      </c>
      <c r="W1780" s="28">
        <f>(1+sb_cpi)^W1779</f>
        <v/>
      </c>
      <c r="X1780" s="28">
        <f>(1+sb_cpi)^X1779</f>
        <v/>
      </c>
      <c r="Y1780" s="28">
        <f>(1+sb_cpi)^Y1779</f>
        <v/>
      </c>
      <c r="Z1780" s="28">
        <f>(1+sb_cpi)^Z1779</f>
        <v/>
      </c>
      <c r="AA1780" s="28">
        <f>(1+sb_cpi)^AA1779</f>
        <v/>
      </c>
      <c r="AB1780" s="28">
        <f>(1+sb_cpi)^AB1779</f>
        <v/>
      </c>
      <c r="AC1780" s="28">
        <f>(1+sb_cpi)^AC1779</f>
        <v/>
      </c>
      <c r="AD1780" s="28">
        <f>(1+sb_cpi)^AD1779</f>
        <v/>
      </c>
      <c r="AE1780" s="28">
        <f>(1+sb_cpi)^AE1779</f>
        <v/>
      </c>
      <c r="AF1780" s="28">
        <f>(1+sb_cpi)^AF1779</f>
        <v/>
      </c>
      <c r="AG1780" s="28">
        <f>(1+sb_cpi)^AG1779</f>
        <v/>
      </c>
      <c r="AH1780" s="28">
        <f>(1+sb_cpi)^AH1779</f>
        <v/>
      </c>
      <c r="AI1780" s="28">
        <f>(1+sb_cpi)^AI1779</f>
        <v/>
      </c>
      <c r="AJ1780" s="28">
        <f>(1+sb_cpi)^AJ1779</f>
        <v/>
      </c>
    </row>
    <row r="1782">
      <c r="B1782" s="6" t="inlineStr">
        <is>
          <t>Plant scalars</t>
        </is>
      </c>
      <c r="C1782" s="7" t="n"/>
      <c r="D1782" s="7" t="n"/>
      <c r="E1782" s="7" t="n"/>
      <c r="F1782" s="7" t="n"/>
      <c r="G1782" s="7" t="n"/>
      <c r="H1782" s="7" t="n"/>
      <c r="I1782" s="7" t="n"/>
      <c r="J1782" s="7" t="n"/>
      <c r="K1782" s="7" t="n"/>
      <c r="L1782" s="7" t="n"/>
      <c r="M1782" s="7" t="n"/>
      <c r="N1782" s="7" t="n"/>
      <c r="O1782" s="7" t="n"/>
      <c r="P1782" s="7" t="n"/>
      <c r="Q1782" s="7" t="n"/>
      <c r="R1782" s="7" t="n"/>
      <c r="S1782" s="7" t="n"/>
      <c r="T1782" s="7" t="n"/>
      <c r="U1782" s="7" t="n"/>
      <c r="V1782" s="7" t="n"/>
      <c r="W1782" s="7" t="n"/>
      <c r="X1782" s="7" t="n"/>
      <c r="Y1782" s="7" t="n"/>
      <c r="Z1782" s="7" t="n"/>
      <c r="AA1782" s="7" t="n"/>
      <c r="AB1782" s="7" t="n"/>
      <c r="AC1782" s="7" t="n"/>
      <c r="AD1782" s="7" t="n"/>
      <c r="AE1782" s="7" t="n"/>
      <c r="AF1782" s="7" t="n"/>
      <c r="AG1782" s="7" t="n"/>
      <c r="AH1782" s="7" t="n"/>
      <c r="AI1782" s="7" t="n"/>
      <c r="AJ1782" s="7" t="n"/>
    </row>
    <row r="1783">
      <c r="B1783" s="2" t="inlineStr">
        <is>
          <t>Payment factor at expected availability</t>
        </is>
      </c>
      <c r="D1783" s="28">
        <f>IF(sb_avail&gt;=sb_guar,MIN(1,sb_avail/sb_guar),sb_avail/sb_guar-(sb_guar-sb_avail)/sb_guar)</f>
        <v/>
      </c>
    </row>
    <row r="1784">
      <c r="B1784" s="2" t="inlineStr">
        <is>
          <t>Paid capacity a year (m3)</t>
        </is>
      </c>
      <c r="C1784" s="5" t="inlineStr">
        <is>
          <t>m3</t>
        </is>
      </c>
      <c r="D1784" s="19">
        <f>sb_cap*365*sb_guar*$D$1783</f>
        <v/>
      </c>
    </row>
    <row r="1785">
      <c r="B1785" s="2" t="inlineStr">
        <is>
          <t>Water delivered a year (m3)</t>
        </is>
      </c>
      <c r="C1785" s="5" t="inlineStr">
        <is>
          <t>m3</t>
        </is>
      </c>
      <c r="D1785" s="19">
        <f>sb_cap*365*sb_avail*Inputs!$C$274</f>
        <v/>
      </c>
    </row>
    <row r="1786">
      <c r="B1786" s="2" t="inlineStr">
        <is>
          <t>Fixed O&amp;M charge, 2030 ($ per m3 of available capacity)</t>
        </is>
      </c>
      <c r="C1786" s="5" t="inlineStr">
        <is>
          <t>$ per m3</t>
        </is>
      </c>
      <c r="D1786" s="38">
        <f>sb_fom*1000000/(sb_cap*365*sb_guar)</f>
        <v/>
      </c>
    </row>
    <row r="1787">
      <c r="B1787" s="2" t="inlineStr">
        <is>
          <t>Capital cost</t>
        </is>
      </c>
      <c r="C1787" s="5" t="inlineStr">
        <is>
          <t>$ million</t>
        </is>
      </c>
      <c r="D1787" s="23">
        <f>(sb_cx_plant+sb_cx_marine+sb_cx_conv+sb_cx_grid+sb_cx_dev+sb_cx_fin)*(1+sb_capex_shift)</f>
        <v/>
      </c>
    </row>
    <row r="1788">
      <c r="B1788" s="2" t="inlineStr">
        <is>
          <t>Capacity charge used</t>
        </is>
      </c>
      <c r="C1788" s="5" t="inlineStr">
        <is>
          <t>$ per m3</t>
        </is>
      </c>
      <c r="D1788" s="38">
        <f>'SB_Finance'!$C$6</f>
        <v/>
      </c>
    </row>
    <row r="1790">
      <c r="B1790" s="6" t="inlineStr">
        <is>
          <t>Operations</t>
        </is>
      </c>
      <c r="C1790" s="7" t="n"/>
      <c r="D1790" s="7" t="n"/>
      <c r="E1790" s="7" t="n"/>
      <c r="F1790" s="7" t="n"/>
      <c r="G1790" s="7" t="n"/>
      <c r="H1790" s="7" t="n"/>
      <c r="I1790" s="7" t="n"/>
      <c r="J1790" s="7" t="n"/>
      <c r="K1790" s="7" t="n"/>
      <c r="L1790" s="7" t="n"/>
      <c r="M1790" s="7" t="n"/>
      <c r="N1790" s="7" t="n"/>
      <c r="O1790" s="7" t="n"/>
      <c r="P1790" s="7" t="n"/>
      <c r="Q1790" s="7" t="n"/>
      <c r="R1790" s="7" t="n"/>
      <c r="S1790" s="7" t="n"/>
      <c r="T1790" s="7" t="n"/>
      <c r="U1790" s="7" t="n"/>
      <c r="V1790" s="7" t="n"/>
      <c r="W1790" s="7" t="n"/>
      <c r="X1790" s="7" t="n"/>
      <c r="Y1790" s="7" t="n"/>
      <c r="Z1790" s="7" t="n"/>
      <c r="AA1790" s="7" t="n"/>
      <c r="AB1790" s="7" t="n"/>
      <c r="AC1790" s="7" t="n"/>
      <c r="AD1790" s="7" t="n"/>
      <c r="AE1790" s="7" t="n"/>
      <c r="AF1790" s="7" t="n"/>
      <c r="AG1790" s="7" t="n"/>
      <c r="AH1790" s="7" t="n"/>
      <c r="AI1790" s="7" t="n"/>
      <c r="AJ1790" s="7" t="n"/>
    </row>
    <row r="1791">
      <c r="B1791" s="2" t="inlineStr">
        <is>
          <t>Paid capacity (m3)</t>
        </is>
      </c>
      <c r="C1791" s="5" t="inlineStr">
        <is>
          <t>m3</t>
        </is>
      </c>
      <c r="D1791" s="19">
        <f>D1778*$D$1784</f>
        <v/>
      </c>
      <c r="E1791" s="19">
        <f>E1778*$D$1784</f>
        <v/>
      </c>
      <c r="F1791" s="19">
        <f>F1778*$D$1784</f>
        <v/>
      </c>
      <c r="G1791" s="19">
        <f>G1778*$D$1784</f>
        <v/>
      </c>
      <c r="H1791" s="19">
        <f>H1778*$D$1784</f>
        <v/>
      </c>
      <c r="I1791" s="19">
        <f>I1778*$D$1784</f>
        <v/>
      </c>
      <c r="J1791" s="19">
        <f>J1778*$D$1784</f>
        <v/>
      </c>
      <c r="K1791" s="19">
        <f>K1778*$D$1784</f>
        <v/>
      </c>
      <c r="L1791" s="19">
        <f>L1778*$D$1784</f>
        <v/>
      </c>
      <c r="M1791" s="19">
        <f>M1778*$D$1784</f>
        <v/>
      </c>
      <c r="N1791" s="19">
        <f>N1778*$D$1784</f>
        <v/>
      </c>
      <c r="O1791" s="19">
        <f>O1778*$D$1784</f>
        <v/>
      </c>
      <c r="P1791" s="19">
        <f>P1778*$D$1784</f>
        <v/>
      </c>
      <c r="Q1791" s="19">
        <f>Q1778*$D$1784</f>
        <v/>
      </c>
      <c r="R1791" s="19">
        <f>R1778*$D$1784</f>
        <v/>
      </c>
      <c r="S1791" s="19">
        <f>S1778*$D$1784</f>
        <v/>
      </c>
      <c r="T1791" s="19">
        <f>T1778*$D$1784</f>
        <v/>
      </c>
      <c r="U1791" s="19">
        <f>U1778*$D$1784</f>
        <v/>
      </c>
      <c r="V1791" s="19">
        <f>V1778*$D$1784</f>
        <v/>
      </c>
      <c r="W1791" s="19">
        <f>W1778*$D$1784</f>
        <v/>
      </c>
      <c r="X1791" s="19">
        <f>X1778*$D$1784</f>
        <v/>
      </c>
      <c r="Y1791" s="19">
        <f>Y1778*$D$1784</f>
        <v/>
      </c>
      <c r="Z1791" s="19">
        <f>Z1778*$D$1784</f>
        <v/>
      </c>
      <c r="AA1791" s="19">
        <f>AA1778*$D$1784</f>
        <v/>
      </c>
      <c r="AB1791" s="19">
        <f>AB1778*$D$1784</f>
        <v/>
      </c>
      <c r="AC1791" s="19">
        <f>AC1778*$D$1784</f>
        <v/>
      </c>
      <c r="AD1791" s="19">
        <f>AD1778*$D$1784</f>
        <v/>
      </c>
      <c r="AE1791" s="19">
        <f>AE1778*$D$1784</f>
        <v/>
      </c>
      <c r="AF1791" s="19">
        <f>AF1778*$D$1784</f>
        <v/>
      </c>
      <c r="AG1791" s="19">
        <f>AG1778*$D$1784</f>
        <v/>
      </c>
      <c r="AH1791" s="19">
        <f>AH1778*$D$1784</f>
        <v/>
      </c>
      <c r="AI1791" s="19">
        <f>AI1778*$D$1784</f>
        <v/>
      </c>
      <c r="AJ1791" s="19">
        <f>AJ1778*$D$1784</f>
        <v/>
      </c>
    </row>
    <row r="1792">
      <c r="B1792" s="2" t="inlineStr">
        <is>
          <t>Water delivered (m3)</t>
        </is>
      </c>
      <c r="C1792" s="5" t="inlineStr">
        <is>
          <t>m3</t>
        </is>
      </c>
      <c r="D1792" s="19">
        <f>D1778*$D$1785</f>
        <v/>
      </c>
      <c r="E1792" s="19">
        <f>E1778*$D$1785</f>
        <v/>
      </c>
      <c r="F1792" s="19">
        <f>F1778*$D$1785</f>
        <v/>
      </c>
      <c r="G1792" s="19">
        <f>G1778*$D$1785</f>
        <v/>
      </c>
      <c r="H1792" s="19">
        <f>H1778*$D$1785</f>
        <v/>
      </c>
      <c r="I1792" s="19">
        <f>I1778*$D$1785</f>
        <v/>
      </c>
      <c r="J1792" s="19">
        <f>J1778*$D$1785</f>
        <v/>
      </c>
      <c r="K1792" s="19">
        <f>K1778*$D$1785</f>
        <v/>
      </c>
      <c r="L1792" s="19">
        <f>L1778*$D$1785</f>
        <v/>
      </c>
      <c r="M1792" s="19">
        <f>M1778*$D$1785</f>
        <v/>
      </c>
      <c r="N1792" s="19">
        <f>N1778*$D$1785</f>
        <v/>
      </c>
      <c r="O1792" s="19">
        <f>O1778*$D$1785</f>
        <v/>
      </c>
      <c r="P1792" s="19">
        <f>P1778*$D$1785</f>
        <v/>
      </c>
      <c r="Q1792" s="19">
        <f>Q1778*$D$1785</f>
        <v/>
      </c>
      <c r="R1792" s="19">
        <f>R1778*$D$1785</f>
        <v/>
      </c>
      <c r="S1792" s="19">
        <f>S1778*$D$1785</f>
        <v/>
      </c>
      <c r="T1792" s="19">
        <f>T1778*$D$1785</f>
        <v/>
      </c>
      <c r="U1792" s="19">
        <f>U1778*$D$1785</f>
        <v/>
      </c>
      <c r="V1792" s="19">
        <f>V1778*$D$1785</f>
        <v/>
      </c>
      <c r="W1792" s="19">
        <f>W1778*$D$1785</f>
        <v/>
      </c>
      <c r="X1792" s="19">
        <f>X1778*$D$1785</f>
        <v/>
      </c>
      <c r="Y1792" s="19">
        <f>Y1778*$D$1785</f>
        <v/>
      </c>
      <c r="Z1792" s="19">
        <f>Z1778*$D$1785</f>
        <v/>
      </c>
      <c r="AA1792" s="19">
        <f>AA1778*$D$1785</f>
        <v/>
      </c>
      <c r="AB1792" s="19">
        <f>AB1778*$D$1785</f>
        <v/>
      </c>
      <c r="AC1792" s="19">
        <f>AC1778*$D$1785</f>
        <v/>
      </c>
      <c r="AD1792" s="19">
        <f>AD1778*$D$1785</f>
        <v/>
      </c>
      <c r="AE1792" s="19">
        <f>AE1778*$D$1785</f>
        <v/>
      </c>
      <c r="AF1792" s="19">
        <f>AF1778*$D$1785</f>
        <v/>
      </c>
      <c r="AG1792" s="19">
        <f>AG1778*$D$1785</f>
        <v/>
      </c>
      <c r="AH1792" s="19">
        <f>AH1778*$D$1785</f>
        <v/>
      </c>
      <c r="AI1792" s="19">
        <f>AI1778*$D$1785</f>
        <v/>
      </c>
      <c r="AJ1792" s="19">
        <f>AJ1778*$D$1785</f>
        <v/>
      </c>
    </row>
    <row r="1793">
      <c r="B1793" s="2" t="inlineStr">
        <is>
          <t>Power price paid</t>
        </is>
      </c>
      <c r="C1793" s="5" t="inlineStr">
        <is>
          <t>$ per MWh</t>
        </is>
      </c>
      <c r="D1793" s="22">
        <f>D1778*(sb_power*(1+sb_power_esc)^D1779+sb_power_shift)</f>
        <v/>
      </c>
      <c r="E1793" s="22">
        <f>E1778*(sb_power*(1+sb_power_esc)^E1779+sb_power_shift)</f>
        <v/>
      </c>
      <c r="F1793" s="22">
        <f>F1778*(sb_power*(1+sb_power_esc)^F1779+sb_power_shift)</f>
        <v/>
      </c>
      <c r="G1793" s="22">
        <f>G1778*(sb_power*(1+sb_power_esc)^G1779+sb_power_shift)</f>
        <v/>
      </c>
      <c r="H1793" s="22">
        <f>H1778*(sb_power*(1+sb_power_esc)^H1779+sb_power_shift)</f>
        <v/>
      </c>
      <c r="I1793" s="22">
        <f>I1778*(sb_power*(1+sb_power_esc)^I1779+sb_power_shift)</f>
        <v/>
      </c>
      <c r="J1793" s="22">
        <f>J1778*(sb_power*(1+sb_power_esc)^J1779+sb_power_shift)</f>
        <v/>
      </c>
      <c r="K1793" s="22">
        <f>K1778*(sb_power*(1+sb_power_esc)^K1779+sb_power_shift)</f>
        <v/>
      </c>
      <c r="L1793" s="22">
        <f>L1778*(sb_power*(1+sb_power_esc)^L1779+sb_power_shift)</f>
        <v/>
      </c>
      <c r="M1793" s="22">
        <f>M1778*(sb_power*(1+sb_power_esc)^M1779+sb_power_shift)</f>
        <v/>
      </c>
      <c r="N1793" s="22">
        <f>N1778*(sb_power*(1+sb_power_esc)^N1779+sb_power_shift)</f>
        <v/>
      </c>
      <c r="O1793" s="22">
        <f>O1778*(sb_power*(1+sb_power_esc)^O1779+sb_power_shift)</f>
        <v/>
      </c>
      <c r="P1793" s="22">
        <f>P1778*(sb_power*(1+sb_power_esc)^P1779+sb_power_shift)</f>
        <v/>
      </c>
      <c r="Q1793" s="22">
        <f>Q1778*(sb_power*(1+sb_power_esc)^Q1779+sb_power_shift)</f>
        <v/>
      </c>
      <c r="R1793" s="22">
        <f>R1778*(sb_power*(1+sb_power_esc)^R1779+sb_power_shift)</f>
        <v/>
      </c>
      <c r="S1793" s="22">
        <f>S1778*(sb_power*(1+sb_power_esc)^S1779+sb_power_shift)</f>
        <v/>
      </c>
      <c r="T1793" s="22">
        <f>T1778*(sb_power*(1+sb_power_esc)^T1779+sb_power_shift)</f>
        <v/>
      </c>
      <c r="U1793" s="22">
        <f>U1778*(sb_power*(1+sb_power_esc)^U1779+sb_power_shift)</f>
        <v/>
      </c>
      <c r="V1793" s="22">
        <f>V1778*(sb_power*(1+sb_power_esc)^V1779+sb_power_shift)</f>
        <v/>
      </c>
      <c r="W1793" s="22">
        <f>W1778*(sb_power*(1+sb_power_esc)^W1779+sb_power_shift)</f>
        <v/>
      </c>
      <c r="X1793" s="22">
        <f>X1778*(sb_power*(1+sb_power_esc)^X1779+sb_power_shift)</f>
        <v/>
      </c>
      <c r="Y1793" s="22">
        <f>Y1778*(sb_power*(1+sb_power_esc)^Y1779+sb_power_shift)</f>
        <v/>
      </c>
      <c r="Z1793" s="22">
        <f>Z1778*(sb_power*(1+sb_power_esc)^Z1779+sb_power_shift)</f>
        <v/>
      </c>
      <c r="AA1793" s="22">
        <f>AA1778*(sb_power*(1+sb_power_esc)^AA1779+sb_power_shift)</f>
        <v/>
      </c>
      <c r="AB1793" s="22">
        <f>AB1778*(sb_power*(1+sb_power_esc)^AB1779+sb_power_shift)</f>
        <v/>
      </c>
      <c r="AC1793" s="22">
        <f>AC1778*(sb_power*(1+sb_power_esc)^AC1779+sb_power_shift)</f>
        <v/>
      </c>
      <c r="AD1793" s="22">
        <f>AD1778*(sb_power*(1+sb_power_esc)^AD1779+sb_power_shift)</f>
        <v/>
      </c>
      <c r="AE1793" s="22">
        <f>AE1778*(sb_power*(1+sb_power_esc)^AE1779+sb_power_shift)</f>
        <v/>
      </c>
      <c r="AF1793" s="22">
        <f>AF1778*(sb_power*(1+sb_power_esc)^AF1779+sb_power_shift)</f>
        <v/>
      </c>
      <c r="AG1793" s="22">
        <f>AG1778*(sb_power*(1+sb_power_esc)^AG1779+sb_power_shift)</f>
        <v/>
      </c>
      <c r="AH1793" s="22">
        <f>AH1778*(sb_power*(1+sb_power_esc)^AH1779+sb_power_shift)</f>
        <v/>
      </c>
      <c r="AI1793" s="22">
        <f>AI1778*(sb_power*(1+sb_power_esc)^AI1779+sb_power_shift)</f>
        <v/>
      </c>
      <c r="AJ1793" s="22">
        <f>AJ1778*(sb_power*(1+sb_power_esc)^AJ1779+sb_power_shift)</f>
        <v/>
      </c>
    </row>
    <row r="1794">
      <c r="B1794" s="2" t="inlineStr">
        <is>
          <t>Power price in the energy charge</t>
        </is>
      </c>
      <c r="C1794" s="5" t="inlineStr">
        <is>
          <t>$ per MWh</t>
        </is>
      </c>
      <c r="D1794" s="22">
        <f>D1778*(sb_power*(1+sb_power_esc)^D1779+IF(sb_pass=1,sb_power_shift,0))</f>
        <v/>
      </c>
      <c r="E1794" s="22">
        <f>E1778*(sb_power*(1+sb_power_esc)^E1779+IF(sb_pass=1,sb_power_shift,0))</f>
        <v/>
      </c>
      <c r="F1794" s="22">
        <f>F1778*(sb_power*(1+sb_power_esc)^F1779+IF(sb_pass=1,sb_power_shift,0))</f>
        <v/>
      </c>
      <c r="G1794" s="22">
        <f>G1778*(sb_power*(1+sb_power_esc)^G1779+IF(sb_pass=1,sb_power_shift,0))</f>
        <v/>
      </c>
      <c r="H1794" s="22">
        <f>H1778*(sb_power*(1+sb_power_esc)^H1779+IF(sb_pass=1,sb_power_shift,0))</f>
        <v/>
      </c>
      <c r="I1794" s="22">
        <f>I1778*(sb_power*(1+sb_power_esc)^I1779+IF(sb_pass=1,sb_power_shift,0))</f>
        <v/>
      </c>
      <c r="J1794" s="22">
        <f>J1778*(sb_power*(1+sb_power_esc)^J1779+IF(sb_pass=1,sb_power_shift,0))</f>
        <v/>
      </c>
      <c r="K1794" s="22">
        <f>K1778*(sb_power*(1+sb_power_esc)^K1779+IF(sb_pass=1,sb_power_shift,0))</f>
        <v/>
      </c>
      <c r="L1794" s="22">
        <f>L1778*(sb_power*(1+sb_power_esc)^L1779+IF(sb_pass=1,sb_power_shift,0))</f>
        <v/>
      </c>
      <c r="M1794" s="22">
        <f>M1778*(sb_power*(1+sb_power_esc)^M1779+IF(sb_pass=1,sb_power_shift,0))</f>
        <v/>
      </c>
      <c r="N1794" s="22">
        <f>N1778*(sb_power*(1+sb_power_esc)^N1779+IF(sb_pass=1,sb_power_shift,0))</f>
        <v/>
      </c>
      <c r="O1794" s="22">
        <f>O1778*(sb_power*(1+sb_power_esc)^O1779+IF(sb_pass=1,sb_power_shift,0))</f>
        <v/>
      </c>
      <c r="P1794" s="22">
        <f>P1778*(sb_power*(1+sb_power_esc)^P1779+IF(sb_pass=1,sb_power_shift,0))</f>
        <v/>
      </c>
      <c r="Q1794" s="22">
        <f>Q1778*(sb_power*(1+sb_power_esc)^Q1779+IF(sb_pass=1,sb_power_shift,0))</f>
        <v/>
      </c>
      <c r="R1794" s="22">
        <f>R1778*(sb_power*(1+sb_power_esc)^R1779+IF(sb_pass=1,sb_power_shift,0))</f>
        <v/>
      </c>
      <c r="S1794" s="22">
        <f>S1778*(sb_power*(1+sb_power_esc)^S1779+IF(sb_pass=1,sb_power_shift,0))</f>
        <v/>
      </c>
      <c r="T1794" s="22">
        <f>T1778*(sb_power*(1+sb_power_esc)^T1779+IF(sb_pass=1,sb_power_shift,0))</f>
        <v/>
      </c>
      <c r="U1794" s="22">
        <f>U1778*(sb_power*(1+sb_power_esc)^U1779+IF(sb_pass=1,sb_power_shift,0))</f>
        <v/>
      </c>
      <c r="V1794" s="22">
        <f>V1778*(sb_power*(1+sb_power_esc)^V1779+IF(sb_pass=1,sb_power_shift,0))</f>
        <v/>
      </c>
      <c r="W1794" s="22">
        <f>W1778*(sb_power*(1+sb_power_esc)^W1779+IF(sb_pass=1,sb_power_shift,0))</f>
        <v/>
      </c>
      <c r="X1794" s="22">
        <f>X1778*(sb_power*(1+sb_power_esc)^X1779+IF(sb_pass=1,sb_power_shift,0))</f>
        <v/>
      </c>
      <c r="Y1794" s="22">
        <f>Y1778*(sb_power*(1+sb_power_esc)^Y1779+IF(sb_pass=1,sb_power_shift,0))</f>
        <v/>
      </c>
      <c r="Z1794" s="22">
        <f>Z1778*(sb_power*(1+sb_power_esc)^Z1779+IF(sb_pass=1,sb_power_shift,0))</f>
        <v/>
      </c>
      <c r="AA1794" s="22">
        <f>AA1778*(sb_power*(1+sb_power_esc)^AA1779+IF(sb_pass=1,sb_power_shift,0))</f>
        <v/>
      </c>
      <c r="AB1794" s="22">
        <f>AB1778*(sb_power*(1+sb_power_esc)^AB1779+IF(sb_pass=1,sb_power_shift,0))</f>
        <v/>
      </c>
      <c r="AC1794" s="22">
        <f>AC1778*(sb_power*(1+sb_power_esc)^AC1779+IF(sb_pass=1,sb_power_shift,0))</f>
        <v/>
      </c>
      <c r="AD1794" s="22">
        <f>AD1778*(sb_power*(1+sb_power_esc)^AD1779+IF(sb_pass=1,sb_power_shift,0))</f>
        <v/>
      </c>
      <c r="AE1794" s="22">
        <f>AE1778*(sb_power*(1+sb_power_esc)^AE1779+IF(sb_pass=1,sb_power_shift,0))</f>
        <v/>
      </c>
      <c r="AF1794" s="22">
        <f>AF1778*(sb_power*(1+sb_power_esc)^AF1779+IF(sb_pass=1,sb_power_shift,0))</f>
        <v/>
      </c>
      <c r="AG1794" s="22">
        <f>AG1778*(sb_power*(1+sb_power_esc)^AG1779+IF(sb_pass=1,sb_power_shift,0))</f>
        <v/>
      </c>
      <c r="AH1794" s="22">
        <f>AH1778*(sb_power*(1+sb_power_esc)^AH1779+IF(sb_pass=1,sb_power_shift,0))</f>
        <v/>
      </c>
      <c r="AI1794" s="22">
        <f>AI1778*(sb_power*(1+sb_power_esc)^AI1779+IF(sb_pass=1,sb_power_shift,0))</f>
        <v/>
      </c>
      <c r="AJ1794" s="22">
        <f>AJ1778*(sb_power*(1+sb_power_esc)^AJ1779+IF(sb_pass=1,sb_power_shift,0))</f>
        <v/>
      </c>
    </row>
    <row r="1795">
      <c r="B1795" s="2" t="inlineStr">
        <is>
          <t>Capacity payments</t>
        </is>
      </c>
      <c r="C1795" s="5" t="inlineStr">
        <is>
          <t>$ million</t>
        </is>
      </c>
      <c r="D1795" s="23">
        <f>$D$1788*D1791/1000000</f>
        <v/>
      </c>
      <c r="E1795" s="23">
        <f>$D$1788*E1791/1000000</f>
        <v/>
      </c>
      <c r="F1795" s="23">
        <f>$D$1788*F1791/1000000</f>
        <v/>
      </c>
      <c r="G1795" s="23">
        <f>$D$1788*G1791/1000000</f>
        <v/>
      </c>
      <c r="H1795" s="23">
        <f>$D$1788*H1791/1000000</f>
        <v/>
      </c>
      <c r="I1795" s="23">
        <f>$D$1788*I1791/1000000</f>
        <v/>
      </c>
      <c r="J1795" s="23">
        <f>$D$1788*J1791/1000000</f>
        <v/>
      </c>
      <c r="K1795" s="23">
        <f>$D$1788*K1791/1000000</f>
        <v/>
      </c>
      <c r="L1795" s="23">
        <f>$D$1788*L1791/1000000</f>
        <v/>
      </c>
      <c r="M1795" s="23">
        <f>$D$1788*M1791/1000000</f>
        <v/>
      </c>
      <c r="N1795" s="23">
        <f>$D$1788*N1791/1000000</f>
        <v/>
      </c>
      <c r="O1795" s="23">
        <f>$D$1788*O1791/1000000</f>
        <v/>
      </c>
      <c r="P1795" s="23">
        <f>$D$1788*P1791/1000000</f>
        <v/>
      </c>
      <c r="Q1795" s="23">
        <f>$D$1788*Q1791/1000000</f>
        <v/>
      </c>
      <c r="R1795" s="23">
        <f>$D$1788*R1791/1000000</f>
        <v/>
      </c>
      <c r="S1795" s="23">
        <f>$D$1788*S1791/1000000</f>
        <v/>
      </c>
      <c r="T1795" s="23">
        <f>$D$1788*T1791/1000000</f>
        <v/>
      </c>
      <c r="U1795" s="23">
        <f>$D$1788*U1791/1000000</f>
        <v/>
      </c>
      <c r="V1795" s="23">
        <f>$D$1788*V1791/1000000</f>
        <v/>
      </c>
      <c r="W1795" s="23">
        <f>$D$1788*W1791/1000000</f>
        <v/>
      </c>
      <c r="X1795" s="23">
        <f>$D$1788*X1791/1000000</f>
        <v/>
      </c>
      <c r="Y1795" s="23">
        <f>$D$1788*Y1791/1000000</f>
        <v/>
      </c>
      <c r="Z1795" s="23">
        <f>$D$1788*Z1791/1000000</f>
        <v/>
      </c>
      <c r="AA1795" s="23">
        <f>$D$1788*AA1791/1000000</f>
        <v/>
      </c>
      <c r="AB1795" s="23">
        <f>$D$1788*AB1791/1000000</f>
        <v/>
      </c>
      <c r="AC1795" s="23">
        <f>$D$1788*AC1791/1000000</f>
        <v/>
      </c>
      <c r="AD1795" s="23">
        <f>$D$1788*AD1791/1000000</f>
        <v/>
      </c>
      <c r="AE1795" s="23">
        <f>$D$1788*AE1791/1000000</f>
        <v/>
      </c>
      <c r="AF1795" s="23">
        <f>$D$1788*AF1791/1000000</f>
        <v/>
      </c>
      <c r="AG1795" s="23">
        <f>$D$1788*AG1791/1000000</f>
        <v/>
      </c>
      <c r="AH1795" s="23">
        <f>$D$1788*AH1791/1000000</f>
        <v/>
      </c>
      <c r="AI1795" s="23">
        <f>$D$1788*AI1791/1000000</f>
        <v/>
      </c>
      <c r="AJ1795" s="23">
        <f>$D$1788*AJ1791/1000000</f>
        <v/>
      </c>
    </row>
    <row r="1796">
      <c r="B1796" s="2" t="inlineStr">
        <is>
          <t>Fixed O&amp;M payments (indexed)</t>
        </is>
      </c>
      <c r="C1796" s="5" t="inlineStr">
        <is>
          <t>$ million</t>
        </is>
      </c>
      <c r="D1796" s="23">
        <f>$D$1786*D1780*D1791/1000000</f>
        <v/>
      </c>
      <c r="E1796" s="23">
        <f>$D$1786*E1780*E1791/1000000</f>
        <v/>
      </c>
      <c r="F1796" s="23">
        <f>$D$1786*F1780*F1791/1000000</f>
        <v/>
      </c>
      <c r="G1796" s="23">
        <f>$D$1786*G1780*G1791/1000000</f>
        <v/>
      </c>
      <c r="H1796" s="23">
        <f>$D$1786*H1780*H1791/1000000</f>
        <v/>
      </c>
      <c r="I1796" s="23">
        <f>$D$1786*I1780*I1791/1000000</f>
        <v/>
      </c>
      <c r="J1796" s="23">
        <f>$D$1786*J1780*J1791/1000000</f>
        <v/>
      </c>
      <c r="K1796" s="23">
        <f>$D$1786*K1780*K1791/1000000</f>
        <v/>
      </c>
      <c r="L1796" s="23">
        <f>$D$1786*L1780*L1791/1000000</f>
        <v/>
      </c>
      <c r="M1796" s="23">
        <f>$D$1786*M1780*M1791/1000000</f>
        <v/>
      </c>
      <c r="N1796" s="23">
        <f>$D$1786*N1780*N1791/1000000</f>
        <v/>
      </c>
      <c r="O1796" s="23">
        <f>$D$1786*O1780*O1791/1000000</f>
        <v/>
      </c>
      <c r="P1796" s="23">
        <f>$D$1786*P1780*P1791/1000000</f>
        <v/>
      </c>
      <c r="Q1796" s="23">
        <f>$D$1786*Q1780*Q1791/1000000</f>
        <v/>
      </c>
      <c r="R1796" s="23">
        <f>$D$1786*R1780*R1791/1000000</f>
        <v/>
      </c>
      <c r="S1796" s="23">
        <f>$D$1786*S1780*S1791/1000000</f>
        <v/>
      </c>
      <c r="T1796" s="23">
        <f>$D$1786*T1780*T1791/1000000</f>
        <v/>
      </c>
      <c r="U1796" s="23">
        <f>$D$1786*U1780*U1791/1000000</f>
        <v/>
      </c>
      <c r="V1796" s="23">
        <f>$D$1786*V1780*V1791/1000000</f>
        <v/>
      </c>
      <c r="W1796" s="23">
        <f>$D$1786*W1780*W1791/1000000</f>
        <v/>
      </c>
      <c r="X1796" s="23">
        <f>$D$1786*X1780*X1791/1000000</f>
        <v/>
      </c>
      <c r="Y1796" s="23">
        <f>$D$1786*Y1780*Y1791/1000000</f>
        <v/>
      </c>
      <c r="Z1796" s="23">
        <f>$D$1786*Z1780*Z1791/1000000</f>
        <v/>
      </c>
      <c r="AA1796" s="23">
        <f>$D$1786*AA1780*AA1791/1000000</f>
        <v/>
      </c>
      <c r="AB1796" s="23">
        <f>$D$1786*AB1780*AB1791/1000000</f>
        <v/>
      </c>
      <c r="AC1796" s="23">
        <f>$D$1786*AC1780*AC1791/1000000</f>
        <v/>
      </c>
      <c r="AD1796" s="23">
        <f>$D$1786*AD1780*AD1791/1000000</f>
        <v/>
      </c>
      <c r="AE1796" s="23">
        <f>$D$1786*AE1780*AE1791/1000000</f>
        <v/>
      </c>
      <c r="AF1796" s="23">
        <f>$D$1786*AF1780*AF1791/1000000</f>
        <v/>
      </c>
      <c r="AG1796" s="23">
        <f>$D$1786*AG1780*AG1791/1000000</f>
        <v/>
      </c>
      <c r="AH1796" s="23">
        <f>$D$1786*AH1780*AH1791/1000000</f>
        <v/>
      </c>
      <c r="AI1796" s="23">
        <f>$D$1786*AI1780*AI1791/1000000</f>
        <v/>
      </c>
      <c r="AJ1796" s="23">
        <f>$D$1786*AJ1780*AJ1791/1000000</f>
        <v/>
      </c>
    </row>
    <row r="1797">
      <c r="B1797" s="2" t="inlineStr">
        <is>
          <t>Energy charge (guaranteed kWh x power price)</t>
        </is>
      </c>
      <c r="C1797" s="5" t="inlineStr">
        <is>
          <t>$ million</t>
        </is>
      </c>
      <c r="D1797" s="23">
        <f>D1792*sb_sec*D1794/1000/1000000</f>
        <v/>
      </c>
      <c r="E1797" s="23">
        <f>E1792*sb_sec*E1794/1000/1000000</f>
        <v/>
      </c>
      <c r="F1797" s="23">
        <f>F1792*sb_sec*F1794/1000/1000000</f>
        <v/>
      </c>
      <c r="G1797" s="23">
        <f>G1792*sb_sec*G1794/1000/1000000</f>
        <v/>
      </c>
      <c r="H1797" s="23">
        <f>H1792*sb_sec*H1794/1000/1000000</f>
        <v/>
      </c>
      <c r="I1797" s="23">
        <f>I1792*sb_sec*I1794/1000/1000000</f>
        <v/>
      </c>
      <c r="J1797" s="23">
        <f>J1792*sb_sec*J1794/1000/1000000</f>
        <v/>
      </c>
      <c r="K1797" s="23">
        <f>K1792*sb_sec*K1794/1000/1000000</f>
        <v/>
      </c>
      <c r="L1797" s="23">
        <f>L1792*sb_sec*L1794/1000/1000000</f>
        <v/>
      </c>
      <c r="M1797" s="23">
        <f>M1792*sb_sec*M1794/1000/1000000</f>
        <v/>
      </c>
      <c r="N1797" s="23">
        <f>N1792*sb_sec*N1794/1000/1000000</f>
        <v/>
      </c>
      <c r="O1797" s="23">
        <f>O1792*sb_sec*O1794/1000/1000000</f>
        <v/>
      </c>
      <c r="P1797" s="23">
        <f>P1792*sb_sec*P1794/1000/1000000</f>
        <v/>
      </c>
      <c r="Q1797" s="23">
        <f>Q1792*sb_sec*Q1794/1000/1000000</f>
        <v/>
      </c>
      <c r="R1797" s="23">
        <f>R1792*sb_sec*R1794/1000/1000000</f>
        <v/>
      </c>
      <c r="S1797" s="23">
        <f>S1792*sb_sec*S1794/1000/1000000</f>
        <v/>
      </c>
      <c r="T1797" s="23">
        <f>T1792*sb_sec*T1794/1000/1000000</f>
        <v/>
      </c>
      <c r="U1797" s="23">
        <f>U1792*sb_sec*U1794/1000/1000000</f>
        <v/>
      </c>
      <c r="V1797" s="23">
        <f>V1792*sb_sec*V1794/1000/1000000</f>
        <v/>
      </c>
      <c r="W1797" s="23">
        <f>W1792*sb_sec*W1794/1000/1000000</f>
        <v/>
      </c>
      <c r="X1797" s="23">
        <f>X1792*sb_sec*X1794/1000/1000000</f>
        <v/>
      </c>
      <c r="Y1797" s="23">
        <f>Y1792*sb_sec*Y1794/1000/1000000</f>
        <v/>
      </c>
      <c r="Z1797" s="23">
        <f>Z1792*sb_sec*Z1794/1000/1000000</f>
        <v/>
      </c>
      <c r="AA1797" s="23">
        <f>AA1792*sb_sec*AA1794/1000/1000000</f>
        <v/>
      </c>
      <c r="AB1797" s="23">
        <f>AB1792*sb_sec*AB1794/1000/1000000</f>
        <v/>
      </c>
      <c r="AC1797" s="23">
        <f>AC1792*sb_sec*AC1794/1000/1000000</f>
        <v/>
      </c>
      <c r="AD1797" s="23">
        <f>AD1792*sb_sec*AD1794/1000/1000000</f>
        <v/>
      </c>
      <c r="AE1797" s="23">
        <f>AE1792*sb_sec*AE1794/1000/1000000</f>
        <v/>
      </c>
      <c r="AF1797" s="23">
        <f>AF1792*sb_sec*AF1794/1000/1000000</f>
        <v/>
      </c>
      <c r="AG1797" s="23">
        <f>AG1792*sb_sec*AG1794/1000/1000000</f>
        <v/>
      </c>
      <c r="AH1797" s="23">
        <f>AH1792*sb_sec*AH1794/1000/1000000</f>
        <v/>
      </c>
      <c r="AI1797" s="23">
        <f>AI1792*sb_sec*AI1794/1000/1000000</f>
        <v/>
      </c>
      <c r="AJ1797" s="23">
        <f>AJ1792*sb_sec*AJ1794/1000/1000000</f>
        <v/>
      </c>
    </row>
    <row r="1798">
      <c r="B1798" s="2" t="inlineStr">
        <is>
          <t>Chemicals charge (indexed)</t>
        </is>
      </c>
      <c r="C1798" s="5" t="inlineStr">
        <is>
          <t>$ million</t>
        </is>
      </c>
      <c r="D1798" s="23">
        <f>D1792*sb_chem*D1780/1000000</f>
        <v/>
      </c>
      <c r="E1798" s="23">
        <f>E1792*sb_chem*E1780/1000000</f>
        <v/>
      </c>
      <c r="F1798" s="23">
        <f>F1792*sb_chem*F1780/1000000</f>
        <v/>
      </c>
      <c r="G1798" s="23">
        <f>G1792*sb_chem*G1780/1000000</f>
        <v/>
      </c>
      <c r="H1798" s="23">
        <f>H1792*sb_chem*H1780/1000000</f>
        <v/>
      </c>
      <c r="I1798" s="23">
        <f>I1792*sb_chem*I1780/1000000</f>
        <v/>
      </c>
      <c r="J1798" s="23">
        <f>J1792*sb_chem*J1780/1000000</f>
        <v/>
      </c>
      <c r="K1798" s="23">
        <f>K1792*sb_chem*K1780/1000000</f>
        <v/>
      </c>
      <c r="L1798" s="23">
        <f>L1792*sb_chem*L1780/1000000</f>
        <v/>
      </c>
      <c r="M1798" s="23">
        <f>M1792*sb_chem*M1780/1000000</f>
        <v/>
      </c>
      <c r="N1798" s="23">
        <f>N1792*sb_chem*N1780/1000000</f>
        <v/>
      </c>
      <c r="O1798" s="23">
        <f>O1792*sb_chem*O1780/1000000</f>
        <v/>
      </c>
      <c r="P1798" s="23">
        <f>P1792*sb_chem*P1780/1000000</f>
        <v/>
      </c>
      <c r="Q1798" s="23">
        <f>Q1792*sb_chem*Q1780/1000000</f>
        <v/>
      </c>
      <c r="R1798" s="23">
        <f>R1792*sb_chem*R1780/1000000</f>
        <v/>
      </c>
      <c r="S1798" s="23">
        <f>S1792*sb_chem*S1780/1000000</f>
        <v/>
      </c>
      <c r="T1798" s="23">
        <f>T1792*sb_chem*T1780/1000000</f>
        <v/>
      </c>
      <c r="U1798" s="23">
        <f>U1792*sb_chem*U1780/1000000</f>
        <v/>
      </c>
      <c r="V1798" s="23">
        <f>V1792*sb_chem*V1780/1000000</f>
        <v/>
      </c>
      <c r="W1798" s="23">
        <f>W1792*sb_chem*W1780/1000000</f>
        <v/>
      </c>
      <c r="X1798" s="23">
        <f>X1792*sb_chem*X1780/1000000</f>
        <v/>
      </c>
      <c r="Y1798" s="23">
        <f>Y1792*sb_chem*Y1780/1000000</f>
        <v/>
      </c>
      <c r="Z1798" s="23">
        <f>Z1792*sb_chem*Z1780/1000000</f>
        <v/>
      </c>
      <c r="AA1798" s="23">
        <f>AA1792*sb_chem*AA1780/1000000</f>
        <v/>
      </c>
      <c r="AB1798" s="23">
        <f>AB1792*sb_chem*AB1780/1000000</f>
        <v/>
      </c>
      <c r="AC1798" s="23">
        <f>AC1792*sb_chem*AC1780/1000000</f>
        <v/>
      </c>
      <c r="AD1798" s="23">
        <f>AD1792*sb_chem*AD1780/1000000</f>
        <v/>
      </c>
      <c r="AE1798" s="23">
        <f>AE1792*sb_chem*AE1780/1000000</f>
        <v/>
      </c>
      <c r="AF1798" s="23">
        <f>AF1792*sb_chem*AF1780/1000000</f>
        <v/>
      </c>
      <c r="AG1798" s="23">
        <f>AG1792*sb_chem*AG1780/1000000</f>
        <v/>
      </c>
      <c r="AH1798" s="23">
        <f>AH1792*sb_chem*AH1780/1000000</f>
        <v/>
      </c>
      <c r="AI1798" s="23">
        <f>AI1792*sb_chem*AI1780/1000000</f>
        <v/>
      </c>
      <c r="AJ1798" s="23">
        <f>AJ1792*sb_chem*AJ1780/1000000</f>
        <v/>
      </c>
    </row>
    <row r="1799">
      <c r="B1799" s="2" t="inlineStr">
        <is>
          <t>Capacity payments lost to delay</t>
        </is>
      </c>
      <c r="C1799" s="5" t="inlineStr">
        <is>
          <t>$ million</t>
        </is>
      </c>
      <c r="D1799" s="23">
        <f>IF(D1777=sb_cod,D1795*sb_delay,0)</f>
        <v/>
      </c>
      <c r="E1799" s="23">
        <f>IF(E1777=sb_cod,E1795*sb_delay,0)</f>
        <v/>
      </c>
      <c r="F1799" s="23">
        <f>IF(F1777=sb_cod,F1795*sb_delay,0)</f>
        <v/>
      </c>
      <c r="G1799" s="23">
        <f>IF(G1777=sb_cod,G1795*sb_delay,0)</f>
        <v/>
      </c>
      <c r="H1799" s="23">
        <f>IF(H1777=sb_cod,H1795*sb_delay,0)</f>
        <v/>
      </c>
      <c r="I1799" s="23">
        <f>IF(I1777=sb_cod,I1795*sb_delay,0)</f>
        <v/>
      </c>
      <c r="J1799" s="23">
        <f>IF(J1777=sb_cod,J1795*sb_delay,0)</f>
        <v/>
      </c>
      <c r="K1799" s="23">
        <f>IF(K1777=sb_cod,K1795*sb_delay,0)</f>
        <v/>
      </c>
      <c r="L1799" s="23">
        <f>IF(L1777=sb_cod,L1795*sb_delay,0)</f>
        <v/>
      </c>
      <c r="M1799" s="23">
        <f>IF(M1777=sb_cod,M1795*sb_delay,0)</f>
        <v/>
      </c>
      <c r="N1799" s="23">
        <f>IF(N1777=sb_cod,N1795*sb_delay,0)</f>
        <v/>
      </c>
      <c r="O1799" s="23">
        <f>IF(O1777=sb_cod,O1795*sb_delay,0)</f>
        <v/>
      </c>
      <c r="P1799" s="23">
        <f>IF(P1777=sb_cod,P1795*sb_delay,0)</f>
        <v/>
      </c>
      <c r="Q1799" s="23">
        <f>IF(Q1777=sb_cod,Q1795*sb_delay,0)</f>
        <v/>
      </c>
      <c r="R1799" s="23">
        <f>IF(R1777=sb_cod,R1795*sb_delay,0)</f>
        <v/>
      </c>
      <c r="S1799" s="23">
        <f>IF(S1777=sb_cod,S1795*sb_delay,0)</f>
        <v/>
      </c>
      <c r="T1799" s="23">
        <f>IF(T1777=sb_cod,T1795*sb_delay,0)</f>
        <v/>
      </c>
      <c r="U1799" s="23">
        <f>IF(U1777=sb_cod,U1795*sb_delay,0)</f>
        <v/>
      </c>
      <c r="V1799" s="23">
        <f>IF(V1777=sb_cod,V1795*sb_delay,0)</f>
        <v/>
      </c>
      <c r="W1799" s="23">
        <f>IF(W1777=sb_cod,W1795*sb_delay,0)</f>
        <v/>
      </c>
      <c r="X1799" s="23">
        <f>IF(X1777=sb_cod,X1795*sb_delay,0)</f>
        <v/>
      </c>
      <c r="Y1799" s="23">
        <f>IF(Y1777=sb_cod,Y1795*sb_delay,0)</f>
        <v/>
      </c>
      <c r="Z1799" s="23">
        <f>IF(Z1777=sb_cod,Z1795*sb_delay,0)</f>
        <v/>
      </c>
      <c r="AA1799" s="23">
        <f>IF(AA1777=sb_cod,AA1795*sb_delay,0)</f>
        <v/>
      </c>
      <c r="AB1799" s="23">
        <f>IF(AB1777=sb_cod,AB1795*sb_delay,0)</f>
        <v/>
      </c>
      <c r="AC1799" s="23">
        <f>IF(AC1777=sb_cod,AC1795*sb_delay,0)</f>
        <v/>
      </c>
      <c r="AD1799" s="23">
        <f>IF(AD1777=sb_cod,AD1795*sb_delay,0)</f>
        <v/>
      </c>
      <c r="AE1799" s="23">
        <f>IF(AE1777=sb_cod,AE1795*sb_delay,0)</f>
        <v/>
      </c>
      <c r="AF1799" s="23">
        <f>IF(AF1777=sb_cod,AF1795*sb_delay,0)</f>
        <v/>
      </c>
      <c r="AG1799" s="23">
        <f>IF(AG1777=sb_cod,AG1795*sb_delay,0)</f>
        <v/>
      </c>
      <c r="AH1799" s="23">
        <f>IF(AH1777=sb_cod,AH1795*sb_delay,0)</f>
        <v/>
      </c>
      <c r="AI1799" s="23">
        <f>IF(AI1777=sb_cod,AI1795*sb_delay,0)</f>
        <v/>
      </c>
      <c r="AJ1799" s="23">
        <f>IF(AJ1777=sb_cod,AJ1795*sb_delay,0)</f>
        <v/>
      </c>
    </row>
    <row r="1800">
      <c r="B1800" s="2" t="inlineStr">
        <is>
          <t>Lost payments not covered by delay damages</t>
        </is>
      </c>
      <c r="C1800" s="5" t="inlineStr">
        <is>
          <t>$ million</t>
        </is>
      </c>
      <c r="D1800" s="23">
        <f>D1799*(1-sb_ld)</f>
        <v/>
      </c>
      <c r="E1800" s="23">
        <f>E1799*(1-sb_ld)</f>
        <v/>
      </c>
      <c r="F1800" s="23">
        <f>F1799*(1-sb_ld)</f>
        <v/>
      </c>
      <c r="G1800" s="23">
        <f>G1799*(1-sb_ld)</f>
        <v/>
      </c>
      <c r="H1800" s="23">
        <f>H1799*(1-sb_ld)</f>
        <v/>
      </c>
      <c r="I1800" s="23">
        <f>I1799*(1-sb_ld)</f>
        <v/>
      </c>
      <c r="J1800" s="23">
        <f>J1799*(1-sb_ld)</f>
        <v/>
      </c>
      <c r="K1800" s="23">
        <f>K1799*(1-sb_ld)</f>
        <v/>
      </c>
      <c r="L1800" s="23">
        <f>L1799*(1-sb_ld)</f>
        <v/>
      </c>
      <c r="M1800" s="23">
        <f>M1799*(1-sb_ld)</f>
        <v/>
      </c>
      <c r="N1800" s="23">
        <f>N1799*(1-sb_ld)</f>
        <v/>
      </c>
      <c r="O1800" s="23">
        <f>O1799*(1-sb_ld)</f>
        <v/>
      </c>
      <c r="P1800" s="23">
        <f>P1799*(1-sb_ld)</f>
        <v/>
      </c>
      <c r="Q1800" s="23">
        <f>Q1799*(1-sb_ld)</f>
        <v/>
      </c>
      <c r="R1800" s="23">
        <f>R1799*(1-sb_ld)</f>
        <v/>
      </c>
      <c r="S1800" s="23">
        <f>S1799*(1-sb_ld)</f>
        <v/>
      </c>
      <c r="T1800" s="23">
        <f>T1799*(1-sb_ld)</f>
        <v/>
      </c>
      <c r="U1800" s="23">
        <f>U1799*(1-sb_ld)</f>
        <v/>
      </c>
      <c r="V1800" s="23">
        <f>V1799*(1-sb_ld)</f>
        <v/>
      </c>
      <c r="W1800" s="23">
        <f>W1799*(1-sb_ld)</f>
        <v/>
      </c>
      <c r="X1800" s="23">
        <f>X1799*(1-sb_ld)</f>
        <v/>
      </c>
      <c r="Y1800" s="23">
        <f>Y1799*(1-sb_ld)</f>
        <v/>
      </c>
      <c r="Z1800" s="23">
        <f>Z1799*(1-sb_ld)</f>
        <v/>
      </c>
      <c r="AA1800" s="23">
        <f>AA1799*(1-sb_ld)</f>
        <v/>
      </c>
      <c r="AB1800" s="23">
        <f>AB1799*(1-sb_ld)</f>
        <v/>
      </c>
      <c r="AC1800" s="23">
        <f>AC1799*(1-sb_ld)</f>
        <v/>
      </c>
      <c r="AD1800" s="23">
        <f>AD1799*(1-sb_ld)</f>
        <v/>
      </c>
      <c r="AE1800" s="23">
        <f>AE1799*(1-sb_ld)</f>
        <v/>
      </c>
      <c r="AF1800" s="23">
        <f>AF1799*(1-sb_ld)</f>
        <v/>
      </c>
      <c r="AG1800" s="23">
        <f>AG1799*(1-sb_ld)</f>
        <v/>
      </c>
      <c r="AH1800" s="23">
        <f>AH1799*(1-sb_ld)</f>
        <v/>
      </c>
      <c r="AI1800" s="23">
        <f>AI1799*(1-sb_ld)</f>
        <v/>
      </c>
      <c r="AJ1800" s="23">
        <f>AJ1799*(1-sb_ld)</f>
        <v/>
      </c>
    </row>
    <row r="1801">
      <c r="B1801" s="3" t="inlineStr">
        <is>
          <t>Revenue</t>
        </is>
      </c>
      <c r="C1801" s="5" t="inlineStr">
        <is>
          <t>$ million</t>
        </is>
      </c>
      <c r="D1801" s="23">
        <f>D1795+D1796+D1797+D1798-D1800</f>
        <v/>
      </c>
      <c r="E1801" s="23">
        <f>E1795+E1796+E1797+E1798-E1800</f>
        <v/>
      </c>
      <c r="F1801" s="23">
        <f>F1795+F1796+F1797+F1798-F1800</f>
        <v/>
      </c>
      <c r="G1801" s="23">
        <f>G1795+G1796+G1797+G1798-G1800</f>
        <v/>
      </c>
      <c r="H1801" s="23">
        <f>H1795+H1796+H1797+H1798-H1800</f>
        <v/>
      </c>
      <c r="I1801" s="23">
        <f>I1795+I1796+I1797+I1798-I1800</f>
        <v/>
      </c>
      <c r="J1801" s="23">
        <f>J1795+J1796+J1797+J1798-J1800</f>
        <v/>
      </c>
      <c r="K1801" s="23">
        <f>K1795+K1796+K1797+K1798-K1800</f>
        <v/>
      </c>
      <c r="L1801" s="23">
        <f>L1795+L1796+L1797+L1798-L1800</f>
        <v/>
      </c>
      <c r="M1801" s="23">
        <f>M1795+M1796+M1797+M1798-M1800</f>
        <v/>
      </c>
      <c r="N1801" s="23">
        <f>N1795+N1796+N1797+N1798-N1800</f>
        <v/>
      </c>
      <c r="O1801" s="23">
        <f>O1795+O1796+O1797+O1798-O1800</f>
        <v/>
      </c>
      <c r="P1801" s="23">
        <f>P1795+P1796+P1797+P1798-P1800</f>
        <v/>
      </c>
      <c r="Q1801" s="23">
        <f>Q1795+Q1796+Q1797+Q1798-Q1800</f>
        <v/>
      </c>
      <c r="R1801" s="23">
        <f>R1795+R1796+R1797+R1798-R1800</f>
        <v/>
      </c>
      <c r="S1801" s="23">
        <f>S1795+S1796+S1797+S1798-S1800</f>
        <v/>
      </c>
      <c r="T1801" s="23">
        <f>T1795+T1796+T1797+T1798-T1800</f>
        <v/>
      </c>
      <c r="U1801" s="23">
        <f>U1795+U1796+U1797+U1798-U1800</f>
        <v/>
      </c>
      <c r="V1801" s="23">
        <f>V1795+V1796+V1797+V1798-V1800</f>
        <v/>
      </c>
      <c r="W1801" s="23">
        <f>W1795+W1796+W1797+W1798-W1800</f>
        <v/>
      </c>
      <c r="X1801" s="23">
        <f>X1795+X1796+X1797+X1798-X1800</f>
        <v/>
      </c>
      <c r="Y1801" s="23">
        <f>Y1795+Y1796+Y1797+Y1798-Y1800</f>
        <v/>
      </c>
      <c r="Z1801" s="23">
        <f>Z1795+Z1796+Z1797+Z1798-Z1800</f>
        <v/>
      </c>
      <c r="AA1801" s="23">
        <f>AA1795+AA1796+AA1797+AA1798-AA1800</f>
        <v/>
      </c>
      <c r="AB1801" s="23">
        <f>AB1795+AB1796+AB1797+AB1798-AB1800</f>
        <v/>
      </c>
      <c r="AC1801" s="23">
        <f>AC1795+AC1796+AC1797+AC1798-AC1800</f>
        <v/>
      </c>
      <c r="AD1801" s="23">
        <f>AD1795+AD1796+AD1797+AD1798-AD1800</f>
        <v/>
      </c>
      <c r="AE1801" s="23">
        <f>AE1795+AE1796+AE1797+AE1798-AE1800</f>
        <v/>
      </c>
      <c r="AF1801" s="23">
        <f>AF1795+AF1796+AF1797+AF1798-AF1800</f>
        <v/>
      </c>
      <c r="AG1801" s="23">
        <f>AG1795+AG1796+AG1797+AG1798-AG1800</f>
        <v/>
      </c>
      <c r="AH1801" s="23">
        <f>AH1795+AH1796+AH1797+AH1798-AH1800</f>
        <v/>
      </c>
      <c r="AI1801" s="23">
        <f>AI1795+AI1796+AI1797+AI1798-AI1800</f>
        <v/>
      </c>
      <c r="AJ1801" s="23">
        <f>AJ1795+AJ1796+AJ1797+AJ1798-AJ1800</f>
        <v/>
      </c>
    </row>
    <row r="1802">
      <c r="B1802" s="2" t="inlineStr">
        <is>
          <t>Fixed O&amp;M</t>
        </is>
      </c>
      <c r="C1802" s="5" t="inlineStr">
        <is>
          <t>$ million</t>
        </is>
      </c>
      <c r="D1802" s="23">
        <f>D1778*sb_fom*D1780</f>
        <v/>
      </c>
      <c r="E1802" s="23">
        <f>E1778*sb_fom*E1780</f>
        <v/>
      </c>
      <c r="F1802" s="23">
        <f>F1778*sb_fom*F1780</f>
        <v/>
      </c>
      <c r="G1802" s="23">
        <f>G1778*sb_fom*G1780</f>
        <v/>
      </c>
      <c r="H1802" s="23">
        <f>H1778*sb_fom*H1780</f>
        <v/>
      </c>
      <c r="I1802" s="23">
        <f>I1778*sb_fom*I1780</f>
        <v/>
      </c>
      <c r="J1802" s="23">
        <f>J1778*sb_fom*J1780</f>
        <v/>
      </c>
      <c r="K1802" s="23">
        <f>K1778*sb_fom*K1780</f>
        <v/>
      </c>
      <c r="L1802" s="23">
        <f>L1778*sb_fom*L1780</f>
        <v/>
      </c>
      <c r="M1802" s="23">
        <f>M1778*sb_fom*M1780</f>
        <v/>
      </c>
      <c r="N1802" s="23">
        <f>N1778*sb_fom*N1780</f>
        <v/>
      </c>
      <c r="O1802" s="23">
        <f>O1778*sb_fom*O1780</f>
        <v/>
      </c>
      <c r="P1802" s="23">
        <f>P1778*sb_fom*P1780</f>
        <v/>
      </c>
      <c r="Q1802" s="23">
        <f>Q1778*sb_fom*Q1780</f>
        <v/>
      </c>
      <c r="R1802" s="23">
        <f>R1778*sb_fom*R1780</f>
        <v/>
      </c>
      <c r="S1802" s="23">
        <f>S1778*sb_fom*S1780</f>
        <v/>
      </c>
      <c r="T1802" s="23">
        <f>T1778*sb_fom*T1780</f>
        <v/>
      </c>
      <c r="U1802" s="23">
        <f>U1778*sb_fom*U1780</f>
        <v/>
      </c>
      <c r="V1802" s="23">
        <f>V1778*sb_fom*V1780</f>
        <v/>
      </c>
      <c r="W1802" s="23">
        <f>W1778*sb_fom*W1780</f>
        <v/>
      </c>
      <c r="X1802" s="23">
        <f>X1778*sb_fom*X1780</f>
        <v/>
      </c>
      <c r="Y1802" s="23">
        <f>Y1778*sb_fom*Y1780</f>
        <v/>
      </c>
      <c r="Z1802" s="23">
        <f>Z1778*sb_fom*Z1780</f>
        <v/>
      </c>
      <c r="AA1802" s="23">
        <f>AA1778*sb_fom*AA1780</f>
        <v/>
      </c>
      <c r="AB1802" s="23">
        <f>AB1778*sb_fom*AB1780</f>
        <v/>
      </c>
      <c r="AC1802" s="23">
        <f>AC1778*sb_fom*AC1780</f>
        <v/>
      </c>
      <c r="AD1802" s="23">
        <f>AD1778*sb_fom*AD1780</f>
        <v/>
      </c>
      <c r="AE1802" s="23">
        <f>AE1778*sb_fom*AE1780</f>
        <v/>
      </c>
      <c r="AF1802" s="23">
        <f>AF1778*sb_fom*AF1780</f>
        <v/>
      </c>
      <c r="AG1802" s="23">
        <f>AG1778*sb_fom*AG1780</f>
        <v/>
      </c>
      <c r="AH1802" s="23">
        <f>AH1778*sb_fom*AH1780</f>
        <v/>
      </c>
      <c r="AI1802" s="23">
        <f>AI1778*sb_fom*AI1780</f>
        <v/>
      </c>
      <c r="AJ1802" s="23">
        <f>AJ1778*sb_fom*AJ1780</f>
        <v/>
      </c>
    </row>
    <row r="1803">
      <c r="B1803" s="2" t="inlineStr">
        <is>
          <t>Energy cost (actual kWh x power price)</t>
        </is>
      </c>
      <c r="C1803" s="5" t="inlineStr">
        <is>
          <t>$ million</t>
        </is>
      </c>
      <c r="D1803" s="23">
        <f>D1792*sb_sec_act*D1793/1000/1000000</f>
        <v/>
      </c>
      <c r="E1803" s="23">
        <f>E1792*sb_sec_act*E1793/1000/1000000</f>
        <v/>
      </c>
      <c r="F1803" s="23">
        <f>F1792*sb_sec_act*F1793/1000/1000000</f>
        <v/>
      </c>
      <c r="G1803" s="23">
        <f>G1792*sb_sec_act*G1793/1000/1000000</f>
        <v/>
      </c>
      <c r="H1803" s="23">
        <f>H1792*sb_sec_act*H1793/1000/1000000</f>
        <v/>
      </c>
      <c r="I1803" s="23">
        <f>I1792*sb_sec_act*I1793/1000/1000000</f>
        <v/>
      </c>
      <c r="J1803" s="23">
        <f>J1792*sb_sec_act*J1793/1000/1000000</f>
        <v/>
      </c>
      <c r="K1803" s="23">
        <f>K1792*sb_sec_act*K1793/1000/1000000</f>
        <v/>
      </c>
      <c r="L1803" s="23">
        <f>L1792*sb_sec_act*L1793/1000/1000000</f>
        <v/>
      </c>
      <c r="M1803" s="23">
        <f>M1792*sb_sec_act*M1793/1000/1000000</f>
        <v/>
      </c>
      <c r="N1803" s="23">
        <f>N1792*sb_sec_act*N1793/1000/1000000</f>
        <v/>
      </c>
      <c r="O1803" s="23">
        <f>O1792*sb_sec_act*O1793/1000/1000000</f>
        <v/>
      </c>
      <c r="P1803" s="23">
        <f>P1792*sb_sec_act*P1793/1000/1000000</f>
        <v/>
      </c>
      <c r="Q1803" s="23">
        <f>Q1792*sb_sec_act*Q1793/1000/1000000</f>
        <v/>
      </c>
      <c r="R1803" s="23">
        <f>R1792*sb_sec_act*R1793/1000/1000000</f>
        <v/>
      </c>
      <c r="S1803" s="23">
        <f>S1792*sb_sec_act*S1793/1000/1000000</f>
        <v/>
      </c>
      <c r="T1803" s="23">
        <f>T1792*sb_sec_act*T1793/1000/1000000</f>
        <v/>
      </c>
      <c r="U1803" s="23">
        <f>U1792*sb_sec_act*U1793/1000/1000000</f>
        <v/>
      </c>
      <c r="V1803" s="23">
        <f>V1792*sb_sec_act*V1793/1000/1000000</f>
        <v/>
      </c>
      <c r="W1803" s="23">
        <f>W1792*sb_sec_act*W1793/1000/1000000</f>
        <v/>
      </c>
      <c r="X1803" s="23">
        <f>X1792*sb_sec_act*X1793/1000/1000000</f>
        <v/>
      </c>
      <c r="Y1803" s="23">
        <f>Y1792*sb_sec_act*Y1793/1000/1000000</f>
        <v/>
      </c>
      <c r="Z1803" s="23">
        <f>Z1792*sb_sec_act*Z1793/1000/1000000</f>
        <v/>
      </c>
      <c r="AA1803" s="23">
        <f>AA1792*sb_sec_act*AA1793/1000/1000000</f>
        <v/>
      </c>
      <c r="AB1803" s="23">
        <f>AB1792*sb_sec_act*AB1793/1000/1000000</f>
        <v/>
      </c>
      <c r="AC1803" s="23">
        <f>AC1792*sb_sec_act*AC1793/1000/1000000</f>
        <v/>
      </c>
      <c r="AD1803" s="23">
        <f>AD1792*sb_sec_act*AD1793/1000/1000000</f>
        <v/>
      </c>
      <c r="AE1803" s="23">
        <f>AE1792*sb_sec_act*AE1793/1000/1000000</f>
        <v/>
      </c>
      <c r="AF1803" s="23">
        <f>AF1792*sb_sec_act*AF1793/1000/1000000</f>
        <v/>
      </c>
      <c r="AG1803" s="23">
        <f>AG1792*sb_sec_act*AG1793/1000/1000000</f>
        <v/>
      </c>
      <c r="AH1803" s="23">
        <f>AH1792*sb_sec_act*AH1793/1000/1000000</f>
        <v/>
      </c>
      <c r="AI1803" s="23">
        <f>AI1792*sb_sec_act*AI1793/1000/1000000</f>
        <v/>
      </c>
      <c r="AJ1803" s="23">
        <f>AJ1792*sb_sec_act*AJ1793/1000/1000000</f>
        <v/>
      </c>
    </row>
    <row r="1804">
      <c r="B1804" s="2" t="inlineStr">
        <is>
          <t>Chemicals</t>
        </is>
      </c>
      <c r="C1804" s="5" t="inlineStr">
        <is>
          <t>$ million</t>
        </is>
      </c>
      <c r="D1804" s="23">
        <f>D1798</f>
        <v/>
      </c>
      <c r="E1804" s="23">
        <f>E1798</f>
        <v/>
      </c>
      <c r="F1804" s="23">
        <f>F1798</f>
        <v/>
      </c>
      <c r="G1804" s="23">
        <f>G1798</f>
        <v/>
      </c>
      <c r="H1804" s="23">
        <f>H1798</f>
        <v/>
      </c>
      <c r="I1804" s="23">
        <f>I1798</f>
        <v/>
      </c>
      <c r="J1804" s="23">
        <f>J1798</f>
        <v/>
      </c>
      <c r="K1804" s="23">
        <f>K1798</f>
        <v/>
      </c>
      <c r="L1804" s="23">
        <f>L1798</f>
        <v/>
      </c>
      <c r="M1804" s="23">
        <f>M1798</f>
        <v/>
      </c>
      <c r="N1804" s="23">
        <f>N1798</f>
        <v/>
      </c>
      <c r="O1804" s="23">
        <f>O1798</f>
        <v/>
      </c>
      <c r="P1804" s="23">
        <f>P1798</f>
        <v/>
      </c>
      <c r="Q1804" s="23">
        <f>Q1798</f>
        <v/>
      </c>
      <c r="R1804" s="23">
        <f>R1798</f>
        <v/>
      </c>
      <c r="S1804" s="23">
        <f>S1798</f>
        <v/>
      </c>
      <c r="T1804" s="23">
        <f>T1798</f>
        <v/>
      </c>
      <c r="U1804" s="23">
        <f>U1798</f>
        <v/>
      </c>
      <c r="V1804" s="23">
        <f>V1798</f>
        <v/>
      </c>
      <c r="W1804" s="23">
        <f>W1798</f>
        <v/>
      </c>
      <c r="X1804" s="23">
        <f>X1798</f>
        <v/>
      </c>
      <c r="Y1804" s="23">
        <f>Y1798</f>
        <v/>
      </c>
      <c r="Z1804" s="23">
        <f>Z1798</f>
        <v/>
      </c>
      <c r="AA1804" s="23">
        <f>AA1798</f>
        <v/>
      </c>
      <c r="AB1804" s="23">
        <f>AB1798</f>
        <v/>
      </c>
      <c r="AC1804" s="23">
        <f>AC1798</f>
        <v/>
      </c>
      <c r="AD1804" s="23">
        <f>AD1798</f>
        <v/>
      </c>
      <c r="AE1804" s="23">
        <f>AE1798</f>
        <v/>
      </c>
      <c r="AF1804" s="23">
        <f>AF1798</f>
        <v/>
      </c>
      <c r="AG1804" s="23">
        <f>AG1798</f>
        <v/>
      </c>
      <c r="AH1804" s="23">
        <f>AH1798</f>
        <v/>
      </c>
      <c r="AI1804" s="23">
        <f>AI1798</f>
        <v/>
      </c>
      <c r="AJ1804" s="23">
        <f>AJ1798</f>
        <v/>
      </c>
    </row>
    <row r="1805">
      <c r="B1805" s="2" t="inlineStr">
        <is>
          <t>Major overhauls</t>
        </is>
      </c>
      <c r="C1805" s="5" t="inlineStr">
        <is>
          <t>$ million</t>
        </is>
      </c>
      <c r="D1805" s="23">
        <f>D1778*IF(OR(D1777=sb_major_y1,D1777=sb_major_y2),sb_major*D1780,0)</f>
        <v/>
      </c>
      <c r="E1805" s="23">
        <f>E1778*IF(OR(E1777=sb_major_y1,E1777=sb_major_y2),sb_major*E1780,0)</f>
        <v/>
      </c>
      <c r="F1805" s="23">
        <f>F1778*IF(OR(F1777=sb_major_y1,F1777=sb_major_y2),sb_major*F1780,0)</f>
        <v/>
      </c>
      <c r="G1805" s="23">
        <f>G1778*IF(OR(G1777=sb_major_y1,G1777=sb_major_y2),sb_major*G1780,0)</f>
        <v/>
      </c>
      <c r="H1805" s="23">
        <f>H1778*IF(OR(H1777=sb_major_y1,H1777=sb_major_y2),sb_major*H1780,0)</f>
        <v/>
      </c>
      <c r="I1805" s="23">
        <f>I1778*IF(OR(I1777=sb_major_y1,I1777=sb_major_y2),sb_major*I1780,0)</f>
        <v/>
      </c>
      <c r="J1805" s="23">
        <f>J1778*IF(OR(J1777=sb_major_y1,J1777=sb_major_y2),sb_major*J1780,0)</f>
        <v/>
      </c>
      <c r="K1805" s="23">
        <f>K1778*IF(OR(K1777=sb_major_y1,K1777=sb_major_y2),sb_major*K1780,0)</f>
        <v/>
      </c>
      <c r="L1805" s="23">
        <f>L1778*IF(OR(L1777=sb_major_y1,L1777=sb_major_y2),sb_major*L1780,0)</f>
        <v/>
      </c>
      <c r="M1805" s="23">
        <f>M1778*IF(OR(M1777=sb_major_y1,M1777=sb_major_y2),sb_major*M1780,0)</f>
        <v/>
      </c>
      <c r="N1805" s="23">
        <f>N1778*IF(OR(N1777=sb_major_y1,N1777=sb_major_y2),sb_major*N1780,0)</f>
        <v/>
      </c>
      <c r="O1805" s="23">
        <f>O1778*IF(OR(O1777=sb_major_y1,O1777=sb_major_y2),sb_major*O1780,0)</f>
        <v/>
      </c>
      <c r="P1805" s="23">
        <f>P1778*IF(OR(P1777=sb_major_y1,P1777=sb_major_y2),sb_major*P1780,0)</f>
        <v/>
      </c>
      <c r="Q1805" s="23">
        <f>Q1778*IF(OR(Q1777=sb_major_y1,Q1777=sb_major_y2),sb_major*Q1780,0)</f>
        <v/>
      </c>
      <c r="R1805" s="23">
        <f>R1778*IF(OR(R1777=sb_major_y1,R1777=sb_major_y2),sb_major*R1780,0)</f>
        <v/>
      </c>
      <c r="S1805" s="23">
        <f>S1778*IF(OR(S1777=sb_major_y1,S1777=sb_major_y2),sb_major*S1780,0)</f>
        <v/>
      </c>
      <c r="T1805" s="23">
        <f>T1778*IF(OR(T1777=sb_major_y1,T1777=sb_major_y2),sb_major*T1780,0)</f>
        <v/>
      </c>
      <c r="U1805" s="23">
        <f>U1778*IF(OR(U1777=sb_major_y1,U1777=sb_major_y2),sb_major*U1780,0)</f>
        <v/>
      </c>
      <c r="V1805" s="23">
        <f>V1778*IF(OR(V1777=sb_major_y1,V1777=sb_major_y2),sb_major*V1780,0)</f>
        <v/>
      </c>
      <c r="W1805" s="23">
        <f>W1778*IF(OR(W1777=sb_major_y1,W1777=sb_major_y2),sb_major*W1780,0)</f>
        <v/>
      </c>
      <c r="X1805" s="23">
        <f>X1778*IF(OR(X1777=sb_major_y1,X1777=sb_major_y2),sb_major*X1780,0)</f>
        <v/>
      </c>
      <c r="Y1805" s="23">
        <f>Y1778*IF(OR(Y1777=sb_major_y1,Y1777=sb_major_y2),sb_major*Y1780,0)</f>
        <v/>
      </c>
      <c r="Z1805" s="23">
        <f>Z1778*IF(OR(Z1777=sb_major_y1,Z1777=sb_major_y2),sb_major*Z1780,0)</f>
        <v/>
      </c>
      <c r="AA1805" s="23">
        <f>AA1778*IF(OR(AA1777=sb_major_y1,AA1777=sb_major_y2),sb_major*AA1780,0)</f>
        <v/>
      </c>
      <c r="AB1805" s="23">
        <f>AB1778*IF(OR(AB1777=sb_major_y1,AB1777=sb_major_y2),sb_major*AB1780,0)</f>
        <v/>
      </c>
      <c r="AC1805" s="23">
        <f>AC1778*IF(OR(AC1777=sb_major_y1,AC1777=sb_major_y2),sb_major*AC1780,0)</f>
        <v/>
      </c>
      <c r="AD1805" s="23">
        <f>AD1778*IF(OR(AD1777=sb_major_y1,AD1777=sb_major_y2),sb_major*AD1780,0)</f>
        <v/>
      </c>
      <c r="AE1805" s="23">
        <f>AE1778*IF(OR(AE1777=sb_major_y1,AE1777=sb_major_y2),sb_major*AE1780,0)</f>
        <v/>
      </c>
      <c r="AF1805" s="23">
        <f>AF1778*IF(OR(AF1777=sb_major_y1,AF1777=sb_major_y2),sb_major*AF1780,0)</f>
        <v/>
      </c>
      <c r="AG1805" s="23">
        <f>AG1778*IF(OR(AG1777=sb_major_y1,AG1777=sb_major_y2),sb_major*AG1780,0)</f>
        <v/>
      </c>
      <c r="AH1805" s="23">
        <f>AH1778*IF(OR(AH1777=sb_major_y1,AH1777=sb_major_y2),sb_major*AH1780,0)</f>
        <v/>
      </c>
      <c r="AI1805" s="23">
        <f>AI1778*IF(OR(AI1777=sb_major_y1,AI1777=sb_major_y2),sb_major*AI1780,0)</f>
        <v/>
      </c>
      <c r="AJ1805" s="23">
        <f>AJ1778*IF(OR(AJ1777=sb_major_y1,AJ1777=sb_major_y2),sb_major*AJ1780,0)</f>
        <v/>
      </c>
    </row>
    <row r="1806">
      <c r="B1806" s="2" t="inlineStr">
        <is>
          <t>Operating cost</t>
        </is>
      </c>
      <c r="C1806" s="5" t="inlineStr">
        <is>
          <t>$ million</t>
        </is>
      </c>
      <c r="D1806" s="23">
        <f>SUM(D1802:D1805)</f>
        <v/>
      </c>
      <c r="E1806" s="23">
        <f>SUM(E1802:E1805)</f>
        <v/>
      </c>
      <c r="F1806" s="23">
        <f>SUM(F1802:F1805)</f>
        <v/>
      </c>
      <c r="G1806" s="23">
        <f>SUM(G1802:G1805)</f>
        <v/>
      </c>
      <c r="H1806" s="23">
        <f>SUM(H1802:H1805)</f>
        <v/>
      </c>
      <c r="I1806" s="23">
        <f>SUM(I1802:I1805)</f>
        <v/>
      </c>
      <c r="J1806" s="23">
        <f>SUM(J1802:J1805)</f>
        <v/>
      </c>
      <c r="K1806" s="23">
        <f>SUM(K1802:K1805)</f>
        <v/>
      </c>
      <c r="L1806" s="23">
        <f>SUM(L1802:L1805)</f>
        <v/>
      </c>
      <c r="M1806" s="23">
        <f>SUM(M1802:M1805)</f>
        <v/>
      </c>
      <c r="N1806" s="23">
        <f>SUM(N1802:N1805)</f>
        <v/>
      </c>
      <c r="O1806" s="23">
        <f>SUM(O1802:O1805)</f>
        <v/>
      </c>
      <c r="P1806" s="23">
        <f>SUM(P1802:P1805)</f>
        <v/>
      </c>
      <c r="Q1806" s="23">
        <f>SUM(Q1802:Q1805)</f>
        <v/>
      </c>
      <c r="R1806" s="23">
        <f>SUM(R1802:R1805)</f>
        <v/>
      </c>
      <c r="S1806" s="23">
        <f>SUM(S1802:S1805)</f>
        <v/>
      </c>
      <c r="T1806" s="23">
        <f>SUM(T1802:T1805)</f>
        <v/>
      </c>
      <c r="U1806" s="23">
        <f>SUM(U1802:U1805)</f>
        <v/>
      </c>
      <c r="V1806" s="23">
        <f>SUM(V1802:V1805)</f>
        <v/>
      </c>
      <c r="W1806" s="23">
        <f>SUM(W1802:W1805)</f>
        <v/>
      </c>
      <c r="X1806" s="23">
        <f>SUM(X1802:X1805)</f>
        <v/>
      </c>
      <c r="Y1806" s="23">
        <f>SUM(Y1802:Y1805)</f>
        <v/>
      </c>
      <c r="Z1806" s="23">
        <f>SUM(Z1802:Z1805)</f>
        <v/>
      </c>
      <c r="AA1806" s="23">
        <f>SUM(AA1802:AA1805)</f>
        <v/>
      </c>
      <c r="AB1806" s="23">
        <f>SUM(AB1802:AB1805)</f>
        <v/>
      </c>
      <c r="AC1806" s="23">
        <f>SUM(AC1802:AC1805)</f>
        <v/>
      </c>
      <c r="AD1806" s="23">
        <f>SUM(AD1802:AD1805)</f>
        <v/>
      </c>
      <c r="AE1806" s="23">
        <f>SUM(AE1802:AE1805)</f>
        <v/>
      </c>
      <c r="AF1806" s="23">
        <f>SUM(AF1802:AF1805)</f>
        <v/>
      </c>
      <c r="AG1806" s="23">
        <f>SUM(AG1802:AG1805)</f>
        <v/>
      </c>
      <c r="AH1806" s="23">
        <f>SUM(AH1802:AH1805)</f>
        <v/>
      </c>
      <c r="AI1806" s="23">
        <f>SUM(AI1802:AI1805)</f>
        <v/>
      </c>
      <c r="AJ1806" s="23">
        <f>SUM(AJ1802:AJ1805)</f>
        <v/>
      </c>
    </row>
    <row r="1807">
      <c r="B1807" s="3" t="inlineStr">
        <is>
          <t>Cash flow available for debt service (CFADS)</t>
        </is>
      </c>
      <c r="C1807" s="5" t="inlineStr">
        <is>
          <t>$ million</t>
        </is>
      </c>
      <c r="D1807" s="23">
        <f>D1801-D1806</f>
        <v/>
      </c>
      <c r="E1807" s="23">
        <f>E1801-E1806</f>
        <v/>
      </c>
      <c r="F1807" s="23">
        <f>F1801-F1806</f>
        <v/>
      </c>
      <c r="G1807" s="23">
        <f>G1801-G1806</f>
        <v/>
      </c>
      <c r="H1807" s="23">
        <f>H1801-H1806</f>
        <v/>
      </c>
      <c r="I1807" s="23">
        <f>I1801-I1806</f>
        <v/>
      </c>
      <c r="J1807" s="23">
        <f>J1801-J1806</f>
        <v/>
      </c>
      <c r="K1807" s="23">
        <f>K1801-K1806</f>
        <v/>
      </c>
      <c r="L1807" s="23">
        <f>L1801-L1806</f>
        <v/>
      </c>
      <c r="M1807" s="23">
        <f>M1801-M1806</f>
        <v/>
      </c>
      <c r="N1807" s="23">
        <f>N1801-N1806</f>
        <v/>
      </c>
      <c r="O1807" s="23">
        <f>O1801-O1806</f>
        <v/>
      </c>
      <c r="P1807" s="23">
        <f>P1801-P1806</f>
        <v/>
      </c>
      <c r="Q1807" s="23">
        <f>Q1801-Q1806</f>
        <v/>
      </c>
      <c r="R1807" s="23">
        <f>R1801-R1806</f>
        <v/>
      </c>
      <c r="S1807" s="23">
        <f>S1801-S1806</f>
        <v/>
      </c>
      <c r="T1807" s="23">
        <f>T1801-T1806</f>
        <v/>
      </c>
      <c r="U1807" s="23">
        <f>U1801-U1806</f>
        <v/>
      </c>
      <c r="V1807" s="23">
        <f>V1801-V1806</f>
        <v/>
      </c>
      <c r="W1807" s="23">
        <f>W1801-W1806</f>
        <v/>
      </c>
      <c r="X1807" s="23">
        <f>X1801-X1806</f>
        <v/>
      </c>
      <c r="Y1807" s="23">
        <f>Y1801-Y1806</f>
        <v/>
      </c>
      <c r="Z1807" s="23">
        <f>Z1801-Z1806</f>
        <v/>
      </c>
      <c r="AA1807" s="23">
        <f>AA1801-AA1806</f>
        <v/>
      </c>
      <c r="AB1807" s="23">
        <f>AB1801-AB1806</f>
        <v/>
      </c>
      <c r="AC1807" s="23">
        <f>AC1801-AC1806</f>
        <v/>
      </c>
      <c r="AD1807" s="23">
        <f>AD1801-AD1806</f>
        <v/>
      </c>
      <c r="AE1807" s="23">
        <f>AE1801-AE1806</f>
        <v/>
      </c>
      <c r="AF1807" s="23">
        <f>AF1801-AF1806</f>
        <v/>
      </c>
      <c r="AG1807" s="23">
        <f>AG1801-AG1806</f>
        <v/>
      </c>
      <c r="AH1807" s="23">
        <f>AH1801-AH1806</f>
        <v/>
      </c>
      <c r="AI1807" s="23">
        <f>AI1801-AI1806</f>
        <v/>
      </c>
      <c r="AJ1807" s="23">
        <f>AJ1801-AJ1806</f>
        <v/>
      </c>
    </row>
    <row r="1809">
      <c r="B1809" s="6" t="inlineStr">
        <is>
          <t>Debt and flows</t>
        </is>
      </c>
      <c r="C1809" s="7" t="n"/>
      <c r="D1809" s="7" t="n"/>
      <c r="E1809" s="7" t="n"/>
      <c r="F1809" s="7" t="n"/>
      <c r="G1809" s="7" t="n"/>
      <c r="H1809" s="7" t="n"/>
      <c r="I1809" s="7" t="n"/>
      <c r="J1809" s="7" t="n"/>
      <c r="K1809" s="7" t="n"/>
      <c r="L1809" s="7" t="n"/>
      <c r="M1809" s="7" t="n"/>
      <c r="N1809" s="7" t="n"/>
      <c r="O1809" s="7" t="n"/>
      <c r="P1809" s="7" t="n"/>
      <c r="Q1809" s="7" t="n"/>
      <c r="R1809" s="7" t="n"/>
      <c r="S1809" s="7" t="n"/>
      <c r="T1809" s="7" t="n"/>
      <c r="U1809" s="7" t="n"/>
      <c r="V1809" s="7" t="n"/>
      <c r="W1809" s="7" t="n"/>
      <c r="X1809" s="7" t="n"/>
      <c r="Y1809" s="7" t="n"/>
      <c r="Z1809" s="7" t="n"/>
      <c r="AA1809" s="7" t="n"/>
      <c r="AB1809" s="7" t="n"/>
      <c r="AC1809" s="7" t="n"/>
      <c r="AD1809" s="7" t="n"/>
      <c r="AE1809" s="7" t="n"/>
      <c r="AF1809" s="7" t="n"/>
      <c r="AG1809" s="7" t="n"/>
      <c r="AH1809" s="7" t="n"/>
      <c r="AI1809" s="7" t="n"/>
      <c r="AJ1809" s="7" t="n"/>
    </row>
    <row r="1810">
      <c r="B1810" s="2" t="inlineStr">
        <is>
          <t>Capital cost paid</t>
        </is>
      </c>
      <c r="C1810" s="5" t="inlineStr">
        <is>
          <t>$ million</t>
        </is>
      </c>
      <c r="D1810" s="23">
        <f>-IF(D1777=sb_start+1,sb_phase1,IF(D1777=sb_start+2,1-sb_phase1,0))*$D$1787</f>
        <v/>
      </c>
      <c r="E1810" s="23">
        <f>-IF(E1777=sb_start+1,sb_phase1,IF(E1777=sb_start+2,1-sb_phase1,0))*$D$1787</f>
        <v/>
      </c>
      <c r="F1810" s="23">
        <f>-IF(F1777=sb_start+1,sb_phase1,IF(F1777=sb_start+2,1-sb_phase1,0))*$D$1787</f>
        <v/>
      </c>
      <c r="G1810" s="23">
        <f>-IF(G1777=sb_start+1,sb_phase1,IF(G1777=sb_start+2,1-sb_phase1,0))*$D$1787</f>
        <v/>
      </c>
      <c r="H1810" s="23">
        <f>-IF(H1777=sb_start+1,sb_phase1,IF(H1777=sb_start+2,1-sb_phase1,0))*$D$1787</f>
        <v/>
      </c>
      <c r="I1810" s="23">
        <f>-IF(I1777=sb_start+1,sb_phase1,IF(I1777=sb_start+2,1-sb_phase1,0))*$D$1787</f>
        <v/>
      </c>
      <c r="J1810" s="23">
        <f>-IF(J1777=sb_start+1,sb_phase1,IF(J1777=sb_start+2,1-sb_phase1,0))*$D$1787</f>
        <v/>
      </c>
      <c r="K1810" s="23">
        <f>-IF(K1777=sb_start+1,sb_phase1,IF(K1777=sb_start+2,1-sb_phase1,0))*$D$1787</f>
        <v/>
      </c>
      <c r="L1810" s="23">
        <f>-IF(L1777=sb_start+1,sb_phase1,IF(L1777=sb_start+2,1-sb_phase1,0))*$D$1787</f>
        <v/>
      </c>
      <c r="M1810" s="23">
        <f>-IF(M1777=sb_start+1,sb_phase1,IF(M1777=sb_start+2,1-sb_phase1,0))*$D$1787</f>
        <v/>
      </c>
      <c r="N1810" s="23">
        <f>-IF(N1777=sb_start+1,sb_phase1,IF(N1777=sb_start+2,1-sb_phase1,0))*$D$1787</f>
        <v/>
      </c>
      <c r="O1810" s="23">
        <f>-IF(O1777=sb_start+1,sb_phase1,IF(O1777=sb_start+2,1-sb_phase1,0))*$D$1787</f>
        <v/>
      </c>
      <c r="P1810" s="23">
        <f>-IF(P1777=sb_start+1,sb_phase1,IF(P1777=sb_start+2,1-sb_phase1,0))*$D$1787</f>
        <v/>
      </c>
      <c r="Q1810" s="23">
        <f>-IF(Q1777=sb_start+1,sb_phase1,IF(Q1777=sb_start+2,1-sb_phase1,0))*$D$1787</f>
        <v/>
      </c>
      <c r="R1810" s="23">
        <f>-IF(R1777=sb_start+1,sb_phase1,IF(R1777=sb_start+2,1-sb_phase1,0))*$D$1787</f>
        <v/>
      </c>
      <c r="S1810" s="23">
        <f>-IF(S1777=sb_start+1,sb_phase1,IF(S1777=sb_start+2,1-sb_phase1,0))*$D$1787</f>
        <v/>
      </c>
      <c r="T1810" s="23">
        <f>-IF(T1777=sb_start+1,sb_phase1,IF(T1777=sb_start+2,1-sb_phase1,0))*$D$1787</f>
        <v/>
      </c>
      <c r="U1810" s="23">
        <f>-IF(U1777=sb_start+1,sb_phase1,IF(U1777=sb_start+2,1-sb_phase1,0))*$D$1787</f>
        <v/>
      </c>
      <c r="V1810" s="23">
        <f>-IF(V1777=sb_start+1,sb_phase1,IF(V1777=sb_start+2,1-sb_phase1,0))*$D$1787</f>
        <v/>
      </c>
      <c r="W1810" s="23">
        <f>-IF(W1777=sb_start+1,sb_phase1,IF(W1777=sb_start+2,1-sb_phase1,0))*$D$1787</f>
        <v/>
      </c>
      <c r="X1810" s="23">
        <f>-IF(X1777=sb_start+1,sb_phase1,IF(X1777=sb_start+2,1-sb_phase1,0))*$D$1787</f>
        <v/>
      </c>
      <c r="Y1810" s="23">
        <f>-IF(Y1777=sb_start+1,sb_phase1,IF(Y1777=sb_start+2,1-sb_phase1,0))*$D$1787</f>
        <v/>
      </c>
      <c r="Z1810" s="23">
        <f>-IF(Z1777=sb_start+1,sb_phase1,IF(Z1777=sb_start+2,1-sb_phase1,0))*$D$1787</f>
        <v/>
      </c>
      <c r="AA1810" s="23">
        <f>-IF(AA1777=sb_start+1,sb_phase1,IF(AA1777=sb_start+2,1-sb_phase1,0))*$D$1787</f>
        <v/>
      </c>
      <c r="AB1810" s="23">
        <f>-IF(AB1777=sb_start+1,sb_phase1,IF(AB1777=sb_start+2,1-sb_phase1,0))*$D$1787</f>
        <v/>
      </c>
      <c r="AC1810" s="23">
        <f>-IF(AC1777=sb_start+1,sb_phase1,IF(AC1777=sb_start+2,1-sb_phase1,0))*$D$1787</f>
        <v/>
      </c>
      <c r="AD1810" s="23">
        <f>-IF(AD1777=sb_start+1,sb_phase1,IF(AD1777=sb_start+2,1-sb_phase1,0))*$D$1787</f>
        <v/>
      </c>
      <c r="AE1810" s="23">
        <f>-IF(AE1777=sb_start+1,sb_phase1,IF(AE1777=sb_start+2,1-sb_phase1,0))*$D$1787</f>
        <v/>
      </c>
      <c r="AF1810" s="23">
        <f>-IF(AF1777=sb_start+1,sb_phase1,IF(AF1777=sb_start+2,1-sb_phase1,0))*$D$1787</f>
        <v/>
      </c>
      <c r="AG1810" s="23">
        <f>-IF(AG1777=sb_start+1,sb_phase1,IF(AG1777=sb_start+2,1-sb_phase1,0))*$D$1787</f>
        <v/>
      </c>
      <c r="AH1810" s="23">
        <f>-IF(AH1777=sb_start+1,sb_phase1,IF(AH1777=sb_start+2,1-sb_phase1,0))*$D$1787</f>
        <v/>
      </c>
      <c r="AI1810" s="23">
        <f>-IF(AI1777=sb_start+1,sb_phase1,IF(AI1777=sb_start+2,1-sb_phase1,0))*$D$1787</f>
        <v/>
      </c>
      <c r="AJ1810" s="23">
        <f>-IF(AJ1777=sb_start+1,sb_phase1,IF(AJ1777=sb_start+2,1-sb_phase1,0))*$D$1787</f>
        <v/>
      </c>
    </row>
    <row r="1811">
      <c r="B1811" s="2" t="inlineStr">
        <is>
          <t>Debt discount factor (tenor years)</t>
        </is>
      </c>
      <c r="D1811" s="28">
        <f>IF(AND(D1778=1,D1779&lt;sb_tenor),1/(1+sb_kd)^(D1779+1),0)</f>
        <v/>
      </c>
      <c r="E1811" s="28">
        <f>IF(AND(E1778=1,E1779&lt;sb_tenor),1/(1+sb_kd)^(E1779+1),0)</f>
        <v/>
      </c>
      <c r="F1811" s="28">
        <f>IF(AND(F1778=1,F1779&lt;sb_tenor),1/(1+sb_kd)^(F1779+1),0)</f>
        <v/>
      </c>
      <c r="G1811" s="28">
        <f>IF(AND(G1778=1,G1779&lt;sb_tenor),1/(1+sb_kd)^(G1779+1),0)</f>
        <v/>
      </c>
      <c r="H1811" s="28">
        <f>IF(AND(H1778=1,H1779&lt;sb_tenor),1/(1+sb_kd)^(H1779+1),0)</f>
        <v/>
      </c>
      <c r="I1811" s="28">
        <f>IF(AND(I1778=1,I1779&lt;sb_tenor),1/(1+sb_kd)^(I1779+1),0)</f>
        <v/>
      </c>
      <c r="J1811" s="28">
        <f>IF(AND(J1778=1,J1779&lt;sb_tenor),1/(1+sb_kd)^(J1779+1),0)</f>
        <v/>
      </c>
      <c r="K1811" s="28">
        <f>IF(AND(K1778=1,K1779&lt;sb_tenor),1/(1+sb_kd)^(K1779+1),0)</f>
        <v/>
      </c>
      <c r="L1811" s="28">
        <f>IF(AND(L1778=1,L1779&lt;sb_tenor),1/(1+sb_kd)^(L1779+1),0)</f>
        <v/>
      </c>
      <c r="M1811" s="28">
        <f>IF(AND(M1778=1,M1779&lt;sb_tenor),1/(1+sb_kd)^(M1779+1),0)</f>
        <v/>
      </c>
      <c r="N1811" s="28">
        <f>IF(AND(N1778=1,N1779&lt;sb_tenor),1/(1+sb_kd)^(N1779+1),0)</f>
        <v/>
      </c>
      <c r="O1811" s="28">
        <f>IF(AND(O1778=1,O1779&lt;sb_tenor),1/(1+sb_kd)^(O1779+1),0)</f>
        <v/>
      </c>
      <c r="P1811" s="28">
        <f>IF(AND(P1778=1,P1779&lt;sb_tenor),1/(1+sb_kd)^(P1779+1),0)</f>
        <v/>
      </c>
      <c r="Q1811" s="28">
        <f>IF(AND(Q1778=1,Q1779&lt;sb_tenor),1/(1+sb_kd)^(Q1779+1),0)</f>
        <v/>
      </c>
      <c r="R1811" s="28">
        <f>IF(AND(R1778=1,R1779&lt;sb_tenor),1/(1+sb_kd)^(R1779+1),0)</f>
        <v/>
      </c>
      <c r="S1811" s="28">
        <f>IF(AND(S1778=1,S1779&lt;sb_tenor),1/(1+sb_kd)^(S1779+1),0)</f>
        <v/>
      </c>
      <c r="T1811" s="28">
        <f>IF(AND(T1778=1,T1779&lt;sb_tenor),1/(1+sb_kd)^(T1779+1),0)</f>
        <v/>
      </c>
      <c r="U1811" s="28">
        <f>IF(AND(U1778=1,U1779&lt;sb_tenor),1/(1+sb_kd)^(U1779+1),0)</f>
        <v/>
      </c>
      <c r="V1811" s="28">
        <f>IF(AND(V1778=1,V1779&lt;sb_tenor),1/(1+sb_kd)^(V1779+1),0)</f>
        <v/>
      </c>
      <c r="W1811" s="28">
        <f>IF(AND(W1778=1,W1779&lt;sb_tenor),1/(1+sb_kd)^(W1779+1),0)</f>
        <v/>
      </c>
      <c r="X1811" s="28">
        <f>IF(AND(X1778=1,X1779&lt;sb_tenor),1/(1+sb_kd)^(X1779+1),0)</f>
        <v/>
      </c>
      <c r="Y1811" s="28">
        <f>IF(AND(Y1778=1,Y1779&lt;sb_tenor),1/(1+sb_kd)^(Y1779+1),0)</f>
        <v/>
      </c>
      <c r="Z1811" s="28">
        <f>IF(AND(Z1778=1,Z1779&lt;sb_tenor),1/(1+sb_kd)^(Z1779+1),0)</f>
        <v/>
      </c>
      <c r="AA1811" s="28">
        <f>IF(AND(AA1778=1,AA1779&lt;sb_tenor),1/(1+sb_kd)^(AA1779+1),0)</f>
        <v/>
      </c>
      <c r="AB1811" s="28">
        <f>IF(AND(AB1778=1,AB1779&lt;sb_tenor),1/(1+sb_kd)^(AB1779+1),0)</f>
        <v/>
      </c>
      <c r="AC1811" s="28">
        <f>IF(AND(AC1778=1,AC1779&lt;sb_tenor),1/(1+sb_kd)^(AC1779+1),0)</f>
        <v/>
      </c>
      <c r="AD1811" s="28">
        <f>IF(AND(AD1778=1,AD1779&lt;sb_tenor),1/(1+sb_kd)^(AD1779+1),0)</f>
        <v/>
      </c>
      <c r="AE1811" s="28">
        <f>IF(AND(AE1778=1,AE1779&lt;sb_tenor),1/(1+sb_kd)^(AE1779+1),0)</f>
        <v/>
      </c>
      <c r="AF1811" s="28">
        <f>IF(AND(AF1778=1,AF1779&lt;sb_tenor),1/(1+sb_kd)^(AF1779+1),0)</f>
        <v/>
      </c>
      <c r="AG1811" s="28">
        <f>IF(AND(AG1778=1,AG1779&lt;sb_tenor),1/(1+sb_kd)^(AG1779+1),0)</f>
        <v/>
      </c>
      <c r="AH1811" s="28">
        <f>IF(AND(AH1778=1,AH1779&lt;sb_tenor),1/(1+sb_kd)^(AH1779+1),0)</f>
        <v/>
      </c>
      <c r="AI1811" s="28">
        <f>IF(AND(AI1778=1,AI1779&lt;sb_tenor),1/(1+sb_kd)^(AI1779+1),0)</f>
        <v/>
      </c>
      <c r="AJ1811" s="28">
        <f>IF(AND(AJ1778=1,AJ1779&lt;sb_tenor),1/(1+sb_kd)^(AJ1779+1),0)</f>
        <v/>
      </c>
    </row>
    <row r="1812">
      <c r="B1812" s="2" t="inlineStr">
        <is>
          <t>Debt capacity at the sizing cover (PV of CFADS / cover)</t>
        </is>
      </c>
      <c r="C1812" s="5" t="inlineStr">
        <is>
          <t>$ million</t>
        </is>
      </c>
      <c r="D1812" s="23">
        <f>SUMPRODUCT($D$1807:AJ$1807,$D$1811:AJ$1811)/sb_dscr</f>
        <v/>
      </c>
    </row>
    <row r="1813">
      <c r="B1813" s="2" t="inlineStr">
        <is>
          <t>Senior debt (lower of cover sizing and gearing cap)</t>
        </is>
      </c>
      <c r="C1813" s="5" t="inlineStr">
        <is>
          <t>$ million</t>
        </is>
      </c>
      <c r="D1813" s="23">
        <f>MIN($D$1812,sb_gear*$D$1787)</f>
        <v/>
      </c>
    </row>
    <row r="1814">
      <c r="B1814" s="2" t="inlineStr">
        <is>
          <t>Gearing</t>
        </is>
      </c>
      <c r="C1814" s="5" t="inlineStr">
        <is>
          <t>share</t>
        </is>
      </c>
      <c r="D1814" s="20">
        <f>$D$1813/$D$1787</f>
        <v/>
      </c>
    </row>
    <row r="1815">
      <c r="B1815" s="2" t="inlineStr">
        <is>
          <t>Debt service (sculpted)</t>
        </is>
      </c>
      <c r="C1815" s="5" t="inlineStr">
        <is>
          <t>$ million</t>
        </is>
      </c>
      <c r="D1815" s="23">
        <f>IF(D1811&gt;0,D1807/sb_dscr*$D$1813/$D$1812,0)</f>
        <v/>
      </c>
      <c r="E1815" s="23">
        <f>IF(E1811&gt;0,E1807/sb_dscr*$D$1813/$D$1812,0)</f>
        <v/>
      </c>
      <c r="F1815" s="23">
        <f>IF(F1811&gt;0,F1807/sb_dscr*$D$1813/$D$1812,0)</f>
        <v/>
      </c>
      <c r="G1815" s="23">
        <f>IF(G1811&gt;0,G1807/sb_dscr*$D$1813/$D$1812,0)</f>
        <v/>
      </c>
      <c r="H1815" s="23">
        <f>IF(H1811&gt;0,H1807/sb_dscr*$D$1813/$D$1812,0)</f>
        <v/>
      </c>
      <c r="I1815" s="23">
        <f>IF(I1811&gt;0,I1807/sb_dscr*$D$1813/$D$1812,0)</f>
        <v/>
      </c>
      <c r="J1815" s="23">
        <f>IF(J1811&gt;0,J1807/sb_dscr*$D$1813/$D$1812,0)</f>
        <v/>
      </c>
      <c r="K1815" s="23">
        <f>IF(K1811&gt;0,K1807/sb_dscr*$D$1813/$D$1812,0)</f>
        <v/>
      </c>
      <c r="L1815" s="23">
        <f>IF(L1811&gt;0,L1807/sb_dscr*$D$1813/$D$1812,0)</f>
        <v/>
      </c>
      <c r="M1815" s="23">
        <f>IF(M1811&gt;0,M1807/sb_dscr*$D$1813/$D$1812,0)</f>
        <v/>
      </c>
      <c r="N1815" s="23">
        <f>IF(N1811&gt;0,N1807/sb_dscr*$D$1813/$D$1812,0)</f>
        <v/>
      </c>
      <c r="O1815" s="23">
        <f>IF(O1811&gt;0,O1807/sb_dscr*$D$1813/$D$1812,0)</f>
        <v/>
      </c>
      <c r="P1815" s="23">
        <f>IF(P1811&gt;0,P1807/sb_dscr*$D$1813/$D$1812,0)</f>
        <v/>
      </c>
      <c r="Q1815" s="23">
        <f>IF(Q1811&gt;0,Q1807/sb_dscr*$D$1813/$D$1812,0)</f>
        <v/>
      </c>
      <c r="R1815" s="23">
        <f>IF(R1811&gt;0,R1807/sb_dscr*$D$1813/$D$1812,0)</f>
        <v/>
      </c>
      <c r="S1815" s="23">
        <f>IF(S1811&gt;0,S1807/sb_dscr*$D$1813/$D$1812,0)</f>
        <v/>
      </c>
      <c r="T1815" s="23">
        <f>IF(T1811&gt;0,T1807/sb_dscr*$D$1813/$D$1812,0)</f>
        <v/>
      </c>
      <c r="U1815" s="23">
        <f>IF(U1811&gt;0,U1807/sb_dscr*$D$1813/$D$1812,0)</f>
        <v/>
      </c>
      <c r="V1815" s="23">
        <f>IF(V1811&gt;0,V1807/sb_dscr*$D$1813/$D$1812,0)</f>
        <v/>
      </c>
      <c r="W1815" s="23">
        <f>IF(W1811&gt;0,W1807/sb_dscr*$D$1813/$D$1812,0)</f>
        <v/>
      </c>
      <c r="X1815" s="23">
        <f>IF(X1811&gt;0,X1807/sb_dscr*$D$1813/$D$1812,0)</f>
        <v/>
      </c>
      <c r="Y1815" s="23">
        <f>IF(Y1811&gt;0,Y1807/sb_dscr*$D$1813/$D$1812,0)</f>
        <v/>
      </c>
      <c r="Z1815" s="23">
        <f>IF(Z1811&gt;0,Z1807/sb_dscr*$D$1813/$D$1812,0)</f>
        <v/>
      </c>
      <c r="AA1815" s="23">
        <f>IF(AA1811&gt;0,AA1807/sb_dscr*$D$1813/$D$1812,0)</f>
        <v/>
      </c>
      <c r="AB1815" s="23">
        <f>IF(AB1811&gt;0,AB1807/sb_dscr*$D$1813/$D$1812,0)</f>
        <v/>
      </c>
      <c r="AC1815" s="23">
        <f>IF(AC1811&gt;0,AC1807/sb_dscr*$D$1813/$D$1812,0)</f>
        <v/>
      </c>
      <c r="AD1815" s="23">
        <f>IF(AD1811&gt;0,AD1807/sb_dscr*$D$1813/$D$1812,0)</f>
        <v/>
      </c>
      <c r="AE1815" s="23">
        <f>IF(AE1811&gt;0,AE1807/sb_dscr*$D$1813/$D$1812,0)</f>
        <v/>
      </c>
      <c r="AF1815" s="23">
        <f>IF(AF1811&gt;0,AF1807/sb_dscr*$D$1813/$D$1812,0)</f>
        <v/>
      </c>
      <c r="AG1815" s="23">
        <f>IF(AG1811&gt;0,AG1807/sb_dscr*$D$1813/$D$1812,0)</f>
        <v/>
      </c>
      <c r="AH1815" s="23">
        <f>IF(AH1811&gt;0,AH1807/sb_dscr*$D$1813/$D$1812,0)</f>
        <v/>
      </c>
      <c r="AI1815" s="23">
        <f>IF(AI1811&gt;0,AI1807/sb_dscr*$D$1813/$D$1812,0)</f>
        <v/>
      </c>
      <c r="AJ1815" s="23">
        <f>IF(AJ1811&gt;0,AJ1807/sb_dscr*$D$1813/$D$1812,0)</f>
        <v/>
      </c>
    </row>
    <row r="1816">
      <c r="B1816" s="2" t="inlineStr">
        <is>
          <t>Debt service cover</t>
        </is>
      </c>
      <c r="C1816" s="5" t="inlineStr">
        <is>
          <t>x</t>
        </is>
      </c>
      <c r="D1816" s="30">
        <f>IF(D1815&gt;0,D1807/D1815,"")</f>
        <v/>
      </c>
      <c r="E1816" s="30">
        <f>IF(E1815&gt;0,E1807/E1815,"")</f>
        <v/>
      </c>
      <c r="F1816" s="30">
        <f>IF(F1815&gt;0,F1807/F1815,"")</f>
        <v/>
      </c>
      <c r="G1816" s="30">
        <f>IF(G1815&gt;0,G1807/G1815,"")</f>
        <v/>
      </c>
      <c r="H1816" s="30">
        <f>IF(H1815&gt;0,H1807/H1815,"")</f>
        <v/>
      </c>
      <c r="I1816" s="30">
        <f>IF(I1815&gt;0,I1807/I1815,"")</f>
        <v/>
      </c>
      <c r="J1816" s="30">
        <f>IF(J1815&gt;0,J1807/J1815,"")</f>
        <v/>
      </c>
      <c r="K1816" s="30">
        <f>IF(K1815&gt;0,K1807/K1815,"")</f>
        <v/>
      </c>
      <c r="L1816" s="30">
        <f>IF(L1815&gt;0,L1807/L1815,"")</f>
        <v/>
      </c>
      <c r="M1816" s="30">
        <f>IF(M1815&gt;0,M1807/M1815,"")</f>
        <v/>
      </c>
      <c r="N1816" s="30">
        <f>IF(N1815&gt;0,N1807/N1815,"")</f>
        <v/>
      </c>
      <c r="O1816" s="30">
        <f>IF(O1815&gt;0,O1807/O1815,"")</f>
        <v/>
      </c>
      <c r="P1816" s="30">
        <f>IF(P1815&gt;0,P1807/P1815,"")</f>
        <v/>
      </c>
      <c r="Q1816" s="30">
        <f>IF(Q1815&gt;0,Q1807/Q1815,"")</f>
        <v/>
      </c>
      <c r="R1816" s="30">
        <f>IF(R1815&gt;0,R1807/R1815,"")</f>
        <v/>
      </c>
      <c r="S1816" s="30">
        <f>IF(S1815&gt;0,S1807/S1815,"")</f>
        <v/>
      </c>
      <c r="T1816" s="30">
        <f>IF(T1815&gt;0,T1807/T1815,"")</f>
        <v/>
      </c>
      <c r="U1816" s="30">
        <f>IF(U1815&gt;0,U1807/U1815,"")</f>
        <v/>
      </c>
      <c r="V1816" s="30">
        <f>IF(V1815&gt;0,V1807/V1815,"")</f>
        <v/>
      </c>
      <c r="W1816" s="30">
        <f>IF(W1815&gt;0,W1807/W1815,"")</f>
        <v/>
      </c>
      <c r="X1816" s="30">
        <f>IF(X1815&gt;0,X1807/X1815,"")</f>
        <v/>
      </c>
      <c r="Y1816" s="30">
        <f>IF(Y1815&gt;0,Y1807/Y1815,"")</f>
        <v/>
      </c>
      <c r="Z1816" s="30">
        <f>IF(Z1815&gt;0,Z1807/Z1815,"")</f>
        <v/>
      </c>
      <c r="AA1816" s="30">
        <f>IF(AA1815&gt;0,AA1807/AA1815,"")</f>
        <v/>
      </c>
      <c r="AB1816" s="30">
        <f>IF(AB1815&gt;0,AB1807/AB1815,"")</f>
        <v/>
      </c>
      <c r="AC1816" s="30">
        <f>IF(AC1815&gt;0,AC1807/AC1815,"")</f>
        <v/>
      </c>
      <c r="AD1816" s="30">
        <f>IF(AD1815&gt;0,AD1807/AD1815,"")</f>
        <v/>
      </c>
      <c r="AE1816" s="30">
        <f>IF(AE1815&gt;0,AE1807/AE1815,"")</f>
        <v/>
      </c>
      <c r="AF1816" s="30">
        <f>IF(AF1815&gt;0,AF1807/AF1815,"")</f>
        <v/>
      </c>
      <c r="AG1816" s="30">
        <f>IF(AG1815&gt;0,AG1807/AG1815,"")</f>
        <v/>
      </c>
      <c r="AH1816" s="30">
        <f>IF(AH1815&gt;0,AH1807/AH1815,"")</f>
        <v/>
      </c>
      <c r="AI1816" s="30">
        <f>IF(AI1815&gt;0,AI1807/AI1815,"")</f>
        <v/>
      </c>
      <c r="AJ1816" s="30">
        <f>IF(AJ1815&gt;0,AJ1807/AJ1815,"")</f>
        <v/>
      </c>
    </row>
    <row r="1817">
      <c r="B1817" s="3" t="inlineStr">
        <is>
          <t>Project flows (unlevered, pre-tax)</t>
        </is>
      </c>
      <c r="C1817" s="5" t="inlineStr">
        <is>
          <t>$ million</t>
        </is>
      </c>
      <c r="D1817" s="23">
        <f>D1810+D1807</f>
        <v/>
      </c>
      <c r="E1817" s="23">
        <f>E1810+E1807</f>
        <v/>
      </c>
      <c r="F1817" s="23">
        <f>F1810+F1807</f>
        <v/>
      </c>
      <c r="G1817" s="23">
        <f>G1810+G1807</f>
        <v/>
      </c>
      <c r="H1817" s="23">
        <f>H1810+H1807</f>
        <v/>
      </c>
      <c r="I1817" s="23">
        <f>I1810+I1807</f>
        <v/>
      </c>
      <c r="J1817" s="23">
        <f>J1810+J1807</f>
        <v/>
      </c>
      <c r="K1817" s="23">
        <f>K1810+K1807</f>
        <v/>
      </c>
      <c r="L1817" s="23">
        <f>L1810+L1807</f>
        <v/>
      </c>
      <c r="M1817" s="23">
        <f>M1810+M1807</f>
        <v/>
      </c>
      <c r="N1817" s="23">
        <f>N1810+N1807</f>
        <v/>
      </c>
      <c r="O1817" s="23">
        <f>O1810+O1807</f>
        <v/>
      </c>
      <c r="P1817" s="23">
        <f>P1810+P1807</f>
        <v/>
      </c>
      <c r="Q1817" s="23">
        <f>Q1810+Q1807</f>
        <v/>
      </c>
      <c r="R1817" s="23">
        <f>R1810+R1807</f>
        <v/>
      </c>
      <c r="S1817" s="23">
        <f>S1810+S1807</f>
        <v/>
      </c>
      <c r="T1817" s="23">
        <f>T1810+T1807</f>
        <v/>
      </c>
      <c r="U1817" s="23">
        <f>U1810+U1807</f>
        <v/>
      </c>
      <c r="V1817" s="23">
        <f>V1810+V1807</f>
        <v/>
      </c>
      <c r="W1817" s="23">
        <f>W1810+W1807</f>
        <v/>
      </c>
      <c r="X1817" s="23">
        <f>X1810+X1807</f>
        <v/>
      </c>
      <c r="Y1817" s="23">
        <f>Y1810+Y1807</f>
        <v/>
      </c>
      <c r="Z1817" s="23">
        <f>Z1810+Z1807</f>
        <v/>
      </c>
      <c r="AA1817" s="23">
        <f>AA1810+AA1807</f>
        <v/>
      </c>
      <c r="AB1817" s="23">
        <f>AB1810+AB1807</f>
        <v/>
      </c>
      <c r="AC1817" s="23">
        <f>AC1810+AC1807</f>
        <v/>
      </c>
      <c r="AD1817" s="23">
        <f>AD1810+AD1807</f>
        <v/>
      </c>
      <c r="AE1817" s="23">
        <f>AE1810+AE1807</f>
        <v/>
      </c>
      <c r="AF1817" s="23">
        <f>AF1810+AF1807</f>
        <v/>
      </c>
      <c r="AG1817" s="23">
        <f>AG1810+AG1807</f>
        <v/>
      </c>
      <c r="AH1817" s="23">
        <f>AH1810+AH1807</f>
        <v/>
      </c>
      <c r="AI1817" s="23">
        <f>AI1810+AI1807</f>
        <v/>
      </c>
      <c r="AJ1817" s="23">
        <f>AJ1810+AJ1807</f>
        <v/>
      </c>
    </row>
    <row r="1818">
      <c r="B1818" s="3" t="inlineStr">
        <is>
          <t>Equity flows (pre-tax)</t>
        </is>
      </c>
      <c r="C1818" s="5" t="inlineStr">
        <is>
          <t>$ million</t>
        </is>
      </c>
      <c r="D1818" s="23">
        <f>D1810*(1-$D$1814)+D1807-D1815</f>
        <v/>
      </c>
      <c r="E1818" s="23">
        <f>E1810*(1-$D$1814)+E1807-E1815</f>
        <v/>
      </c>
      <c r="F1818" s="23">
        <f>F1810*(1-$D$1814)+F1807-F1815</f>
        <v/>
      </c>
      <c r="G1818" s="23">
        <f>G1810*(1-$D$1814)+G1807-G1815</f>
        <v/>
      </c>
      <c r="H1818" s="23">
        <f>H1810*(1-$D$1814)+H1807-H1815</f>
        <v/>
      </c>
      <c r="I1818" s="23">
        <f>I1810*(1-$D$1814)+I1807-I1815</f>
        <v/>
      </c>
      <c r="J1818" s="23">
        <f>J1810*(1-$D$1814)+J1807-J1815</f>
        <v/>
      </c>
      <c r="K1818" s="23">
        <f>K1810*(1-$D$1814)+K1807-K1815</f>
        <v/>
      </c>
      <c r="L1818" s="23">
        <f>L1810*(1-$D$1814)+L1807-L1815</f>
        <v/>
      </c>
      <c r="M1818" s="23">
        <f>M1810*(1-$D$1814)+M1807-M1815</f>
        <v/>
      </c>
      <c r="N1818" s="23">
        <f>N1810*(1-$D$1814)+N1807-N1815</f>
        <v/>
      </c>
      <c r="O1818" s="23">
        <f>O1810*(1-$D$1814)+O1807-O1815</f>
        <v/>
      </c>
      <c r="P1818" s="23">
        <f>P1810*(1-$D$1814)+P1807-P1815</f>
        <v/>
      </c>
      <c r="Q1818" s="23">
        <f>Q1810*(1-$D$1814)+Q1807-Q1815</f>
        <v/>
      </c>
      <c r="R1818" s="23">
        <f>R1810*(1-$D$1814)+R1807-R1815</f>
        <v/>
      </c>
      <c r="S1818" s="23">
        <f>S1810*(1-$D$1814)+S1807-S1815</f>
        <v/>
      </c>
      <c r="T1818" s="23">
        <f>T1810*(1-$D$1814)+T1807-T1815</f>
        <v/>
      </c>
      <c r="U1818" s="23">
        <f>U1810*(1-$D$1814)+U1807-U1815</f>
        <v/>
      </c>
      <c r="V1818" s="23">
        <f>V1810*(1-$D$1814)+V1807-V1815</f>
        <v/>
      </c>
      <c r="W1818" s="23">
        <f>W1810*(1-$D$1814)+W1807-W1815</f>
        <v/>
      </c>
      <c r="X1818" s="23">
        <f>X1810*(1-$D$1814)+X1807-X1815</f>
        <v/>
      </c>
      <c r="Y1818" s="23">
        <f>Y1810*(1-$D$1814)+Y1807-Y1815</f>
        <v/>
      </c>
      <c r="Z1818" s="23">
        <f>Z1810*(1-$D$1814)+Z1807-Z1815</f>
        <v/>
      </c>
      <c r="AA1818" s="23">
        <f>AA1810*(1-$D$1814)+AA1807-AA1815</f>
        <v/>
      </c>
      <c r="AB1818" s="23">
        <f>AB1810*(1-$D$1814)+AB1807-AB1815</f>
        <v/>
      </c>
      <c r="AC1818" s="23">
        <f>AC1810*(1-$D$1814)+AC1807-AC1815</f>
        <v/>
      </c>
      <c r="AD1818" s="23">
        <f>AD1810*(1-$D$1814)+AD1807-AD1815</f>
        <v/>
      </c>
      <c r="AE1818" s="23">
        <f>AE1810*(1-$D$1814)+AE1807-AE1815</f>
        <v/>
      </c>
      <c r="AF1818" s="23">
        <f>AF1810*(1-$D$1814)+AF1807-AF1815</f>
        <v/>
      </c>
      <c r="AG1818" s="23">
        <f>AG1810*(1-$D$1814)+AG1807-AG1815</f>
        <v/>
      </c>
      <c r="AH1818" s="23">
        <f>AH1810*(1-$D$1814)+AH1807-AH1815</f>
        <v/>
      </c>
      <c r="AI1818" s="23">
        <f>AI1810*(1-$D$1814)+AI1807-AI1815</f>
        <v/>
      </c>
      <c r="AJ1818" s="23">
        <f>AJ1810*(1-$D$1814)+AJ1807-AJ1815</f>
        <v/>
      </c>
    </row>
    <row r="1819">
      <c r="B1819" s="2" t="inlineStr">
        <is>
          <t>Project IRR</t>
        </is>
      </c>
      <c r="C1819" s="5" t="inlineStr">
        <is>
          <t>rate</t>
        </is>
      </c>
      <c r="D1819" s="27">
        <f>IRR($D$1817:AJ$1817,0.07)</f>
        <v/>
      </c>
    </row>
    <row r="1820">
      <c r="B1820" s="2" t="inlineStr">
        <is>
          <t>Equity IRR</t>
        </is>
      </c>
      <c r="C1820" s="5" t="inlineStr">
        <is>
          <t>rate</t>
        </is>
      </c>
      <c r="D1820" s="27">
        <f>IRR($D$1818:AJ$1818,0.1)</f>
        <v/>
      </c>
    </row>
    <row r="1821">
      <c r="B1821" s="2" t="inlineStr">
        <is>
          <t>Equity invested</t>
        </is>
      </c>
      <c r="C1821" s="5" t="inlineStr">
        <is>
          <t>$ million</t>
        </is>
      </c>
      <c r="D1821" s="23">
        <f>-SUMPRODUCT($D$1810:AJ$1810)*(1-$D$1814)</f>
        <v/>
      </c>
    </row>
    <row r="1824">
      <c r="B1824" s="6" t="inlineStr">
        <is>
          <t>C8: Capacity charge bid 5 percent lower (Sorrel Bay, pre-tax)</t>
        </is>
      </c>
      <c r="C1824" s="7" t="n"/>
      <c r="D1824" s="7" t="n"/>
      <c r="E1824" s="7" t="n"/>
      <c r="F1824" s="7" t="n"/>
      <c r="G1824" s="7" t="n"/>
      <c r="H1824" s="7" t="n"/>
      <c r="I1824" s="7" t="n"/>
      <c r="J1824" s="7" t="n"/>
      <c r="K1824" s="7" t="n"/>
      <c r="L1824" s="7" t="n"/>
      <c r="M1824" s="7" t="n"/>
      <c r="N1824" s="7" t="n"/>
      <c r="O1824" s="7" t="n"/>
      <c r="P1824" s="7" t="n"/>
      <c r="Q1824" s="7" t="n"/>
      <c r="R1824" s="7" t="n"/>
      <c r="S1824" s="7" t="n"/>
      <c r="T1824" s="7" t="n"/>
      <c r="U1824" s="7" t="n"/>
      <c r="V1824" s="7" t="n"/>
      <c r="W1824" s="7" t="n"/>
      <c r="X1824" s="7" t="n"/>
      <c r="Y1824" s="7" t="n"/>
      <c r="Z1824" s="7" t="n"/>
      <c r="AA1824" s="7" t="n"/>
      <c r="AB1824" s="7" t="n"/>
      <c r="AC1824" s="7" t="n"/>
      <c r="AD1824" s="7" t="n"/>
      <c r="AE1824" s="7" t="n"/>
      <c r="AF1824" s="7" t="n"/>
      <c r="AG1824" s="7" t="n"/>
      <c r="AH1824" s="7" t="n"/>
      <c r="AI1824" s="7" t="n"/>
      <c r="AJ1824" s="7" t="n"/>
    </row>
    <row r="1825">
      <c r="B1825" s="2" t="inlineStr">
        <is>
          <t>Year (31 December)</t>
        </is>
      </c>
      <c r="D1825" s="26">
        <f>sb_start</f>
        <v/>
      </c>
      <c r="E1825" s="26">
        <f>D1825+1</f>
        <v/>
      </c>
      <c r="F1825" s="26">
        <f>E1825+1</f>
        <v/>
      </c>
      <c r="G1825" s="26">
        <f>F1825+1</f>
        <v/>
      </c>
      <c r="H1825" s="26">
        <f>G1825+1</f>
        <v/>
      </c>
      <c r="I1825" s="26">
        <f>H1825+1</f>
        <v/>
      </c>
      <c r="J1825" s="26">
        <f>I1825+1</f>
        <v/>
      </c>
      <c r="K1825" s="26">
        <f>J1825+1</f>
        <v/>
      </c>
      <c r="L1825" s="26">
        <f>K1825+1</f>
        <v/>
      </c>
      <c r="M1825" s="26">
        <f>L1825+1</f>
        <v/>
      </c>
      <c r="N1825" s="26">
        <f>M1825+1</f>
        <v/>
      </c>
      <c r="O1825" s="26">
        <f>N1825+1</f>
        <v/>
      </c>
      <c r="P1825" s="26">
        <f>O1825+1</f>
        <v/>
      </c>
      <c r="Q1825" s="26">
        <f>P1825+1</f>
        <v/>
      </c>
      <c r="R1825" s="26">
        <f>Q1825+1</f>
        <v/>
      </c>
      <c r="S1825" s="26">
        <f>R1825+1</f>
        <v/>
      </c>
      <c r="T1825" s="26">
        <f>S1825+1</f>
        <v/>
      </c>
      <c r="U1825" s="26">
        <f>T1825+1</f>
        <v/>
      </c>
      <c r="V1825" s="26">
        <f>U1825+1</f>
        <v/>
      </c>
      <c r="W1825" s="26">
        <f>V1825+1</f>
        <v/>
      </c>
      <c r="X1825" s="26">
        <f>W1825+1</f>
        <v/>
      </c>
      <c r="Y1825" s="26">
        <f>X1825+1</f>
        <v/>
      </c>
      <c r="Z1825" s="26">
        <f>Y1825+1</f>
        <v/>
      </c>
      <c r="AA1825" s="26">
        <f>Z1825+1</f>
        <v/>
      </c>
      <c r="AB1825" s="26">
        <f>AA1825+1</f>
        <v/>
      </c>
      <c r="AC1825" s="26">
        <f>AB1825+1</f>
        <v/>
      </c>
      <c r="AD1825" s="26">
        <f>AC1825+1</f>
        <v/>
      </c>
      <c r="AE1825" s="26">
        <f>AD1825+1</f>
        <v/>
      </c>
      <c r="AF1825" s="26">
        <f>AE1825+1</f>
        <v/>
      </c>
      <c r="AG1825" s="26">
        <f>AF1825+1</f>
        <v/>
      </c>
      <c r="AH1825" s="26">
        <f>AG1825+1</f>
        <v/>
      </c>
      <c r="AI1825" s="26">
        <f>AH1825+1</f>
        <v/>
      </c>
      <c r="AJ1825" s="26">
        <f>AI1825+1</f>
        <v/>
      </c>
    </row>
    <row r="1826">
      <c r="B1826" s="2" t="inlineStr">
        <is>
          <t>Operating year (1 = yes)</t>
        </is>
      </c>
      <c r="D1826" s="26">
        <f>IF(AND(D1825&gt;=sb_cod,D1825&lt;sb_cod+sb_term),1,0)</f>
        <v/>
      </c>
      <c r="E1826" s="26">
        <f>IF(AND(E1825&gt;=sb_cod,E1825&lt;sb_cod+sb_term),1,0)</f>
        <v/>
      </c>
      <c r="F1826" s="26">
        <f>IF(AND(F1825&gt;=sb_cod,F1825&lt;sb_cod+sb_term),1,0)</f>
        <v/>
      </c>
      <c r="G1826" s="26">
        <f>IF(AND(G1825&gt;=sb_cod,G1825&lt;sb_cod+sb_term),1,0)</f>
        <v/>
      </c>
      <c r="H1826" s="26">
        <f>IF(AND(H1825&gt;=sb_cod,H1825&lt;sb_cod+sb_term),1,0)</f>
        <v/>
      </c>
      <c r="I1826" s="26">
        <f>IF(AND(I1825&gt;=sb_cod,I1825&lt;sb_cod+sb_term),1,0)</f>
        <v/>
      </c>
      <c r="J1826" s="26">
        <f>IF(AND(J1825&gt;=sb_cod,J1825&lt;sb_cod+sb_term),1,0)</f>
        <v/>
      </c>
      <c r="K1826" s="26">
        <f>IF(AND(K1825&gt;=sb_cod,K1825&lt;sb_cod+sb_term),1,0)</f>
        <v/>
      </c>
      <c r="L1826" s="26">
        <f>IF(AND(L1825&gt;=sb_cod,L1825&lt;sb_cod+sb_term),1,0)</f>
        <v/>
      </c>
      <c r="M1826" s="26">
        <f>IF(AND(M1825&gt;=sb_cod,M1825&lt;sb_cod+sb_term),1,0)</f>
        <v/>
      </c>
      <c r="N1826" s="26">
        <f>IF(AND(N1825&gt;=sb_cod,N1825&lt;sb_cod+sb_term),1,0)</f>
        <v/>
      </c>
      <c r="O1826" s="26">
        <f>IF(AND(O1825&gt;=sb_cod,O1825&lt;sb_cod+sb_term),1,0)</f>
        <v/>
      </c>
      <c r="P1826" s="26">
        <f>IF(AND(P1825&gt;=sb_cod,P1825&lt;sb_cod+sb_term),1,0)</f>
        <v/>
      </c>
      <c r="Q1826" s="26">
        <f>IF(AND(Q1825&gt;=sb_cod,Q1825&lt;sb_cod+sb_term),1,0)</f>
        <v/>
      </c>
      <c r="R1826" s="26">
        <f>IF(AND(R1825&gt;=sb_cod,R1825&lt;sb_cod+sb_term),1,0)</f>
        <v/>
      </c>
      <c r="S1826" s="26">
        <f>IF(AND(S1825&gt;=sb_cod,S1825&lt;sb_cod+sb_term),1,0)</f>
        <v/>
      </c>
      <c r="T1826" s="26">
        <f>IF(AND(T1825&gt;=sb_cod,T1825&lt;sb_cod+sb_term),1,0)</f>
        <v/>
      </c>
      <c r="U1826" s="26">
        <f>IF(AND(U1825&gt;=sb_cod,U1825&lt;sb_cod+sb_term),1,0)</f>
        <v/>
      </c>
      <c r="V1826" s="26">
        <f>IF(AND(V1825&gt;=sb_cod,V1825&lt;sb_cod+sb_term),1,0)</f>
        <v/>
      </c>
      <c r="W1826" s="26">
        <f>IF(AND(W1825&gt;=sb_cod,W1825&lt;sb_cod+sb_term),1,0)</f>
        <v/>
      </c>
      <c r="X1826" s="26">
        <f>IF(AND(X1825&gt;=sb_cod,X1825&lt;sb_cod+sb_term),1,0)</f>
        <v/>
      </c>
      <c r="Y1826" s="26">
        <f>IF(AND(Y1825&gt;=sb_cod,Y1825&lt;sb_cod+sb_term),1,0)</f>
        <v/>
      </c>
      <c r="Z1826" s="26">
        <f>IF(AND(Z1825&gt;=sb_cod,Z1825&lt;sb_cod+sb_term),1,0)</f>
        <v/>
      </c>
      <c r="AA1826" s="26">
        <f>IF(AND(AA1825&gt;=sb_cod,AA1825&lt;sb_cod+sb_term),1,0)</f>
        <v/>
      </c>
      <c r="AB1826" s="26">
        <f>IF(AND(AB1825&gt;=sb_cod,AB1825&lt;sb_cod+sb_term),1,0)</f>
        <v/>
      </c>
      <c r="AC1826" s="26">
        <f>IF(AND(AC1825&gt;=sb_cod,AC1825&lt;sb_cod+sb_term),1,0)</f>
        <v/>
      </c>
      <c r="AD1826" s="26">
        <f>IF(AND(AD1825&gt;=sb_cod,AD1825&lt;sb_cod+sb_term),1,0)</f>
        <v/>
      </c>
      <c r="AE1826" s="26">
        <f>IF(AND(AE1825&gt;=sb_cod,AE1825&lt;sb_cod+sb_term),1,0)</f>
        <v/>
      </c>
      <c r="AF1826" s="26">
        <f>IF(AND(AF1825&gt;=sb_cod,AF1825&lt;sb_cod+sb_term),1,0)</f>
        <v/>
      </c>
      <c r="AG1826" s="26">
        <f>IF(AND(AG1825&gt;=sb_cod,AG1825&lt;sb_cod+sb_term),1,0)</f>
        <v/>
      </c>
      <c r="AH1826" s="26">
        <f>IF(AND(AH1825&gt;=sb_cod,AH1825&lt;sb_cod+sb_term),1,0)</f>
        <v/>
      </c>
      <c r="AI1826" s="26">
        <f>IF(AND(AI1825&gt;=sb_cod,AI1825&lt;sb_cod+sb_term),1,0)</f>
        <v/>
      </c>
      <c r="AJ1826" s="26">
        <f>IF(AND(AJ1825&gt;=sb_cod,AJ1825&lt;sb_cod+sb_term),1,0)</f>
        <v/>
      </c>
    </row>
    <row r="1827">
      <c r="B1827" s="2" t="inlineStr">
        <is>
          <t>Years since operation began</t>
        </is>
      </c>
      <c r="D1827" s="26">
        <f>D1825-sb_cod</f>
        <v/>
      </c>
      <c r="E1827" s="26">
        <f>E1825-sb_cod</f>
        <v/>
      </c>
      <c r="F1827" s="26">
        <f>F1825-sb_cod</f>
        <v/>
      </c>
      <c r="G1827" s="26">
        <f>G1825-sb_cod</f>
        <v/>
      </c>
      <c r="H1827" s="26">
        <f>H1825-sb_cod</f>
        <v/>
      </c>
      <c r="I1827" s="26">
        <f>I1825-sb_cod</f>
        <v/>
      </c>
      <c r="J1827" s="26">
        <f>J1825-sb_cod</f>
        <v/>
      </c>
      <c r="K1827" s="26">
        <f>K1825-sb_cod</f>
        <v/>
      </c>
      <c r="L1827" s="26">
        <f>L1825-sb_cod</f>
        <v/>
      </c>
      <c r="M1827" s="26">
        <f>M1825-sb_cod</f>
        <v/>
      </c>
      <c r="N1827" s="26">
        <f>N1825-sb_cod</f>
        <v/>
      </c>
      <c r="O1827" s="26">
        <f>O1825-sb_cod</f>
        <v/>
      </c>
      <c r="P1827" s="26">
        <f>P1825-sb_cod</f>
        <v/>
      </c>
      <c r="Q1827" s="26">
        <f>Q1825-sb_cod</f>
        <v/>
      </c>
      <c r="R1827" s="26">
        <f>R1825-sb_cod</f>
        <v/>
      </c>
      <c r="S1827" s="26">
        <f>S1825-sb_cod</f>
        <v/>
      </c>
      <c r="T1827" s="26">
        <f>T1825-sb_cod</f>
        <v/>
      </c>
      <c r="U1827" s="26">
        <f>U1825-sb_cod</f>
        <v/>
      </c>
      <c r="V1827" s="26">
        <f>V1825-sb_cod</f>
        <v/>
      </c>
      <c r="W1827" s="26">
        <f>W1825-sb_cod</f>
        <v/>
      </c>
      <c r="X1827" s="26">
        <f>X1825-sb_cod</f>
        <v/>
      </c>
      <c r="Y1827" s="26">
        <f>Y1825-sb_cod</f>
        <v/>
      </c>
      <c r="Z1827" s="26">
        <f>Z1825-sb_cod</f>
        <v/>
      </c>
      <c r="AA1827" s="26">
        <f>AA1825-sb_cod</f>
        <v/>
      </c>
      <c r="AB1827" s="26">
        <f>AB1825-sb_cod</f>
        <v/>
      </c>
      <c r="AC1827" s="26">
        <f>AC1825-sb_cod</f>
        <v/>
      </c>
      <c r="AD1827" s="26">
        <f>AD1825-sb_cod</f>
        <v/>
      </c>
      <c r="AE1827" s="26">
        <f>AE1825-sb_cod</f>
        <v/>
      </c>
      <c r="AF1827" s="26">
        <f>AF1825-sb_cod</f>
        <v/>
      </c>
      <c r="AG1827" s="26">
        <f>AG1825-sb_cod</f>
        <v/>
      </c>
      <c r="AH1827" s="26">
        <f>AH1825-sb_cod</f>
        <v/>
      </c>
      <c r="AI1827" s="26">
        <f>AI1825-sb_cod</f>
        <v/>
      </c>
      <c r="AJ1827" s="26">
        <f>AJ1825-sb_cod</f>
        <v/>
      </c>
    </row>
    <row r="1828">
      <c r="B1828" s="2" t="inlineStr">
        <is>
          <t>Indexation factor</t>
        </is>
      </c>
      <c r="D1828" s="28">
        <f>(1+sb_cpi)^D1827</f>
        <v/>
      </c>
      <c r="E1828" s="28">
        <f>(1+sb_cpi)^E1827</f>
        <v/>
      </c>
      <c r="F1828" s="28">
        <f>(1+sb_cpi)^F1827</f>
        <v/>
      </c>
      <c r="G1828" s="28">
        <f>(1+sb_cpi)^G1827</f>
        <v/>
      </c>
      <c r="H1828" s="28">
        <f>(1+sb_cpi)^H1827</f>
        <v/>
      </c>
      <c r="I1828" s="28">
        <f>(1+sb_cpi)^I1827</f>
        <v/>
      </c>
      <c r="J1828" s="28">
        <f>(1+sb_cpi)^J1827</f>
        <v/>
      </c>
      <c r="K1828" s="28">
        <f>(1+sb_cpi)^K1827</f>
        <v/>
      </c>
      <c r="L1828" s="28">
        <f>(1+sb_cpi)^L1827</f>
        <v/>
      </c>
      <c r="M1828" s="28">
        <f>(1+sb_cpi)^M1827</f>
        <v/>
      </c>
      <c r="N1828" s="28">
        <f>(1+sb_cpi)^N1827</f>
        <v/>
      </c>
      <c r="O1828" s="28">
        <f>(1+sb_cpi)^O1827</f>
        <v/>
      </c>
      <c r="P1828" s="28">
        <f>(1+sb_cpi)^P1827</f>
        <v/>
      </c>
      <c r="Q1828" s="28">
        <f>(1+sb_cpi)^Q1827</f>
        <v/>
      </c>
      <c r="R1828" s="28">
        <f>(1+sb_cpi)^R1827</f>
        <v/>
      </c>
      <c r="S1828" s="28">
        <f>(1+sb_cpi)^S1827</f>
        <v/>
      </c>
      <c r="T1828" s="28">
        <f>(1+sb_cpi)^T1827</f>
        <v/>
      </c>
      <c r="U1828" s="28">
        <f>(1+sb_cpi)^U1827</f>
        <v/>
      </c>
      <c r="V1828" s="28">
        <f>(1+sb_cpi)^V1827</f>
        <v/>
      </c>
      <c r="W1828" s="28">
        <f>(1+sb_cpi)^W1827</f>
        <v/>
      </c>
      <c r="X1828" s="28">
        <f>(1+sb_cpi)^X1827</f>
        <v/>
      </c>
      <c r="Y1828" s="28">
        <f>(1+sb_cpi)^Y1827</f>
        <v/>
      </c>
      <c r="Z1828" s="28">
        <f>(1+sb_cpi)^Z1827</f>
        <v/>
      </c>
      <c r="AA1828" s="28">
        <f>(1+sb_cpi)^AA1827</f>
        <v/>
      </c>
      <c r="AB1828" s="28">
        <f>(1+sb_cpi)^AB1827</f>
        <v/>
      </c>
      <c r="AC1828" s="28">
        <f>(1+sb_cpi)^AC1827</f>
        <v/>
      </c>
      <c r="AD1828" s="28">
        <f>(1+sb_cpi)^AD1827</f>
        <v/>
      </c>
      <c r="AE1828" s="28">
        <f>(1+sb_cpi)^AE1827</f>
        <v/>
      </c>
      <c r="AF1828" s="28">
        <f>(1+sb_cpi)^AF1827</f>
        <v/>
      </c>
      <c r="AG1828" s="28">
        <f>(1+sb_cpi)^AG1827</f>
        <v/>
      </c>
      <c r="AH1828" s="28">
        <f>(1+sb_cpi)^AH1827</f>
        <v/>
      </c>
      <c r="AI1828" s="28">
        <f>(1+sb_cpi)^AI1827</f>
        <v/>
      </c>
      <c r="AJ1828" s="28">
        <f>(1+sb_cpi)^AJ1827</f>
        <v/>
      </c>
    </row>
    <row r="1830">
      <c r="B1830" s="6" t="inlineStr">
        <is>
          <t>Plant scalars</t>
        </is>
      </c>
      <c r="C1830" s="7" t="n"/>
      <c r="D1830" s="7" t="n"/>
      <c r="E1830" s="7" t="n"/>
      <c r="F1830" s="7" t="n"/>
      <c r="G1830" s="7" t="n"/>
      <c r="H1830" s="7" t="n"/>
      <c r="I1830" s="7" t="n"/>
      <c r="J1830" s="7" t="n"/>
      <c r="K1830" s="7" t="n"/>
      <c r="L1830" s="7" t="n"/>
      <c r="M1830" s="7" t="n"/>
      <c r="N1830" s="7" t="n"/>
      <c r="O1830" s="7" t="n"/>
      <c r="P1830" s="7" t="n"/>
      <c r="Q1830" s="7" t="n"/>
      <c r="R1830" s="7" t="n"/>
      <c r="S1830" s="7" t="n"/>
      <c r="T1830" s="7" t="n"/>
      <c r="U1830" s="7" t="n"/>
      <c r="V1830" s="7" t="n"/>
      <c r="W1830" s="7" t="n"/>
      <c r="X1830" s="7" t="n"/>
      <c r="Y1830" s="7" t="n"/>
      <c r="Z1830" s="7" t="n"/>
      <c r="AA1830" s="7" t="n"/>
      <c r="AB1830" s="7" t="n"/>
      <c r="AC1830" s="7" t="n"/>
      <c r="AD1830" s="7" t="n"/>
      <c r="AE1830" s="7" t="n"/>
      <c r="AF1830" s="7" t="n"/>
      <c r="AG1830" s="7" t="n"/>
      <c r="AH1830" s="7" t="n"/>
      <c r="AI1830" s="7" t="n"/>
      <c r="AJ1830" s="7" t="n"/>
    </row>
    <row r="1831">
      <c r="B1831" s="2" t="inlineStr">
        <is>
          <t>Payment factor at expected availability</t>
        </is>
      </c>
      <c r="D1831" s="28">
        <f>IF(sb_avail&gt;=sb_guar,MIN(1,sb_avail/sb_guar),sb_avail/sb_guar-(sb_guar-sb_avail)/sb_guar)</f>
        <v/>
      </c>
    </row>
    <row r="1832">
      <c r="B1832" s="2" t="inlineStr">
        <is>
          <t>Paid capacity a year (m3)</t>
        </is>
      </c>
      <c r="C1832" s="5" t="inlineStr">
        <is>
          <t>m3</t>
        </is>
      </c>
      <c r="D1832" s="19">
        <f>sb_cap*365*sb_guar*$D$1831</f>
        <v/>
      </c>
    </row>
    <row r="1833">
      <c r="B1833" s="2" t="inlineStr">
        <is>
          <t>Water delivered a year (m3)</t>
        </is>
      </c>
      <c r="C1833" s="5" t="inlineStr">
        <is>
          <t>m3</t>
        </is>
      </c>
      <c r="D1833" s="19">
        <f>sb_cap*365*sb_avail*sb_dispatch</f>
        <v/>
      </c>
    </row>
    <row r="1834">
      <c r="B1834" s="2" t="inlineStr">
        <is>
          <t>Fixed O&amp;M charge, 2030 ($ per m3 of available capacity)</t>
        </is>
      </c>
      <c r="C1834" s="5" t="inlineStr">
        <is>
          <t>$ per m3</t>
        </is>
      </c>
      <c r="D1834" s="38">
        <f>sb_fom*1000000/(sb_cap*365*sb_guar)</f>
        <v/>
      </c>
    </row>
    <row r="1835">
      <c r="B1835" s="2" t="inlineStr">
        <is>
          <t>Capital cost</t>
        </is>
      </c>
      <c r="C1835" s="5" t="inlineStr">
        <is>
          <t>$ million</t>
        </is>
      </c>
      <c r="D1835" s="23">
        <f>(sb_cx_plant+sb_cx_marine+sb_cx_conv+sb_cx_grid+sb_cx_dev+sb_cx_fin)*(1+sb_capex_shift)</f>
        <v/>
      </c>
    </row>
    <row r="1836">
      <c r="B1836" s="2" t="inlineStr">
        <is>
          <t>Capacity charge used</t>
        </is>
      </c>
      <c r="C1836" s="5" t="inlineStr">
        <is>
          <t>$ per m3</t>
        </is>
      </c>
      <c r="D1836" s="38">
        <f>'SB_Finance'!$C$6*(1-sb_bid_cut)</f>
        <v/>
      </c>
    </row>
    <row r="1838">
      <c r="B1838" s="6" t="inlineStr">
        <is>
          <t>Operations</t>
        </is>
      </c>
      <c r="C1838" s="7" t="n"/>
      <c r="D1838" s="7" t="n"/>
      <c r="E1838" s="7" t="n"/>
      <c r="F1838" s="7" t="n"/>
      <c r="G1838" s="7" t="n"/>
      <c r="H1838" s="7" t="n"/>
      <c r="I1838" s="7" t="n"/>
      <c r="J1838" s="7" t="n"/>
      <c r="K1838" s="7" t="n"/>
      <c r="L1838" s="7" t="n"/>
      <c r="M1838" s="7" t="n"/>
      <c r="N1838" s="7" t="n"/>
      <c r="O1838" s="7" t="n"/>
      <c r="P1838" s="7" t="n"/>
      <c r="Q1838" s="7" t="n"/>
      <c r="R1838" s="7" t="n"/>
      <c r="S1838" s="7" t="n"/>
      <c r="T1838" s="7" t="n"/>
      <c r="U1838" s="7" t="n"/>
      <c r="V1838" s="7" t="n"/>
      <c r="W1838" s="7" t="n"/>
      <c r="X1838" s="7" t="n"/>
      <c r="Y1838" s="7" t="n"/>
      <c r="Z1838" s="7" t="n"/>
      <c r="AA1838" s="7" t="n"/>
      <c r="AB1838" s="7" t="n"/>
      <c r="AC1838" s="7" t="n"/>
      <c r="AD1838" s="7" t="n"/>
      <c r="AE1838" s="7" t="n"/>
      <c r="AF1838" s="7" t="n"/>
      <c r="AG1838" s="7" t="n"/>
      <c r="AH1838" s="7" t="n"/>
      <c r="AI1838" s="7" t="n"/>
      <c r="AJ1838" s="7" t="n"/>
    </row>
    <row r="1839">
      <c r="B1839" s="2" t="inlineStr">
        <is>
          <t>Paid capacity (m3)</t>
        </is>
      </c>
      <c r="C1839" s="5" t="inlineStr">
        <is>
          <t>m3</t>
        </is>
      </c>
      <c r="D1839" s="19">
        <f>D1826*$D$1832</f>
        <v/>
      </c>
      <c r="E1839" s="19">
        <f>E1826*$D$1832</f>
        <v/>
      </c>
      <c r="F1839" s="19">
        <f>F1826*$D$1832</f>
        <v/>
      </c>
      <c r="G1839" s="19">
        <f>G1826*$D$1832</f>
        <v/>
      </c>
      <c r="H1839" s="19">
        <f>H1826*$D$1832</f>
        <v/>
      </c>
      <c r="I1839" s="19">
        <f>I1826*$D$1832</f>
        <v/>
      </c>
      <c r="J1839" s="19">
        <f>J1826*$D$1832</f>
        <v/>
      </c>
      <c r="K1839" s="19">
        <f>K1826*$D$1832</f>
        <v/>
      </c>
      <c r="L1839" s="19">
        <f>L1826*$D$1832</f>
        <v/>
      </c>
      <c r="M1839" s="19">
        <f>M1826*$D$1832</f>
        <v/>
      </c>
      <c r="N1839" s="19">
        <f>N1826*$D$1832</f>
        <v/>
      </c>
      <c r="O1839" s="19">
        <f>O1826*$D$1832</f>
        <v/>
      </c>
      <c r="P1839" s="19">
        <f>P1826*$D$1832</f>
        <v/>
      </c>
      <c r="Q1839" s="19">
        <f>Q1826*$D$1832</f>
        <v/>
      </c>
      <c r="R1839" s="19">
        <f>R1826*$D$1832</f>
        <v/>
      </c>
      <c r="S1839" s="19">
        <f>S1826*$D$1832</f>
        <v/>
      </c>
      <c r="T1839" s="19">
        <f>T1826*$D$1832</f>
        <v/>
      </c>
      <c r="U1839" s="19">
        <f>U1826*$D$1832</f>
        <v/>
      </c>
      <c r="V1839" s="19">
        <f>V1826*$D$1832</f>
        <v/>
      </c>
      <c r="W1839" s="19">
        <f>W1826*$D$1832</f>
        <v/>
      </c>
      <c r="X1839" s="19">
        <f>X1826*$D$1832</f>
        <v/>
      </c>
      <c r="Y1839" s="19">
        <f>Y1826*$D$1832</f>
        <v/>
      </c>
      <c r="Z1839" s="19">
        <f>Z1826*$D$1832</f>
        <v/>
      </c>
      <c r="AA1839" s="19">
        <f>AA1826*$D$1832</f>
        <v/>
      </c>
      <c r="AB1839" s="19">
        <f>AB1826*$D$1832</f>
        <v/>
      </c>
      <c r="AC1839" s="19">
        <f>AC1826*$D$1832</f>
        <v/>
      </c>
      <c r="AD1839" s="19">
        <f>AD1826*$D$1832</f>
        <v/>
      </c>
      <c r="AE1839" s="19">
        <f>AE1826*$D$1832</f>
        <v/>
      </c>
      <c r="AF1839" s="19">
        <f>AF1826*$D$1832</f>
        <v/>
      </c>
      <c r="AG1839" s="19">
        <f>AG1826*$D$1832</f>
        <v/>
      </c>
      <c r="AH1839" s="19">
        <f>AH1826*$D$1832</f>
        <v/>
      </c>
      <c r="AI1839" s="19">
        <f>AI1826*$D$1832</f>
        <v/>
      </c>
      <c r="AJ1839" s="19">
        <f>AJ1826*$D$1832</f>
        <v/>
      </c>
    </row>
    <row r="1840">
      <c r="B1840" s="2" t="inlineStr">
        <is>
          <t>Water delivered (m3)</t>
        </is>
      </c>
      <c r="C1840" s="5" t="inlineStr">
        <is>
          <t>m3</t>
        </is>
      </c>
      <c r="D1840" s="19">
        <f>D1826*$D$1833</f>
        <v/>
      </c>
      <c r="E1840" s="19">
        <f>E1826*$D$1833</f>
        <v/>
      </c>
      <c r="F1840" s="19">
        <f>F1826*$D$1833</f>
        <v/>
      </c>
      <c r="G1840" s="19">
        <f>G1826*$D$1833</f>
        <v/>
      </c>
      <c r="H1840" s="19">
        <f>H1826*$D$1833</f>
        <v/>
      </c>
      <c r="I1840" s="19">
        <f>I1826*$D$1833</f>
        <v/>
      </c>
      <c r="J1840" s="19">
        <f>J1826*$D$1833</f>
        <v/>
      </c>
      <c r="K1840" s="19">
        <f>K1826*$D$1833</f>
        <v/>
      </c>
      <c r="L1840" s="19">
        <f>L1826*$D$1833</f>
        <v/>
      </c>
      <c r="M1840" s="19">
        <f>M1826*$D$1833</f>
        <v/>
      </c>
      <c r="N1840" s="19">
        <f>N1826*$D$1833</f>
        <v/>
      </c>
      <c r="O1840" s="19">
        <f>O1826*$D$1833</f>
        <v/>
      </c>
      <c r="P1840" s="19">
        <f>P1826*$D$1833</f>
        <v/>
      </c>
      <c r="Q1840" s="19">
        <f>Q1826*$D$1833</f>
        <v/>
      </c>
      <c r="R1840" s="19">
        <f>R1826*$D$1833</f>
        <v/>
      </c>
      <c r="S1840" s="19">
        <f>S1826*$D$1833</f>
        <v/>
      </c>
      <c r="T1840" s="19">
        <f>T1826*$D$1833</f>
        <v/>
      </c>
      <c r="U1840" s="19">
        <f>U1826*$D$1833</f>
        <v/>
      </c>
      <c r="V1840" s="19">
        <f>V1826*$D$1833</f>
        <v/>
      </c>
      <c r="W1840" s="19">
        <f>W1826*$D$1833</f>
        <v/>
      </c>
      <c r="X1840" s="19">
        <f>X1826*$D$1833</f>
        <v/>
      </c>
      <c r="Y1840" s="19">
        <f>Y1826*$D$1833</f>
        <v/>
      </c>
      <c r="Z1840" s="19">
        <f>Z1826*$D$1833</f>
        <v/>
      </c>
      <c r="AA1840" s="19">
        <f>AA1826*$D$1833</f>
        <v/>
      </c>
      <c r="AB1840" s="19">
        <f>AB1826*$D$1833</f>
        <v/>
      </c>
      <c r="AC1840" s="19">
        <f>AC1826*$D$1833</f>
        <v/>
      </c>
      <c r="AD1840" s="19">
        <f>AD1826*$D$1833</f>
        <v/>
      </c>
      <c r="AE1840" s="19">
        <f>AE1826*$D$1833</f>
        <v/>
      </c>
      <c r="AF1840" s="19">
        <f>AF1826*$D$1833</f>
        <v/>
      </c>
      <c r="AG1840" s="19">
        <f>AG1826*$D$1833</f>
        <v/>
      </c>
      <c r="AH1840" s="19">
        <f>AH1826*$D$1833</f>
        <v/>
      </c>
      <c r="AI1840" s="19">
        <f>AI1826*$D$1833</f>
        <v/>
      </c>
      <c r="AJ1840" s="19">
        <f>AJ1826*$D$1833</f>
        <v/>
      </c>
    </row>
    <row r="1841">
      <c r="B1841" s="2" t="inlineStr">
        <is>
          <t>Power price paid</t>
        </is>
      </c>
      <c r="C1841" s="5" t="inlineStr">
        <is>
          <t>$ per MWh</t>
        </is>
      </c>
      <c r="D1841" s="22">
        <f>D1826*(sb_power*(1+sb_power_esc)^D1827+sb_power_shift)</f>
        <v/>
      </c>
      <c r="E1841" s="22">
        <f>E1826*(sb_power*(1+sb_power_esc)^E1827+sb_power_shift)</f>
        <v/>
      </c>
      <c r="F1841" s="22">
        <f>F1826*(sb_power*(1+sb_power_esc)^F1827+sb_power_shift)</f>
        <v/>
      </c>
      <c r="G1841" s="22">
        <f>G1826*(sb_power*(1+sb_power_esc)^G1827+sb_power_shift)</f>
        <v/>
      </c>
      <c r="H1841" s="22">
        <f>H1826*(sb_power*(1+sb_power_esc)^H1827+sb_power_shift)</f>
        <v/>
      </c>
      <c r="I1841" s="22">
        <f>I1826*(sb_power*(1+sb_power_esc)^I1827+sb_power_shift)</f>
        <v/>
      </c>
      <c r="J1841" s="22">
        <f>J1826*(sb_power*(1+sb_power_esc)^J1827+sb_power_shift)</f>
        <v/>
      </c>
      <c r="K1841" s="22">
        <f>K1826*(sb_power*(1+sb_power_esc)^K1827+sb_power_shift)</f>
        <v/>
      </c>
      <c r="L1841" s="22">
        <f>L1826*(sb_power*(1+sb_power_esc)^L1827+sb_power_shift)</f>
        <v/>
      </c>
      <c r="M1841" s="22">
        <f>M1826*(sb_power*(1+sb_power_esc)^M1827+sb_power_shift)</f>
        <v/>
      </c>
      <c r="N1841" s="22">
        <f>N1826*(sb_power*(1+sb_power_esc)^N1827+sb_power_shift)</f>
        <v/>
      </c>
      <c r="O1841" s="22">
        <f>O1826*(sb_power*(1+sb_power_esc)^O1827+sb_power_shift)</f>
        <v/>
      </c>
      <c r="P1841" s="22">
        <f>P1826*(sb_power*(1+sb_power_esc)^P1827+sb_power_shift)</f>
        <v/>
      </c>
      <c r="Q1841" s="22">
        <f>Q1826*(sb_power*(1+sb_power_esc)^Q1827+sb_power_shift)</f>
        <v/>
      </c>
      <c r="R1841" s="22">
        <f>R1826*(sb_power*(1+sb_power_esc)^R1827+sb_power_shift)</f>
        <v/>
      </c>
      <c r="S1841" s="22">
        <f>S1826*(sb_power*(1+sb_power_esc)^S1827+sb_power_shift)</f>
        <v/>
      </c>
      <c r="T1841" s="22">
        <f>T1826*(sb_power*(1+sb_power_esc)^T1827+sb_power_shift)</f>
        <v/>
      </c>
      <c r="U1841" s="22">
        <f>U1826*(sb_power*(1+sb_power_esc)^U1827+sb_power_shift)</f>
        <v/>
      </c>
      <c r="V1841" s="22">
        <f>V1826*(sb_power*(1+sb_power_esc)^V1827+sb_power_shift)</f>
        <v/>
      </c>
      <c r="W1841" s="22">
        <f>W1826*(sb_power*(1+sb_power_esc)^W1827+sb_power_shift)</f>
        <v/>
      </c>
      <c r="X1841" s="22">
        <f>X1826*(sb_power*(1+sb_power_esc)^X1827+sb_power_shift)</f>
        <v/>
      </c>
      <c r="Y1841" s="22">
        <f>Y1826*(sb_power*(1+sb_power_esc)^Y1827+sb_power_shift)</f>
        <v/>
      </c>
      <c r="Z1841" s="22">
        <f>Z1826*(sb_power*(1+sb_power_esc)^Z1827+sb_power_shift)</f>
        <v/>
      </c>
      <c r="AA1841" s="22">
        <f>AA1826*(sb_power*(1+sb_power_esc)^AA1827+sb_power_shift)</f>
        <v/>
      </c>
      <c r="AB1841" s="22">
        <f>AB1826*(sb_power*(1+sb_power_esc)^AB1827+sb_power_shift)</f>
        <v/>
      </c>
      <c r="AC1841" s="22">
        <f>AC1826*(sb_power*(1+sb_power_esc)^AC1827+sb_power_shift)</f>
        <v/>
      </c>
      <c r="AD1841" s="22">
        <f>AD1826*(sb_power*(1+sb_power_esc)^AD1827+sb_power_shift)</f>
        <v/>
      </c>
      <c r="AE1841" s="22">
        <f>AE1826*(sb_power*(1+sb_power_esc)^AE1827+sb_power_shift)</f>
        <v/>
      </c>
      <c r="AF1841" s="22">
        <f>AF1826*(sb_power*(1+sb_power_esc)^AF1827+sb_power_shift)</f>
        <v/>
      </c>
      <c r="AG1841" s="22">
        <f>AG1826*(sb_power*(1+sb_power_esc)^AG1827+sb_power_shift)</f>
        <v/>
      </c>
      <c r="AH1841" s="22">
        <f>AH1826*(sb_power*(1+sb_power_esc)^AH1827+sb_power_shift)</f>
        <v/>
      </c>
      <c r="AI1841" s="22">
        <f>AI1826*(sb_power*(1+sb_power_esc)^AI1827+sb_power_shift)</f>
        <v/>
      </c>
      <c r="AJ1841" s="22">
        <f>AJ1826*(sb_power*(1+sb_power_esc)^AJ1827+sb_power_shift)</f>
        <v/>
      </c>
    </row>
    <row r="1842">
      <c r="B1842" s="2" t="inlineStr">
        <is>
          <t>Power price in the energy charge</t>
        </is>
      </c>
      <c r="C1842" s="5" t="inlineStr">
        <is>
          <t>$ per MWh</t>
        </is>
      </c>
      <c r="D1842" s="22">
        <f>D1826*(sb_power*(1+sb_power_esc)^D1827+IF(sb_pass=1,sb_power_shift,0))</f>
        <v/>
      </c>
      <c r="E1842" s="22">
        <f>E1826*(sb_power*(1+sb_power_esc)^E1827+IF(sb_pass=1,sb_power_shift,0))</f>
        <v/>
      </c>
      <c r="F1842" s="22">
        <f>F1826*(sb_power*(1+sb_power_esc)^F1827+IF(sb_pass=1,sb_power_shift,0))</f>
        <v/>
      </c>
      <c r="G1842" s="22">
        <f>G1826*(sb_power*(1+sb_power_esc)^G1827+IF(sb_pass=1,sb_power_shift,0))</f>
        <v/>
      </c>
      <c r="H1842" s="22">
        <f>H1826*(sb_power*(1+sb_power_esc)^H1827+IF(sb_pass=1,sb_power_shift,0))</f>
        <v/>
      </c>
      <c r="I1842" s="22">
        <f>I1826*(sb_power*(1+sb_power_esc)^I1827+IF(sb_pass=1,sb_power_shift,0))</f>
        <v/>
      </c>
      <c r="J1842" s="22">
        <f>J1826*(sb_power*(1+sb_power_esc)^J1827+IF(sb_pass=1,sb_power_shift,0))</f>
        <v/>
      </c>
      <c r="K1842" s="22">
        <f>K1826*(sb_power*(1+sb_power_esc)^K1827+IF(sb_pass=1,sb_power_shift,0))</f>
        <v/>
      </c>
      <c r="L1842" s="22">
        <f>L1826*(sb_power*(1+sb_power_esc)^L1827+IF(sb_pass=1,sb_power_shift,0))</f>
        <v/>
      </c>
      <c r="M1842" s="22">
        <f>M1826*(sb_power*(1+sb_power_esc)^M1827+IF(sb_pass=1,sb_power_shift,0))</f>
        <v/>
      </c>
      <c r="N1842" s="22">
        <f>N1826*(sb_power*(1+sb_power_esc)^N1827+IF(sb_pass=1,sb_power_shift,0))</f>
        <v/>
      </c>
      <c r="O1842" s="22">
        <f>O1826*(sb_power*(1+sb_power_esc)^O1827+IF(sb_pass=1,sb_power_shift,0))</f>
        <v/>
      </c>
      <c r="P1842" s="22">
        <f>P1826*(sb_power*(1+sb_power_esc)^P1827+IF(sb_pass=1,sb_power_shift,0))</f>
        <v/>
      </c>
      <c r="Q1842" s="22">
        <f>Q1826*(sb_power*(1+sb_power_esc)^Q1827+IF(sb_pass=1,sb_power_shift,0))</f>
        <v/>
      </c>
      <c r="R1842" s="22">
        <f>R1826*(sb_power*(1+sb_power_esc)^R1827+IF(sb_pass=1,sb_power_shift,0))</f>
        <v/>
      </c>
      <c r="S1842" s="22">
        <f>S1826*(sb_power*(1+sb_power_esc)^S1827+IF(sb_pass=1,sb_power_shift,0))</f>
        <v/>
      </c>
      <c r="T1842" s="22">
        <f>T1826*(sb_power*(1+sb_power_esc)^T1827+IF(sb_pass=1,sb_power_shift,0))</f>
        <v/>
      </c>
      <c r="U1842" s="22">
        <f>U1826*(sb_power*(1+sb_power_esc)^U1827+IF(sb_pass=1,sb_power_shift,0))</f>
        <v/>
      </c>
      <c r="V1842" s="22">
        <f>V1826*(sb_power*(1+sb_power_esc)^V1827+IF(sb_pass=1,sb_power_shift,0))</f>
        <v/>
      </c>
      <c r="W1842" s="22">
        <f>W1826*(sb_power*(1+sb_power_esc)^W1827+IF(sb_pass=1,sb_power_shift,0))</f>
        <v/>
      </c>
      <c r="X1842" s="22">
        <f>X1826*(sb_power*(1+sb_power_esc)^X1827+IF(sb_pass=1,sb_power_shift,0))</f>
        <v/>
      </c>
      <c r="Y1842" s="22">
        <f>Y1826*(sb_power*(1+sb_power_esc)^Y1827+IF(sb_pass=1,sb_power_shift,0))</f>
        <v/>
      </c>
      <c r="Z1842" s="22">
        <f>Z1826*(sb_power*(1+sb_power_esc)^Z1827+IF(sb_pass=1,sb_power_shift,0))</f>
        <v/>
      </c>
      <c r="AA1842" s="22">
        <f>AA1826*(sb_power*(1+sb_power_esc)^AA1827+IF(sb_pass=1,sb_power_shift,0))</f>
        <v/>
      </c>
      <c r="AB1842" s="22">
        <f>AB1826*(sb_power*(1+sb_power_esc)^AB1827+IF(sb_pass=1,sb_power_shift,0))</f>
        <v/>
      </c>
      <c r="AC1842" s="22">
        <f>AC1826*(sb_power*(1+sb_power_esc)^AC1827+IF(sb_pass=1,sb_power_shift,0))</f>
        <v/>
      </c>
      <c r="AD1842" s="22">
        <f>AD1826*(sb_power*(1+sb_power_esc)^AD1827+IF(sb_pass=1,sb_power_shift,0))</f>
        <v/>
      </c>
      <c r="AE1842" s="22">
        <f>AE1826*(sb_power*(1+sb_power_esc)^AE1827+IF(sb_pass=1,sb_power_shift,0))</f>
        <v/>
      </c>
      <c r="AF1842" s="22">
        <f>AF1826*(sb_power*(1+sb_power_esc)^AF1827+IF(sb_pass=1,sb_power_shift,0))</f>
        <v/>
      </c>
      <c r="AG1842" s="22">
        <f>AG1826*(sb_power*(1+sb_power_esc)^AG1827+IF(sb_pass=1,sb_power_shift,0))</f>
        <v/>
      </c>
      <c r="AH1842" s="22">
        <f>AH1826*(sb_power*(1+sb_power_esc)^AH1827+IF(sb_pass=1,sb_power_shift,0))</f>
        <v/>
      </c>
      <c r="AI1842" s="22">
        <f>AI1826*(sb_power*(1+sb_power_esc)^AI1827+IF(sb_pass=1,sb_power_shift,0))</f>
        <v/>
      </c>
      <c r="AJ1842" s="22">
        <f>AJ1826*(sb_power*(1+sb_power_esc)^AJ1827+IF(sb_pass=1,sb_power_shift,0))</f>
        <v/>
      </c>
    </row>
    <row r="1843">
      <c r="B1843" s="2" t="inlineStr">
        <is>
          <t>Capacity payments</t>
        </is>
      </c>
      <c r="C1843" s="5" t="inlineStr">
        <is>
          <t>$ million</t>
        </is>
      </c>
      <c r="D1843" s="23">
        <f>$D$1836*D1839/1000000</f>
        <v/>
      </c>
      <c r="E1843" s="23">
        <f>$D$1836*E1839/1000000</f>
        <v/>
      </c>
      <c r="F1843" s="23">
        <f>$D$1836*F1839/1000000</f>
        <v/>
      </c>
      <c r="G1843" s="23">
        <f>$D$1836*G1839/1000000</f>
        <v/>
      </c>
      <c r="H1843" s="23">
        <f>$D$1836*H1839/1000000</f>
        <v/>
      </c>
      <c r="I1843" s="23">
        <f>$D$1836*I1839/1000000</f>
        <v/>
      </c>
      <c r="J1843" s="23">
        <f>$D$1836*J1839/1000000</f>
        <v/>
      </c>
      <c r="K1843" s="23">
        <f>$D$1836*K1839/1000000</f>
        <v/>
      </c>
      <c r="L1843" s="23">
        <f>$D$1836*L1839/1000000</f>
        <v/>
      </c>
      <c r="M1843" s="23">
        <f>$D$1836*M1839/1000000</f>
        <v/>
      </c>
      <c r="N1843" s="23">
        <f>$D$1836*N1839/1000000</f>
        <v/>
      </c>
      <c r="O1843" s="23">
        <f>$D$1836*O1839/1000000</f>
        <v/>
      </c>
      <c r="P1843" s="23">
        <f>$D$1836*P1839/1000000</f>
        <v/>
      </c>
      <c r="Q1843" s="23">
        <f>$D$1836*Q1839/1000000</f>
        <v/>
      </c>
      <c r="R1843" s="23">
        <f>$D$1836*R1839/1000000</f>
        <v/>
      </c>
      <c r="S1843" s="23">
        <f>$D$1836*S1839/1000000</f>
        <v/>
      </c>
      <c r="T1843" s="23">
        <f>$D$1836*T1839/1000000</f>
        <v/>
      </c>
      <c r="U1843" s="23">
        <f>$D$1836*U1839/1000000</f>
        <v/>
      </c>
      <c r="V1843" s="23">
        <f>$D$1836*V1839/1000000</f>
        <v/>
      </c>
      <c r="W1843" s="23">
        <f>$D$1836*W1839/1000000</f>
        <v/>
      </c>
      <c r="X1843" s="23">
        <f>$D$1836*X1839/1000000</f>
        <v/>
      </c>
      <c r="Y1843" s="23">
        <f>$D$1836*Y1839/1000000</f>
        <v/>
      </c>
      <c r="Z1843" s="23">
        <f>$D$1836*Z1839/1000000</f>
        <v/>
      </c>
      <c r="AA1843" s="23">
        <f>$D$1836*AA1839/1000000</f>
        <v/>
      </c>
      <c r="AB1843" s="23">
        <f>$D$1836*AB1839/1000000</f>
        <v/>
      </c>
      <c r="AC1843" s="23">
        <f>$D$1836*AC1839/1000000</f>
        <v/>
      </c>
      <c r="AD1843" s="23">
        <f>$D$1836*AD1839/1000000</f>
        <v/>
      </c>
      <c r="AE1843" s="23">
        <f>$D$1836*AE1839/1000000</f>
        <v/>
      </c>
      <c r="AF1843" s="23">
        <f>$D$1836*AF1839/1000000</f>
        <v/>
      </c>
      <c r="AG1843" s="23">
        <f>$D$1836*AG1839/1000000</f>
        <v/>
      </c>
      <c r="AH1843" s="23">
        <f>$D$1836*AH1839/1000000</f>
        <v/>
      </c>
      <c r="AI1843" s="23">
        <f>$D$1836*AI1839/1000000</f>
        <v/>
      </c>
      <c r="AJ1843" s="23">
        <f>$D$1836*AJ1839/1000000</f>
        <v/>
      </c>
    </row>
    <row r="1844">
      <c r="B1844" s="2" t="inlineStr">
        <is>
          <t>Fixed O&amp;M payments (indexed)</t>
        </is>
      </c>
      <c r="C1844" s="5" t="inlineStr">
        <is>
          <t>$ million</t>
        </is>
      </c>
      <c r="D1844" s="23">
        <f>$D$1834*D1828*D1839/1000000</f>
        <v/>
      </c>
      <c r="E1844" s="23">
        <f>$D$1834*E1828*E1839/1000000</f>
        <v/>
      </c>
      <c r="F1844" s="23">
        <f>$D$1834*F1828*F1839/1000000</f>
        <v/>
      </c>
      <c r="G1844" s="23">
        <f>$D$1834*G1828*G1839/1000000</f>
        <v/>
      </c>
      <c r="H1844" s="23">
        <f>$D$1834*H1828*H1839/1000000</f>
        <v/>
      </c>
      <c r="I1844" s="23">
        <f>$D$1834*I1828*I1839/1000000</f>
        <v/>
      </c>
      <c r="J1844" s="23">
        <f>$D$1834*J1828*J1839/1000000</f>
        <v/>
      </c>
      <c r="K1844" s="23">
        <f>$D$1834*K1828*K1839/1000000</f>
        <v/>
      </c>
      <c r="L1844" s="23">
        <f>$D$1834*L1828*L1839/1000000</f>
        <v/>
      </c>
      <c r="M1844" s="23">
        <f>$D$1834*M1828*M1839/1000000</f>
        <v/>
      </c>
      <c r="N1844" s="23">
        <f>$D$1834*N1828*N1839/1000000</f>
        <v/>
      </c>
      <c r="O1844" s="23">
        <f>$D$1834*O1828*O1839/1000000</f>
        <v/>
      </c>
      <c r="P1844" s="23">
        <f>$D$1834*P1828*P1839/1000000</f>
        <v/>
      </c>
      <c r="Q1844" s="23">
        <f>$D$1834*Q1828*Q1839/1000000</f>
        <v/>
      </c>
      <c r="R1844" s="23">
        <f>$D$1834*R1828*R1839/1000000</f>
        <v/>
      </c>
      <c r="S1844" s="23">
        <f>$D$1834*S1828*S1839/1000000</f>
        <v/>
      </c>
      <c r="T1844" s="23">
        <f>$D$1834*T1828*T1839/1000000</f>
        <v/>
      </c>
      <c r="U1844" s="23">
        <f>$D$1834*U1828*U1839/1000000</f>
        <v/>
      </c>
      <c r="V1844" s="23">
        <f>$D$1834*V1828*V1839/1000000</f>
        <v/>
      </c>
      <c r="W1844" s="23">
        <f>$D$1834*W1828*W1839/1000000</f>
        <v/>
      </c>
      <c r="X1844" s="23">
        <f>$D$1834*X1828*X1839/1000000</f>
        <v/>
      </c>
      <c r="Y1844" s="23">
        <f>$D$1834*Y1828*Y1839/1000000</f>
        <v/>
      </c>
      <c r="Z1844" s="23">
        <f>$D$1834*Z1828*Z1839/1000000</f>
        <v/>
      </c>
      <c r="AA1844" s="23">
        <f>$D$1834*AA1828*AA1839/1000000</f>
        <v/>
      </c>
      <c r="AB1844" s="23">
        <f>$D$1834*AB1828*AB1839/1000000</f>
        <v/>
      </c>
      <c r="AC1844" s="23">
        <f>$D$1834*AC1828*AC1839/1000000</f>
        <v/>
      </c>
      <c r="AD1844" s="23">
        <f>$D$1834*AD1828*AD1839/1000000</f>
        <v/>
      </c>
      <c r="AE1844" s="23">
        <f>$D$1834*AE1828*AE1839/1000000</f>
        <v/>
      </c>
      <c r="AF1844" s="23">
        <f>$D$1834*AF1828*AF1839/1000000</f>
        <v/>
      </c>
      <c r="AG1844" s="23">
        <f>$D$1834*AG1828*AG1839/1000000</f>
        <v/>
      </c>
      <c r="AH1844" s="23">
        <f>$D$1834*AH1828*AH1839/1000000</f>
        <v/>
      </c>
      <c r="AI1844" s="23">
        <f>$D$1834*AI1828*AI1839/1000000</f>
        <v/>
      </c>
      <c r="AJ1844" s="23">
        <f>$D$1834*AJ1828*AJ1839/1000000</f>
        <v/>
      </c>
    </row>
    <row r="1845">
      <c r="B1845" s="2" t="inlineStr">
        <is>
          <t>Energy charge (guaranteed kWh x power price)</t>
        </is>
      </c>
      <c r="C1845" s="5" t="inlineStr">
        <is>
          <t>$ million</t>
        </is>
      </c>
      <c r="D1845" s="23">
        <f>D1840*sb_sec*D1842/1000/1000000</f>
        <v/>
      </c>
      <c r="E1845" s="23">
        <f>E1840*sb_sec*E1842/1000/1000000</f>
        <v/>
      </c>
      <c r="F1845" s="23">
        <f>F1840*sb_sec*F1842/1000/1000000</f>
        <v/>
      </c>
      <c r="G1845" s="23">
        <f>G1840*sb_sec*G1842/1000/1000000</f>
        <v/>
      </c>
      <c r="H1845" s="23">
        <f>H1840*sb_sec*H1842/1000/1000000</f>
        <v/>
      </c>
      <c r="I1845" s="23">
        <f>I1840*sb_sec*I1842/1000/1000000</f>
        <v/>
      </c>
      <c r="J1845" s="23">
        <f>J1840*sb_sec*J1842/1000/1000000</f>
        <v/>
      </c>
      <c r="K1845" s="23">
        <f>K1840*sb_sec*K1842/1000/1000000</f>
        <v/>
      </c>
      <c r="L1845" s="23">
        <f>L1840*sb_sec*L1842/1000/1000000</f>
        <v/>
      </c>
      <c r="M1845" s="23">
        <f>M1840*sb_sec*M1842/1000/1000000</f>
        <v/>
      </c>
      <c r="N1845" s="23">
        <f>N1840*sb_sec*N1842/1000/1000000</f>
        <v/>
      </c>
      <c r="O1845" s="23">
        <f>O1840*sb_sec*O1842/1000/1000000</f>
        <v/>
      </c>
      <c r="P1845" s="23">
        <f>P1840*sb_sec*P1842/1000/1000000</f>
        <v/>
      </c>
      <c r="Q1845" s="23">
        <f>Q1840*sb_sec*Q1842/1000/1000000</f>
        <v/>
      </c>
      <c r="R1845" s="23">
        <f>R1840*sb_sec*R1842/1000/1000000</f>
        <v/>
      </c>
      <c r="S1845" s="23">
        <f>S1840*sb_sec*S1842/1000/1000000</f>
        <v/>
      </c>
      <c r="T1845" s="23">
        <f>T1840*sb_sec*T1842/1000/1000000</f>
        <v/>
      </c>
      <c r="U1845" s="23">
        <f>U1840*sb_sec*U1842/1000/1000000</f>
        <v/>
      </c>
      <c r="V1845" s="23">
        <f>V1840*sb_sec*V1842/1000/1000000</f>
        <v/>
      </c>
      <c r="W1845" s="23">
        <f>W1840*sb_sec*W1842/1000/1000000</f>
        <v/>
      </c>
      <c r="X1845" s="23">
        <f>X1840*sb_sec*X1842/1000/1000000</f>
        <v/>
      </c>
      <c r="Y1845" s="23">
        <f>Y1840*sb_sec*Y1842/1000/1000000</f>
        <v/>
      </c>
      <c r="Z1845" s="23">
        <f>Z1840*sb_sec*Z1842/1000/1000000</f>
        <v/>
      </c>
      <c r="AA1845" s="23">
        <f>AA1840*sb_sec*AA1842/1000/1000000</f>
        <v/>
      </c>
      <c r="AB1845" s="23">
        <f>AB1840*sb_sec*AB1842/1000/1000000</f>
        <v/>
      </c>
      <c r="AC1845" s="23">
        <f>AC1840*sb_sec*AC1842/1000/1000000</f>
        <v/>
      </c>
      <c r="AD1845" s="23">
        <f>AD1840*sb_sec*AD1842/1000/1000000</f>
        <v/>
      </c>
      <c r="AE1845" s="23">
        <f>AE1840*sb_sec*AE1842/1000/1000000</f>
        <v/>
      </c>
      <c r="AF1845" s="23">
        <f>AF1840*sb_sec*AF1842/1000/1000000</f>
        <v/>
      </c>
      <c r="AG1845" s="23">
        <f>AG1840*sb_sec*AG1842/1000/1000000</f>
        <v/>
      </c>
      <c r="AH1845" s="23">
        <f>AH1840*sb_sec*AH1842/1000/1000000</f>
        <v/>
      </c>
      <c r="AI1845" s="23">
        <f>AI1840*sb_sec*AI1842/1000/1000000</f>
        <v/>
      </c>
      <c r="AJ1845" s="23">
        <f>AJ1840*sb_sec*AJ1842/1000/1000000</f>
        <v/>
      </c>
    </row>
    <row r="1846">
      <c r="B1846" s="2" t="inlineStr">
        <is>
          <t>Chemicals charge (indexed)</t>
        </is>
      </c>
      <c r="C1846" s="5" t="inlineStr">
        <is>
          <t>$ million</t>
        </is>
      </c>
      <c r="D1846" s="23">
        <f>D1840*sb_chem*D1828/1000000</f>
        <v/>
      </c>
      <c r="E1846" s="23">
        <f>E1840*sb_chem*E1828/1000000</f>
        <v/>
      </c>
      <c r="F1846" s="23">
        <f>F1840*sb_chem*F1828/1000000</f>
        <v/>
      </c>
      <c r="G1846" s="23">
        <f>G1840*sb_chem*G1828/1000000</f>
        <v/>
      </c>
      <c r="H1846" s="23">
        <f>H1840*sb_chem*H1828/1000000</f>
        <v/>
      </c>
      <c r="I1846" s="23">
        <f>I1840*sb_chem*I1828/1000000</f>
        <v/>
      </c>
      <c r="J1846" s="23">
        <f>J1840*sb_chem*J1828/1000000</f>
        <v/>
      </c>
      <c r="K1846" s="23">
        <f>K1840*sb_chem*K1828/1000000</f>
        <v/>
      </c>
      <c r="L1846" s="23">
        <f>L1840*sb_chem*L1828/1000000</f>
        <v/>
      </c>
      <c r="M1846" s="23">
        <f>M1840*sb_chem*M1828/1000000</f>
        <v/>
      </c>
      <c r="N1846" s="23">
        <f>N1840*sb_chem*N1828/1000000</f>
        <v/>
      </c>
      <c r="O1846" s="23">
        <f>O1840*sb_chem*O1828/1000000</f>
        <v/>
      </c>
      <c r="P1846" s="23">
        <f>P1840*sb_chem*P1828/1000000</f>
        <v/>
      </c>
      <c r="Q1846" s="23">
        <f>Q1840*sb_chem*Q1828/1000000</f>
        <v/>
      </c>
      <c r="R1846" s="23">
        <f>R1840*sb_chem*R1828/1000000</f>
        <v/>
      </c>
      <c r="S1846" s="23">
        <f>S1840*sb_chem*S1828/1000000</f>
        <v/>
      </c>
      <c r="T1846" s="23">
        <f>T1840*sb_chem*T1828/1000000</f>
        <v/>
      </c>
      <c r="U1846" s="23">
        <f>U1840*sb_chem*U1828/1000000</f>
        <v/>
      </c>
      <c r="V1846" s="23">
        <f>V1840*sb_chem*V1828/1000000</f>
        <v/>
      </c>
      <c r="W1846" s="23">
        <f>W1840*sb_chem*W1828/1000000</f>
        <v/>
      </c>
      <c r="X1846" s="23">
        <f>X1840*sb_chem*X1828/1000000</f>
        <v/>
      </c>
      <c r="Y1846" s="23">
        <f>Y1840*sb_chem*Y1828/1000000</f>
        <v/>
      </c>
      <c r="Z1846" s="23">
        <f>Z1840*sb_chem*Z1828/1000000</f>
        <v/>
      </c>
      <c r="AA1846" s="23">
        <f>AA1840*sb_chem*AA1828/1000000</f>
        <v/>
      </c>
      <c r="AB1846" s="23">
        <f>AB1840*sb_chem*AB1828/1000000</f>
        <v/>
      </c>
      <c r="AC1846" s="23">
        <f>AC1840*sb_chem*AC1828/1000000</f>
        <v/>
      </c>
      <c r="AD1846" s="23">
        <f>AD1840*sb_chem*AD1828/1000000</f>
        <v/>
      </c>
      <c r="AE1846" s="23">
        <f>AE1840*sb_chem*AE1828/1000000</f>
        <v/>
      </c>
      <c r="AF1846" s="23">
        <f>AF1840*sb_chem*AF1828/1000000</f>
        <v/>
      </c>
      <c r="AG1846" s="23">
        <f>AG1840*sb_chem*AG1828/1000000</f>
        <v/>
      </c>
      <c r="AH1846" s="23">
        <f>AH1840*sb_chem*AH1828/1000000</f>
        <v/>
      </c>
      <c r="AI1846" s="23">
        <f>AI1840*sb_chem*AI1828/1000000</f>
        <v/>
      </c>
      <c r="AJ1846" s="23">
        <f>AJ1840*sb_chem*AJ1828/1000000</f>
        <v/>
      </c>
    </row>
    <row r="1847">
      <c r="B1847" s="2" t="inlineStr">
        <is>
          <t>Capacity payments lost to delay</t>
        </is>
      </c>
      <c r="C1847" s="5" t="inlineStr">
        <is>
          <t>$ million</t>
        </is>
      </c>
      <c r="D1847" s="23">
        <f>IF(D1825=sb_cod,D1843*sb_delay,0)</f>
        <v/>
      </c>
      <c r="E1847" s="23">
        <f>IF(E1825=sb_cod,E1843*sb_delay,0)</f>
        <v/>
      </c>
      <c r="F1847" s="23">
        <f>IF(F1825=sb_cod,F1843*sb_delay,0)</f>
        <v/>
      </c>
      <c r="G1847" s="23">
        <f>IF(G1825=sb_cod,G1843*sb_delay,0)</f>
        <v/>
      </c>
      <c r="H1847" s="23">
        <f>IF(H1825=sb_cod,H1843*sb_delay,0)</f>
        <v/>
      </c>
      <c r="I1847" s="23">
        <f>IF(I1825=sb_cod,I1843*sb_delay,0)</f>
        <v/>
      </c>
      <c r="J1847" s="23">
        <f>IF(J1825=sb_cod,J1843*sb_delay,0)</f>
        <v/>
      </c>
      <c r="K1847" s="23">
        <f>IF(K1825=sb_cod,K1843*sb_delay,0)</f>
        <v/>
      </c>
      <c r="L1847" s="23">
        <f>IF(L1825=sb_cod,L1843*sb_delay,0)</f>
        <v/>
      </c>
      <c r="M1847" s="23">
        <f>IF(M1825=sb_cod,M1843*sb_delay,0)</f>
        <v/>
      </c>
      <c r="N1847" s="23">
        <f>IF(N1825=sb_cod,N1843*sb_delay,0)</f>
        <v/>
      </c>
      <c r="O1847" s="23">
        <f>IF(O1825=sb_cod,O1843*sb_delay,0)</f>
        <v/>
      </c>
      <c r="P1847" s="23">
        <f>IF(P1825=sb_cod,P1843*sb_delay,0)</f>
        <v/>
      </c>
      <c r="Q1847" s="23">
        <f>IF(Q1825=sb_cod,Q1843*sb_delay,0)</f>
        <v/>
      </c>
      <c r="R1847" s="23">
        <f>IF(R1825=sb_cod,R1843*sb_delay,0)</f>
        <v/>
      </c>
      <c r="S1847" s="23">
        <f>IF(S1825=sb_cod,S1843*sb_delay,0)</f>
        <v/>
      </c>
      <c r="T1847" s="23">
        <f>IF(T1825=sb_cod,T1843*sb_delay,0)</f>
        <v/>
      </c>
      <c r="U1847" s="23">
        <f>IF(U1825=sb_cod,U1843*sb_delay,0)</f>
        <v/>
      </c>
      <c r="V1847" s="23">
        <f>IF(V1825=sb_cod,V1843*sb_delay,0)</f>
        <v/>
      </c>
      <c r="W1847" s="23">
        <f>IF(W1825=sb_cod,W1843*sb_delay,0)</f>
        <v/>
      </c>
      <c r="X1847" s="23">
        <f>IF(X1825=sb_cod,X1843*sb_delay,0)</f>
        <v/>
      </c>
      <c r="Y1847" s="23">
        <f>IF(Y1825=sb_cod,Y1843*sb_delay,0)</f>
        <v/>
      </c>
      <c r="Z1847" s="23">
        <f>IF(Z1825=sb_cod,Z1843*sb_delay,0)</f>
        <v/>
      </c>
      <c r="AA1847" s="23">
        <f>IF(AA1825=sb_cod,AA1843*sb_delay,0)</f>
        <v/>
      </c>
      <c r="AB1847" s="23">
        <f>IF(AB1825=sb_cod,AB1843*sb_delay,0)</f>
        <v/>
      </c>
      <c r="AC1847" s="23">
        <f>IF(AC1825=sb_cod,AC1843*sb_delay,0)</f>
        <v/>
      </c>
      <c r="AD1847" s="23">
        <f>IF(AD1825=sb_cod,AD1843*sb_delay,0)</f>
        <v/>
      </c>
      <c r="AE1847" s="23">
        <f>IF(AE1825=sb_cod,AE1843*sb_delay,0)</f>
        <v/>
      </c>
      <c r="AF1847" s="23">
        <f>IF(AF1825=sb_cod,AF1843*sb_delay,0)</f>
        <v/>
      </c>
      <c r="AG1847" s="23">
        <f>IF(AG1825=sb_cod,AG1843*sb_delay,0)</f>
        <v/>
      </c>
      <c r="AH1847" s="23">
        <f>IF(AH1825=sb_cod,AH1843*sb_delay,0)</f>
        <v/>
      </c>
      <c r="AI1847" s="23">
        <f>IF(AI1825=sb_cod,AI1843*sb_delay,0)</f>
        <v/>
      </c>
      <c r="AJ1847" s="23">
        <f>IF(AJ1825=sb_cod,AJ1843*sb_delay,0)</f>
        <v/>
      </c>
    </row>
    <row r="1848">
      <c r="B1848" s="2" t="inlineStr">
        <is>
          <t>Lost payments not covered by delay damages</t>
        </is>
      </c>
      <c r="C1848" s="5" t="inlineStr">
        <is>
          <t>$ million</t>
        </is>
      </c>
      <c r="D1848" s="23">
        <f>D1847*(1-sb_ld)</f>
        <v/>
      </c>
      <c r="E1848" s="23">
        <f>E1847*(1-sb_ld)</f>
        <v/>
      </c>
      <c r="F1848" s="23">
        <f>F1847*(1-sb_ld)</f>
        <v/>
      </c>
      <c r="G1848" s="23">
        <f>G1847*(1-sb_ld)</f>
        <v/>
      </c>
      <c r="H1848" s="23">
        <f>H1847*(1-sb_ld)</f>
        <v/>
      </c>
      <c r="I1848" s="23">
        <f>I1847*(1-sb_ld)</f>
        <v/>
      </c>
      <c r="J1848" s="23">
        <f>J1847*(1-sb_ld)</f>
        <v/>
      </c>
      <c r="K1848" s="23">
        <f>K1847*(1-sb_ld)</f>
        <v/>
      </c>
      <c r="L1848" s="23">
        <f>L1847*(1-sb_ld)</f>
        <v/>
      </c>
      <c r="M1848" s="23">
        <f>M1847*(1-sb_ld)</f>
        <v/>
      </c>
      <c r="N1848" s="23">
        <f>N1847*(1-sb_ld)</f>
        <v/>
      </c>
      <c r="O1848" s="23">
        <f>O1847*(1-sb_ld)</f>
        <v/>
      </c>
      <c r="P1848" s="23">
        <f>P1847*(1-sb_ld)</f>
        <v/>
      </c>
      <c r="Q1848" s="23">
        <f>Q1847*(1-sb_ld)</f>
        <v/>
      </c>
      <c r="R1848" s="23">
        <f>R1847*(1-sb_ld)</f>
        <v/>
      </c>
      <c r="S1848" s="23">
        <f>S1847*(1-sb_ld)</f>
        <v/>
      </c>
      <c r="T1848" s="23">
        <f>T1847*(1-sb_ld)</f>
        <v/>
      </c>
      <c r="U1848" s="23">
        <f>U1847*(1-sb_ld)</f>
        <v/>
      </c>
      <c r="V1848" s="23">
        <f>V1847*(1-sb_ld)</f>
        <v/>
      </c>
      <c r="W1848" s="23">
        <f>W1847*(1-sb_ld)</f>
        <v/>
      </c>
      <c r="X1848" s="23">
        <f>X1847*(1-sb_ld)</f>
        <v/>
      </c>
      <c r="Y1848" s="23">
        <f>Y1847*(1-sb_ld)</f>
        <v/>
      </c>
      <c r="Z1848" s="23">
        <f>Z1847*(1-sb_ld)</f>
        <v/>
      </c>
      <c r="AA1848" s="23">
        <f>AA1847*(1-sb_ld)</f>
        <v/>
      </c>
      <c r="AB1848" s="23">
        <f>AB1847*(1-sb_ld)</f>
        <v/>
      </c>
      <c r="AC1848" s="23">
        <f>AC1847*(1-sb_ld)</f>
        <v/>
      </c>
      <c r="AD1848" s="23">
        <f>AD1847*(1-sb_ld)</f>
        <v/>
      </c>
      <c r="AE1848" s="23">
        <f>AE1847*(1-sb_ld)</f>
        <v/>
      </c>
      <c r="AF1848" s="23">
        <f>AF1847*(1-sb_ld)</f>
        <v/>
      </c>
      <c r="AG1848" s="23">
        <f>AG1847*(1-sb_ld)</f>
        <v/>
      </c>
      <c r="AH1848" s="23">
        <f>AH1847*(1-sb_ld)</f>
        <v/>
      </c>
      <c r="AI1848" s="23">
        <f>AI1847*(1-sb_ld)</f>
        <v/>
      </c>
      <c r="AJ1848" s="23">
        <f>AJ1847*(1-sb_ld)</f>
        <v/>
      </c>
    </row>
    <row r="1849">
      <c r="B1849" s="3" t="inlineStr">
        <is>
          <t>Revenue</t>
        </is>
      </c>
      <c r="C1849" s="5" t="inlineStr">
        <is>
          <t>$ million</t>
        </is>
      </c>
      <c r="D1849" s="23">
        <f>D1843+D1844+D1845+D1846-D1848</f>
        <v/>
      </c>
      <c r="E1849" s="23">
        <f>E1843+E1844+E1845+E1846-E1848</f>
        <v/>
      </c>
      <c r="F1849" s="23">
        <f>F1843+F1844+F1845+F1846-F1848</f>
        <v/>
      </c>
      <c r="G1849" s="23">
        <f>G1843+G1844+G1845+G1846-G1848</f>
        <v/>
      </c>
      <c r="H1849" s="23">
        <f>H1843+H1844+H1845+H1846-H1848</f>
        <v/>
      </c>
      <c r="I1849" s="23">
        <f>I1843+I1844+I1845+I1846-I1848</f>
        <v/>
      </c>
      <c r="J1849" s="23">
        <f>J1843+J1844+J1845+J1846-J1848</f>
        <v/>
      </c>
      <c r="K1849" s="23">
        <f>K1843+K1844+K1845+K1846-K1848</f>
        <v/>
      </c>
      <c r="L1849" s="23">
        <f>L1843+L1844+L1845+L1846-L1848</f>
        <v/>
      </c>
      <c r="M1849" s="23">
        <f>M1843+M1844+M1845+M1846-M1848</f>
        <v/>
      </c>
      <c r="N1849" s="23">
        <f>N1843+N1844+N1845+N1846-N1848</f>
        <v/>
      </c>
      <c r="O1849" s="23">
        <f>O1843+O1844+O1845+O1846-O1848</f>
        <v/>
      </c>
      <c r="P1849" s="23">
        <f>P1843+P1844+P1845+P1846-P1848</f>
        <v/>
      </c>
      <c r="Q1849" s="23">
        <f>Q1843+Q1844+Q1845+Q1846-Q1848</f>
        <v/>
      </c>
      <c r="R1849" s="23">
        <f>R1843+R1844+R1845+R1846-R1848</f>
        <v/>
      </c>
      <c r="S1849" s="23">
        <f>S1843+S1844+S1845+S1846-S1848</f>
        <v/>
      </c>
      <c r="T1849" s="23">
        <f>T1843+T1844+T1845+T1846-T1848</f>
        <v/>
      </c>
      <c r="U1849" s="23">
        <f>U1843+U1844+U1845+U1846-U1848</f>
        <v/>
      </c>
      <c r="V1849" s="23">
        <f>V1843+V1844+V1845+V1846-V1848</f>
        <v/>
      </c>
      <c r="W1849" s="23">
        <f>W1843+W1844+W1845+W1846-W1848</f>
        <v/>
      </c>
      <c r="X1849" s="23">
        <f>X1843+X1844+X1845+X1846-X1848</f>
        <v/>
      </c>
      <c r="Y1849" s="23">
        <f>Y1843+Y1844+Y1845+Y1846-Y1848</f>
        <v/>
      </c>
      <c r="Z1849" s="23">
        <f>Z1843+Z1844+Z1845+Z1846-Z1848</f>
        <v/>
      </c>
      <c r="AA1849" s="23">
        <f>AA1843+AA1844+AA1845+AA1846-AA1848</f>
        <v/>
      </c>
      <c r="AB1849" s="23">
        <f>AB1843+AB1844+AB1845+AB1846-AB1848</f>
        <v/>
      </c>
      <c r="AC1849" s="23">
        <f>AC1843+AC1844+AC1845+AC1846-AC1848</f>
        <v/>
      </c>
      <c r="AD1849" s="23">
        <f>AD1843+AD1844+AD1845+AD1846-AD1848</f>
        <v/>
      </c>
      <c r="AE1849" s="23">
        <f>AE1843+AE1844+AE1845+AE1846-AE1848</f>
        <v/>
      </c>
      <c r="AF1849" s="23">
        <f>AF1843+AF1844+AF1845+AF1846-AF1848</f>
        <v/>
      </c>
      <c r="AG1849" s="23">
        <f>AG1843+AG1844+AG1845+AG1846-AG1848</f>
        <v/>
      </c>
      <c r="AH1849" s="23">
        <f>AH1843+AH1844+AH1845+AH1846-AH1848</f>
        <v/>
      </c>
      <c r="AI1849" s="23">
        <f>AI1843+AI1844+AI1845+AI1846-AI1848</f>
        <v/>
      </c>
      <c r="AJ1849" s="23">
        <f>AJ1843+AJ1844+AJ1845+AJ1846-AJ1848</f>
        <v/>
      </c>
    </row>
    <row r="1850">
      <c r="B1850" s="2" t="inlineStr">
        <is>
          <t>Fixed O&amp;M</t>
        </is>
      </c>
      <c r="C1850" s="5" t="inlineStr">
        <is>
          <t>$ million</t>
        </is>
      </c>
      <c r="D1850" s="23">
        <f>D1826*sb_fom*D1828</f>
        <v/>
      </c>
      <c r="E1850" s="23">
        <f>E1826*sb_fom*E1828</f>
        <v/>
      </c>
      <c r="F1850" s="23">
        <f>F1826*sb_fom*F1828</f>
        <v/>
      </c>
      <c r="G1850" s="23">
        <f>G1826*sb_fom*G1828</f>
        <v/>
      </c>
      <c r="H1850" s="23">
        <f>H1826*sb_fom*H1828</f>
        <v/>
      </c>
      <c r="I1850" s="23">
        <f>I1826*sb_fom*I1828</f>
        <v/>
      </c>
      <c r="J1850" s="23">
        <f>J1826*sb_fom*J1828</f>
        <v/>
      </c>
      <c r="K1850" s="23">
        <f>K1826*sb_fom*K1828</f>
        <v/>
      </c>
      <c r="L1850" s="23">
        <f>L1826*sb_fom*L1828</f>
        <v/>
      </c>
      <c r="M1850" s="23">
        <f>M1826*sb_fom*M1828</f>
        <v/>
      </c>
      <c r="N1850" s="23">
        <f>N1826*sb_fom*N1828</f>
        <v/>
      </c>
      <c r="O1850" s="23">
        <f>O1826*sb_fom*O1828</f>
        <v/>
      </c>
      <c r="P1850" s="23">
        <f>P1826*sb_fom*P1828</f>
        <v/>
      </c>
      <c r="Q1850" s="23">
        <f>Q1826*sb_fom*Q1828</f>
        <v/>
      </c>
      <c r="R1850" s="23">
        <f>R1826*sb_fom*R1828</f>
        <v/>
      </c>
      <c r="S1850" s="23">
        <f>S1826*sb_fom*S1828</f>
        <v/>
      </c>
      <c r="T1850" s="23">
        <f>T1826*sb_fom*T1828</f>
        <v/>
      </c>
      <c r="U1850" s="23">
        <f>U1826*sb_fom*U1828</f>
        <v/>
      </c>
      <c r="V1850" s="23">
        <f>V1826*sb_fom*V1828</f>
        <v/>
      </c>
      <c r="W1850" s="23">
        <f>W1826*sb_fom*W1828</f>
        <v/>
      </c>
      <c r="X1850" s="23">
        <f>X1826*sb_fom*X1828</f>
        <v/>
      </c>
      <c r="Y1850" s="23">
        <f>Y1826*sb_fom*Y1828</f>
        <v/>
      </c>
      <c r="Z1850" s="23">
        <f>Z1826*sb_fom*Z1828</f>
        <v/>
      </c>
      <c r="AA1850" s="23">
        <f>AA1826*sb_fom*AA1828</f>
        <v/>
      </c>
      <c r="AB1850" s="23">
        <f>AB1826*sb_fom*AB1828</f>
        <v/>
      </c>
      <c r="AC1850" s="23">
        <f>AC1826*sb_fom*AC1828</f>
        <v/>
      </c>
      <c r="AD1850" s="23">
        <f>AD1826*sb_fom*AD1828</f>
        <v/>
      </c>
      <c r="AE1850" s="23">
        <f>AE1826*sb_fom*AE1828</f>
        <v/>
      </c>
      <c r="AF1850" s="23">
        <f>AF1826*sb_fom*AF1828</f>
        <v/>
      </c>
      <c r="AG1850" s="23">
        <f>AG1826*sb_fom*AG1828</f>
        <v/>
      </c>
      <c r="AH1850" s="23">
        <f>AH1826*sb_fom*AH1828</f>
        <v/>
      </c>
      <c r="AI1850" s="23">
        <f>AI1826*sb_fom*AI1828</f>
        <v/>
      </c>
      <c r="AJ1850" s="23">
        <f>AJ1826*sb_fom*AJ1828</f>
        <v/>
      </c>
    </row>
    <row r="1851">
      <c r="B1851" s="2" t="inlineStr">
        <is>
          <t>Energy cost (actual kWh x power price)</t>
        </is>
      </c>
      <c r="C1851" s="5" t="inlineStr">
        <is>
          <t>$ million</t>
        </is>
      </c>
      <c r="D1851" s="23">
        <f>D1840*sb_sec_act*D1841/1000/1000000</f>
        <v/>
      </c>
      <c r="E1851" s="23">
        <f>E1840*sb_sec_act*E1841/1000/1000000</f>
        <v/>
      </c>
      <c r="F1851" s="23">
        <f>F1840*sb_sec_act*F1841/1000/1000000</f>
        <v/>
      </c>
      <c r="G1851" s="23">
        <f>G1840*sb_sec_act*G1841/1000/1000000</f>
        <v/>
      </c>
      <c r="H1851" s="23">
        <f>H1840*sb_sec_act*H1841/1000/1000000</f>
        <v/>
      </c>
      <c r="I1851" s="23">
        <f>I1840*sb_sec_act*I1841/1000/1000000</f>
        <v/>
      </c>
      <c r="J1851" s="23">
        <f>J1840*sb_sec_act*J1841/1000/1000000</f>
        <v/>
      </c>
      <c r="K1851" s="23">
        <f>K1840*sb_sec_act*K1841/1000/1000000</f>
        <v/>
      </c>
      <c r="L1851" s="23">
        <f>L1840*sb_sec_act*L1841/1000/1000000</f>
        <v/>
      </c>
      <c r="M1851" s="23">
        <f>M1840*sb_sec_act*M1841/1000/1000000</f>
        <v/>
      </c>
      <c r="N1851" s="23">
        <f>N1840*sb_sec_act*N1841/1000/1000000</f>
        <v/>
      </c>
      <c r="O1851" s="23">
        <f>O1840*sb_sec_act*O1841/1000/1000000</f>
        <v/>
      </c>
      <c r="P1851" s="23">
        <f>P1840*sb_sec_act*P1841/1000/1000000</f>
        <v/>
      </c>
      <c r="Q1851" s="23">
        <f>Q1840*sb_sec_act*Q1841/1000/1000000</f>
        <v/>
      </c>
      <c r="R1851" s="23">
        <f>R1840*sb_sec_act*R1841/1000/1000000</f>
        <v/>
      </c>
      <c r="S1851" s="23">
        <f>S1840*sb_sec_act*S1841/1000/1000000</f>
        <v/>
      </c>
      <c r="T1851" s="23">
        <f>T1840*sb_sec_act*T1841/1000/1000000</f>
        <v/>
      </c>
      <c r="U1851" s="23">
        <f>U1840*sb_sec_act*U1841/1000/1000000</f>
        <v/>
      </c>
      <c r="V1851" s="23">
        <f>V1840*sb_sec_act*V1841/1000/1000000</f>
        <v/>
      </c>
      <c r="W1851" s="23">
        <f>W1840*sb_sec_act*W1841/1000/1000000</f>
        <v/>
      </c>
      <c r="X1851" s="23">
        <f>X1840*sb_sec_act*X1841/1000/1000000</f>
        <v/>
      </c>
      <c r="Y1851" s="23">
        <f>Y1840*sb_sec_act*Y1841/1000/1000000</f>
        <v/>
      </c>
      <c r="Z1851" s="23">
        <f>Z1840*sb_sec_act*Z1841/1000/1000000</f>
        <v/>
      </c>
      <c r="AA1851" s="23">
        <f>AA1840*sb_sec_act*AA1841/1000/1000000</f>
        <v/>
      </c>
      <c r="AB1851" s="23">
        <f>AB1840*sb_sec_act*AB1841/1000/1000000</f>
        <v/>
      </c>
      <c r="AC1851" s="23">
        <f>AC1840*sb_sec_act*AC1841/1000/1000000</f>
        <v/>
      </c>
      <c r="AD1851" s="23">
        <f>AD1840*sb_sec_act*AD1841/1000/1000000</f>
        <v/>
      </c>
      <c r="AE1851" s="23">
        <f>AE1840*sb_sec_act*AE1841/1000/1000000</f>
        <v/>
      </c>
      <c r="AF1851" s="23">
        <f>AF1840*sb_sec_act*AF1841/1000/1000000</f>
        <v/>
      </c>
      <c r="AG1851" s="23">
        <f>AG1840*sb_sec_act*AG1841/1000/1000000</f>
        <v/>
      </c>
      <c r="AH1851" s="23">
        <f>AH1840*sb_sec_act*AH1841/1000/1000000</f>
        <v/>
      </c>
      <c r="AI1851" s="23">
        <f>AI1840*sb_sec_act*AI1841/1000/1000000</f>
        <v/>
      </c>
      <c r="AJ1851" s="23">
        <f>AJ1840*sb_sec_act*AJ1841/1000/1000000</f>
        <v/>
      </c>
    </row>
    <row r="1852">
      <c r="B1852" s="2" t="inlineStr">
        <is>
          <t>Chemicals</t>
        </is>
      </c>
      <c r="C1852" s="5" t="inlineStr">
        <is>
          <t>$ million</t>
        </is>
      </c>
      <c r="D1852" s="23">
        <f>D1846</f>
        <v/>
      </c>
      <c r="E1852" s="23">
        <f>E1846</f>
        <v/>
      </c>
      <c r="F1852" s="23">
        <f>F1846</f>
        <v/>
      </c>
      <c r="G1852" s="23">
        <f>G1846</f>
        <v/>
      </c>
      <c r="H1852" s="23">
        <f>H1846</f>
        <v/>
      </c>
      <c r="I1852" s="23">
        <f>I1846</f>
        <v/>
      </c>
      <c r="J1852" s="23">
        <f>J1846</f>
        <v/>
      </c>
      <c r="K1852" s="23">
        <f>K1846</f>
        <v/>
      </c>
      <c r="L1852" s="23">
        <f>L1846</f>
        <v/>
      </c>
      <c r="M1852" s="23">
        <f>M1846</f>
        <v/>
      </c>
      <c r="N1852" s="23">
        <f>N1846</f>
        <v/>
      </c>
      <c r="O1852" s="23">
        <f>O1846</f>
        <v/>
      </c>
      <c r="P1852" s="23">
        <f>P1846</f>
        <v/>
      </c>
      <c r="Q1852" s="23">
        <f>Q1846</f>
        <v/>
      </c>
      <c r="R1852" s="23">
        <f>R1846</f>
        <v/>
      </c>
      <c r="S1852" s="23">
        <f>S1846</f>
        <v/>
      </c>
      <c r="T1852" s="23">
        <f>T1846</f>
        <v/>
      </c>
      <c r="U1852" s="23">
        <f>U1846</f>
        <v/>
      </c>
      <c r="V1852" s="23">
        <f>V1846</f>
        <v/>
      </c>
      <c r="W1852" s="23">
        <f>W1846</f>
        <v/>
      </c>
      <c r="X1852" s="23">
        <f>X1846</f>
        <v/>
      </c>
      <c r="Y1852" s="23">
        <f>Y1846</f>
        <v/>
      </c>
      <c r="Z1852" s="23">
        <f>Z1846</f>
        <v/>
      </c>
      <c r="AA1852" s="23">
        <f>AA1846</f>
        <v/>
      </c>
      <c r="AB1852" s="23">
        <f>AB1846</f>
        <v/>
      </c>
      <c r="AC1852" s="23">
        <f>AC1846</f>
        <v/>
      </c>
      <c r="AD1852" s="23">
        <f>AD1846</f>
        <v/>
      </c>
      <c r="AE1852" s="23">
        <f>AE1846</f>
        <v/>
      </c>
      <c r="AF1852" s="23">
        <f>AF1846</f>
        <v/>
      </c>
      <c r="AG1852" s="23">
        <f>AG1846</f>
        <v/>
      </c>
      <c r="AH1852" s="23">
        <f>AH1846</f>
        <v/>
      </c>
      <c r="AI1852" s="23">
        <f>AI1846</f>
        <v/>
      </c>
      <c r="AJ1852" s="23">
        <f>AJ1846</f>
        <v/>
      </c>
    </row>
    <row r="1853">
      <c r="B1853" s="2" t="inlineStr">
        <is>
          <t>Major overhauls</t>
        </is>
      </c>
      <c r="C1853" s="5" t="inlineStr">
        <is>
          <t>$ million</t>
        </is>
      </c>
      <c r="D1853" s="23">
        <f>D1826*IF(OR(D1825=sb_major_y1,D1825=sb_major_y2),sb_major*D1828,0)</f>
        <v/>
      </c>
      <c r="E1853" s="23">
        <f>E1826*IF(OR(E1825=sb_major_y1,E1825=sb_major_y2),sb_major*E1828,0)</f>
        <v/>
      </c>
      <c r="F1853" s="23">
        <f>F1826*IF(OR(F1825=sb_major_y1,F1825=sb_major_y2),sb_major*F1828,0)</f>
        <v/>
      </c>
      <c r="G1853" s="23">
        <f>G1826*IF(OR(G1825=sb_major_y1,G1825=sb_major_y2),sb_major*G1828,0)</f>
        <v/>
      </c>
      <c r="H1853" s="23">
        <f>H1826*IF(OR(H1825=sb_major_y1,H1825=sb_major_y2),sb_major*H1828,0)</f>
        <v/>
      </c>
      <c r="I1853" s="23">
        <f>I1826*IF(OR(I1825=sb_major_y1,I1825=sb_major_y2),sb_major*I1828,0)</f>
        <v/>
      </c>
      <c r="J1853" s="23">
        <f>J1826*IF(OR(J1825=sb_major_y1,J1825=sb_major_y2),sb_major*J1828,0)</f>
        <v/>
      </c>
      <c r="K1853" s="23">
        <f>K1826*IF(OR(K1825=sb_major_y1,K1825=sb_major_y2),sb_major*K1828,0)</f>
        <v/>
      </c>
      <c r="L1853" s="23">
        <f>L1826*IF(OR(L1825=sb_major_y1,L1825=sb_major_y2),sb_major*L1828,0)</f>
        <v/>
      </c>
      <c r="M1853" s="23">
        <f>M1826*IF(OR(M1825=sb_major_y1,M1825=sb_major_y2),sb_major*M1828,0)</f>
        <v/>
      </c>
      <c r="N1853" s="23">
        <f>N1826*IF(OR(N1825=sb_major_y1,N1825=sb_major_y2),sb_major*N1828,0)</f>
        <v/>
      </c>
      <c r="O1853" s="23">
        <f>O1826*IF(OR(O1825=sb_major_y1,O1825=sb_major_y2),sb_major*O1828,0)</f>
        <v/>
      </c>
      <c r="P1853" s="23">
        <f>P1826*IF(OR(P1825=sb_major_y1,P1825=sb_major_y2),sb_major*P1828,0)</f>
        <v/>
      </c>
      <c r="Q1853" s="23">
        <f>Q1826*IF(OR(Q1825=sb_major_y1,Q1825=sb_major_y2),sb_major*Q1828,0)</f>
        <v/>
      </c>
      <c r="R1853" s="23">
        <f>R1826*IF(OR(R1825=sb_major_y1,R1825=sb_major_y2),sb_major*R1828,0)</f>
        <v/>
      </c>
      <c r="S1853" s="23">
        <f>S1826*IF(OR(S1825=sb_major_y1,S1825=sb_major_y2),sb_major*S1828,0)</f>
        <v/>
      </c>
      <c r="T1853" s="23">
        <f>T1826*IF(OR(T1825=sb_major_y1,T1825=sb_major_y2),sb_major*T1828,0)</f>
        <v/>
      </c>
      <c r="U1853" s="23">
        <f>U1826*IF(OR(U1825=sb_major_y1,U1825=sb_major_y2),sb_major*U1828,0)</f>
        <v/>
      </c>
      <c r="V1853" s="23">
        <f>V1826*IF(OR(V1825=sb_major_y1,V1825=sb_major_y2),sb_major*V1828,0)</f>
        <v/>
      </c>
      <c r="W1853" s="23">
        <f>W1826*IF(OR(W1825=sb_major_y1,W1825=sb_major_y2),sb_major*W1828,0)</f>
        <v/>
      </c>
      <c r="X1853" s="23">
        <f>X1826*IF(OR(X1825=sb_major_y1,X1825=sb_major_y2),sb_major*X1828,0)</f>
        <v/>
      </c>
      <c r="Y1853" s="23">
        <f>Y1826*IF(OR(Y1825=sb_major_y1,Y1825=sb_major_y2),sb_major*Y1828,0)</f>
        <v/>
      </c>
      <c r="Z1853" s="23">
        <f>Z1826*IF(OR(Z1825=sb_major_y1,Z1825=sb_major_y2),sb_major*Z1828,0)</f>
        <v/>
      </c>
      <c r="AA1853" s="23">
        <f>AA1826*IF(OR(AA1825=sb_major_y1,AA1825=sb_major_y2),sb_major*AA1828,0)</f>
        <v/>
      </c>
      <c r="AB1853" s="23">
        <f>AB1826*IF(OR(AB1825=sb_major_y1,AB1825=sb_major_y2),sb_major*AB1828,0)</f>
        <v/>
      </c>
      <c r="AC1853" s="23">
        <f>AC1826*IF(OR(AC1825=sb_major_y1,AC1825=sb_major_y2),sb_major*AC1828,0)</f>
        <v/>
      </c>
      <c r="AD1853" s="23">
        <f>AD1826*IF(OR(AD1825=sb_major_y1,AD1825=sb_major_y2),sb_major*AD1828,0)</f>
        <v/>
      </c>
      <c r="AE1853" s="23">
        <f>AE1826*IF(OR(AE1825=sb_major_y1,AE1825=sb_major_y2),sb_major*AE1828,0)</f>
        <v/>
      </c>
      <c r="AF1853" s="23">
        <f>AF1826*IF(OR(AF1825=sb_major_y1,AF1825=sb_major_y2),sb_major*AF1828,0)</f>
        <v/>
      </c>
      <c r="AG1853" s="23">
        <f>AG1826*IF(OR(AG1825=sb_major_y1,AG1825=sb_major_y2),sb_major*AG1828,0)</f>
        <v/>
      </c>
      <c r="AH1853" s="23">
        <f>AH1826*IF(OR(AH1825=sb_major_y1,AH1825=sb_major_y2),sb_major*AH1828,0)</f>
        <v/>
      </c>
      <c r="AI1853" s="23">
        <f>AI1826*IF(OR(AI1825=sb_major_y1,AI1825=sb_major_y2),sb_major*AI1828,0)</f>
        <v/>
      </c>
      <c r="AJ1853" s="23">
        <f>AJ1826*IF(OR(AJ1825=sb_major_y1,AJ1825=sb_major_y2),sb_major*AJ1828,0)</f>
        <v/>
      </c>
    </row>
    <row r="1854">
      <c r="B1854" s="2" t="inlineStr">
        <is>
          <t>Operating cost</t>
        </is>
      </c>
      <c r="C1854" s="5" t="inlineStr">
        <is>
          <t>$ million</t>
        </is>
      </c>
      <c r="D1854" s="23">
        <f>SUM(D1850:D1853)</f>
        <v/>
      </c>
      <c r="E1854" s="23">
        <f>SUM(E1850:E1853)</f>
        <v/>
      </c>
      <c r="F1854" s="23">
        <f>SUM(F1850:F1853)</f>
        <v/>
      </c>
      <c r="G1854" s="23">
        <f>SUM(G1850:G1853)</f>
        <v/>
      </c>
      <c r="H1854" s="23">
        <f>SUM(H1850:H1853)</f>
        <v/>
      </c>
      <c r="I1854" s="23">
        <f>SUM(I1850:I1853)</f>
        <v/>
      </c>
      <c r="J1854" s="23">
        <f>SUM(J1850:J1853)</f>
        <v/>
      </c>
      <c r="K1854" s="23">
        <f>SUM(K1850:K1853)</f>
        <v/>
      </c>
      <c r="L1854" s="23">
        <f>SUM(L1850:L1853)</f>
        <v/>
      </c>
      <c r="M1854" s="23">
        <f>SUM(M1850:M1853)</f>
        <v/>
      </c>
      <c r="N1854" s="23">
        <f>SUM(N1850:N1853)</f>
        <v/>
      </c>
      <c r="O1854" s="23">
        <f>SUM(O1850:O1853)</f>
        <v/>
      </c>
      <c r="P1854" s="23">
        <f>SUM(P1850:P1853)</f>
        <v/>
      </c>
      <c r="Q1854" s="23">
        <f>SUM(Q1850:Q1853)</f>
        <v/>
      </c>
      <c r="R1854" s="23">
        <f>SUM(R1850:R1853)</f>
        <v/>
      </c>
      <c r="S1854" s="23">
        <f>SUM(S1850:S1853)</f>
        <v/>
      </c>
      <c r="T1854" s="23">
        <f>SUM(T1850:T1853)</f>
        <v/>
      </c>
      <c r="U1854" s="23">
        <f>SUM(U1850:U1853)</f>
        <v/>
      </c>
      <c r="V1854" s="23">
        <f>SUM(V1850:V1853)</f>
        <v/>
      </c>
      <c r="W1854" s="23">
        <f>SUM(W1850:W1853)</f>
        <v/>
      </c>
      <c r="X1854" s="23">
        <f>SUM(X1850:X1853)</f>
        <v/>
      </c>
      <c r="Y1854" s="23">
        <f>SUM(Y1850:Y1853)</f>
        <v/>
      </c>
      <c r="Z1854" s="23">
        <f>SUM(Z1850:Z1853)</f>
        <v/>
      </c>
      <c r="AA1854" s="23">
        <f>SUM(AA1850:AA1853)</f>
        <v/>
      </c>
      <c r="AB1854" s="23">
        <f>SUM(AB1850:AB1853)</f>
        <v/>
      </c>
      <c r="AC1854" s="23">
        <f>SUM(AC1850:AC1853)</f>
        <v/>
      </c>
      <c r="AD1854" s="23">
        <f>SUM(AD1850:AD1853)</f>
        <v/>
      </c>
      <c r="AE1854" s="23">
        <f>SUM(AE1850:AE1853)</f>
        <v/>
      </c>
      <c r="AF1854" s="23">
        <f>SUM(AF1850:AF1853)</f>
        <v/>
      </c>
      <c r="AG1854" s="23">
        <f>SUM(AG1850:AG1853)</f>
        <v/>
      </c>
      <c r="AH1854" s="23">
        <f>SUM(AH1850:AH1853)</f>
        <v/>
      </c>
      <c r="AI1854" s="23">
        <f>SUM(AI1850:AI1853)</f>
        <v/>
      </c>
      <c r="AJ1854" s="23">
        <f>SUM(AJ1850:AJ1853)</f>
        <v/>
      </c>
    </row>
    <row r="1855">
      <c r="B1855" s="3" t="inlineStr">
        <is>
          <t>Cash flow available for debt service (CFADS)</t>
        </is>
      </c>
      <c r="C1855" s="5" t="inlineStr">
        <is>
          <t>$ million</t>
        </is>
      </c>
      <c r="D1855" s="23">
        <f>D1849-D1854</f>
        <v/>
      </c>
      <c r="E1855" s="23">
        <f>E1849-E1854</f>
        <v/>
      </c>
      <c r="F1855" s="23">
        <f>F1849-F1854</f>
        <v/>
      </c>
      <c r="G1855" s="23">
        <f>G1849-G1854</f>
        <v/>
      </c>
      <c r="H1855" s="23">
        <f>H1849-H1854</f>
        <v/>
      </c>
      <c r="I1855" s="23">
        <f>I1849-I1854</f>
        <v/>
      </c>
      <c r="J1855" s="23">
        <f>J1849-J1854</f>
        <v/>
      </c>
      <c r="K1855" s="23">
        <f>K1849-K1854</f>
        <v/>
      </c>
      <c r="L1855" s="23">
        <f>L1849-L1854</f>
        <v/>
      </c>
      <c r="M1855" s="23">
        <f>M1849-M1854</f>
        <v/>
      </c>
      <c r="N1855" s="23">
        <f>N1849-N1854</f>
        <v/>
      </c>
      <c r="O1855" s="23">
        <f>O1849-O1854</f>
        <v/>
      </c>
      <c r="P1855" s="23">
        <f>P1849-P1854</f>
        <v/>
      </c>
      <c r="Q1855" s="23">
        <f>Q1849-Q1854</f>
        <v/>
      </c>
      <c r="R1855" s="23">
        <f>R1849-R1854</f>
        <v/>
      </c>
      <c r="S1855" s="23">
        <f>S1849-S1854</f>
        <v/>
      </c>
      <c r="T1855" s="23">
        <f>T1849-T1854</f>
        <v/>
      </c>
      <c r="U1855" s="23">
        <f>U1849-U1854</f>
        <v/>
      </c>
      <c r="V1855" s="23">
        <f>V1849-V1854</f>
        <v/>
      </c>
      <c r="W1855" s="23">
        <f>W1849-W1854</f>
        <v/>
      </c>
      <c r="X1855" s="23">
        <f>X1849-X1854</f>
        <v/>
      </c>
      <c r="Y1855" s="23">
        <f>Y1849-Y1854</f>
        <v/>
      </c>
      <c r="Z1855" s="23">
        <f>Z1849-Z1854</f>
        <v/>
      </c>
      <c r="AA1855" s="23">
        <f>AA1849-AA1854</f>
        <v/>
      </c>
      <c r="AB1855" s="23">
        <f>AB1849-AB1854</f>
        <v/>
      </c>
      <c r="AC1855" s="23">
        <f>AC1849-AC1854</f>
        <v/>
      </c>
      <c r="AD1855" s="23">
        <f>AD1849-AD1854</f>
        <v/>
      </c>
      <c r="AE1855" s="23">
        <f>AE1849-AE1854</f>
        <v/>
      </c>
      <c r="AF1855" s="23">
        <f>AF1849-AF1854</f>
        <v/>
      </c>
      <c r="AG1855" s="23">
        <f>AG1849-AG1854</f>
        <v/>
      </c>
      <c r="AH1855" s="23">
        <f>AH1849-AH1854</f>
        <v/>
      </c>
      <c r="AI1855" s="23">
        <f>AI1849-AI1854</f>
        <v/>
      </c>
      <c r="AJ1855" s="23">
        <f>AJ1849-AJ1854</f>
        <v/>
      </c>
    </row>
    <row r="1857">
      <c r="B1857" s="6" t="inlineStr">
        <is>
          <t>Debt and flows</t>
        </is>
      </c>
      <c r="C1857" s="7" t="n"/>
      <c r="D1857" s="7" t="n"/>
      <c r="E1857" s="7" t="n"/>
      <c r="F1857" s="7" t="n"/>
      <c r="G1857" s="7" t="n"/>
      <c r="H1857" s="7" t="n"/>
      <c r="I1857" s="7" t="n"/>
      <c r="J1857" s="7" t="n"/>
      <c r="K1857" s="7" t="n"/>
      <c r="L1857" s="7" t="n"/>
      <c r="M1857" s="7" t="n"/>
      <c r="N1857" s="7" t="n"/>
      <c r="O1857" s="7" t="n"/>
      <c r="P1857" s="7" t="n"/>
      <c r="Q1857" s="7" t="n"/>
      <c r="R1857" s="7" t="n"/>
      <c r="S1857" s="7" t="n"/>
      <c r="T1857" s="7" t="n"/>
      <c r="U1857" s="7" t="n"/>
      <c r="V1857" s="7" t="n"/>
      <c r="W1857" s="7" t="n"/>
      <c r="X1857" s="7" t="n"/>
      <c r="Y1857" s="7" t="n"/>
      <c r="Z1857" s="7" t="n"/>
      <c r="AA1857" s="7" t="n"/>
      <c r="AB1857" s="7" t="n"/>
      <c r="AC1857" s="7" t="n"/>
      <c r="AD1857" s="7" t="n"/>
      <c r="AE1857" s="7" t="n"/>
      <c r="AF1857" s="7" t="n"/>
      <c r="AG1857" s="7" t="n"/>
      <c r="AH1857" s="7" t="n"/>
      <c r="AI1857" s="7" t="n"/>
      <c r="AJ1857" s="7" t="n"/>
    </row>
    <row r="1858">
      <c r="B1858" s="2" t="inlineStr">
        <is>
          <t>Capital cost paid</t>
        </is>
      </c>
      <c r="C1858" s="5" t="inlineStr">
        <is>
          <t>$ million</t>
        </is>
      </c>
      <c r="D1858" s="23">
        <f>-IF(D1825=sb_start+1,sb_phase1,IF(D1825=sb_start+2,1-sb_phase1,0))*$D$1835</f>
        <v/>
      </c>
      <c r="E1858" s="23">
        <f>-IF(E1825=sb_start+1,sb_phase1,IF(E1825=sb_start+2,1-sb_phase1,0))*$D$1835</f>
        <v/>
      </c>
      <c r="F1858" s="23">
        <f>-IF(F1825=sb_start+1,sb_phase1,IF(F1825=sb_start+2,1-sb_phase1,0))*$D$1835</f>
        <v/>
      </c>
      <c r="G1858" s="23">
        <f>-IF(G1825=sb_start+1,sb_phase1,IF(G1825=sb_start+2,1-sb_phase1,0))*$D$1835</f>
        <v/>
      </c>
      <c r="H1858" s="23">
        <f>-IF(H1825=sb_start+1,sb_phase1,IF(H1825=sb_start+2,1-sb_phase1,0))*$D$1835</f>
        <v/>
      </c>
      <c r="I1858" s="23">
        <f>-IF(I1825=sb_start+1,sb_phase1,IF(I1825=sb_start+2,1-sb_phase1,0))*$D$1835</f>
        <v/>
      </c>
      <c r="J1858" s="23">
        <f>-IF(J1825=sb_start+1,sb_phase1,IF(J1825=sb_start+2,1-sb_phase1,0))*$D$1835</f>
        <v/>
      </c>
      <c r="K1858" s="23">
        <f>-IF(K1825=sb_start+1,sb_phase1,IF(K1825=sb_start+2,1-sb_phase1,0))*$D$1835</f>
        <v/>
      </c>
      <c r="L1858" s="23">
        <f>-IF(L1825=sb_start+1,sb_phase1,IF(L1825=sb_start+2,1-sb_phase1,0))*$D$1835</f>
        <v/>
      </c>
      <c r="M1858" s="23">
        <f>-IF(M1825=sb_start+1,sb_phase1,IF(M1825=sb_start+2,1-sb_phase1,0))*$D$1835</f>
        <v/>
      </c>
      <c r="N1858" s="23">
        <f>-IF(N1825=sb_start+1,sb_phase1,IF(N1825=sb_start+2,1-sb_phase1,0))*$D$1835</f>
        <v/>
      </c>
      <c r="O1858" s="23">
        <f>-IF(O1825=sb_start+1,sb_phase1,IF(O1825=sb_start+2,1-sb_phase1,0))*$D$1835</f>
        <v/>
      </c>
      <c r="P1858" s="23">
        <f>-IF(P1825=sb_start+1,sb_phase1,IF(P1825=sb_start+2,1-sb_phase1,0))*$D$1835</f>
        <v/>
      </c>
      <c r="Q1858" s="23">
        <f>-IF(Q1825=sb_start+1,sb_phase1,IF(Q1825=sb_start+2,1-sb_phase1,0))*$D$1835</f>
        <v/>
      </c>
      <c r="R1858" s="23">
        <f>-IF(R1825=sb_start+1,sb_phase1,IF(R1825=sb_start+2,1-sb_phase1,0))*$D$1835</f>
        <v/>
      </c>
      <c r="S1858" s="23">
        <f>-IF(S1825=sb_start+1,sb_phase1,IF(S1825=sb_start+2,1-sb_phase1,0))*$D$1835</f>
        <v/>
      </c>
      <c r="T1858" s="23">
        <f>-IF(T1825=sb_start+1,sb_phase1,IF(T1825=sb_start+2,1-sb_phase1,0))*$D$1835</f>
        <v/>
      </c>
      <c r="U1858" s="23">
        <f>-IF(U1825=sb_start+1,sb_phase1,IF(U1825=sb_start+2,1-sb_phase1,0))*$D$1835</f>
        <v/>
      </c>
      <c r="V1858" s="23">
        <f>-IF(V1825=sb_start+1,sb_phase1,IF(V1825=sb_start+2,1-sb_phase1,0))*$D$1835</f>
        <v/>
      </c>
      <c r="W1858" s="23">
        <f>-IF(W1825=sb_start+1,sb_phase1,IF(W1825=sb_start+2,1-sb_phase1,0))*$D$1835</f>
        <v/>
      </c>
      <c r="X1858" s="23">
        <f>-IF(X1825=sb_start+1,sb_phase1,IF(X1825=sb_start+2,1-sb_phase1,0))*$D$1835</f>
        <v/>
      </c>
      <c r="Y1858" s="23">
        <f>-IF(Y1825=sb_start+1,sb_phase1,IF(Y1825=sb_start+2,1-sb_phase1,0))*$D$1835</f>
        <v/>
      </c>
      <c r="Z1858" s="23">
        <f>-IF(Z1825=sb_start+1,sb_phase1,IF(Z1825=sb_start+2,1-sb_phase1,0))*$D$1835</f>
        <v/>
      </c>
      <c r="AA1858" s="23">
        <f>-IF(AA1825=sb_start+1,sb_phase1,IF(AA1825=sb_start+2,1-sb_phase1,0))*$D$1835</f>
        <v/>
      </c>
      <c r="AB1858" s="23">
        <f>-IF(AB1825=sb_start+1,sb_phase1,IF(AB1825=sb_start+2,1-sb_phase1,0))*$D$1835</f>
        <v/>
      </c>
      <c r="AC1858" s="23">
        <f>-IF(AC1825=sb_start+1,sb_phase1,IF(AC1825=sb_start+2,1-sb_phase1,0))*$D$1835</f>
        <v/>
      </c>
      <c r="AD1858" s="23">
        <f>-IF(AD1825=sb_start+1,sb_phase1,IF(AD1825=sb_start+2,1-sb_phase1,0))*$D$1835</f>
        <v/>
      </c>
      <c r="AE1858" s="23">
        <f>-IF(AE1825=sb_start+1,sb_phase1,IF(AE1825=sb_start+2,1-sb_phase1,0))*$D$1835</f>
        <v/>
      </c>
      <c r="AF1858" s="23">
        <f>-IF(AF1825=sb_start+1,sb_phase1,IF(AF1825=sb_start+2,1-sb_phase1,0))*$D$1835</f>
        <v/>
      </c>
      <c r="AG1858" s="23">
        <f>-IF(AG1825=sb_start+1,sb_phase1,IF(AG1825=sb_start+2,1-sb_phase1,0))*$D$1835</f>
        <v/>
      </c>
      <c r="AH1858" s="23">
        <f>-IF(AH1825=sb_start+1,sb_phase1,IF(AH1825=sb_start+2,1-sb_phase1,0))*$D$1835</f>
        <v/>
      </c>
      <c r="AI1858" s="23">
        <f>-IF(AI1825=sb_start+1,sb_phase1,IF(AI1825=sb_start+2,1-sb_phase1,0))*$D$1835</f>
        <v/>
      </c>
      <c r="AJ1858" s="23">
        <f>-IF(AJ1825=sb_start+1,sb_phase1,IF(AJ1825=sb_start+2,1-sb_phase1,0))*$D$1835</f>
        <v/>
      </c>
    </row>
    <row r="1859">
      <c r="B1859" s="2" t="inlineStr">
        <is>
          <t>Debt discount factor (tenor years)</t>
        </is>
      </c>
      <c r="D1859" s="28">
        <f>IF(AND(D1826=1,D1827&lt;sb_tenor),1/(1+sb_kd)^(D1827+1),0)</f>
        <v/>
      </c>
      <c r="E1859" s="28">
        <f>IF(AND(E1826=1,E1827&lt;sb_tenor),1/(1+sb_kd)^(E1827+1),0)</f>
        <v/>
      </c>
      <c r="F1859" s="28">
        <f>IF(AND(F1826=1,F1827&lt;sb_tenor),1/(1+sb_kd)^(F1827+1),0)</f>
        <v/>
      </c>
      <c r="G1859" s="28">
        <f>IF(AND(G1826=1,G1827&lt;sb_tenor),1/(1+sb_kd)^(G1827+1),0)</f>
        <v/>
      </c>
      <c r="H1859" s="28">
        <f>IF(AND(H1826=1,H1827&lt;sb_tenor),1/(1+sb_kd)^(H1827+1),0)</f>
        <v/>
      </c>
      <c r="I1859" s="28">
        <f>IF(AND(I1826=1,I1827&lt;sb_tenor),1/(1+sb_kd)^(I1827+1),0)</f>
        <v/>
      </c>
      <c r="J1859" s="28">
        <f>IF(AND(J1826=1,J1827&lt;sb_tenor),1/(1+sb_kd)^(J1827+1),0)</f>
        <v/>
      </c>
      <c r="K1859" s="28">
        <f>IF(AND(K1826=1,K1827&lt;sb_tenor),1/(1+sb_kd)^(K1827+1),0)</f>
        <v/>
      </c>
      <c r="L1859" s="28">
        <f>IF(AND(L1826=1,L1827&lt;sb_tenor),1/(1+sb_kd)^(L1827+1),0)</f>
        <v/>
      </c>
      <c r="M1859" s="28">
        <f>IF(AND(M1826=1,M1827&lt;sb_tenor),1/(1+sb_kd)^(M1827+1),0)</f>
        <v/>
      </c>
      <c r="N1859" s="28">
        <f>IF(AND(N1826=1,N1827&lt;sb_tenor),1/(1+sb_kd)^(N1827+1),0)</f>
        <v/>
      </c>
      <c r="O1859" s="28">
        <f>IF(AND(O1826=1,O1827&lt;sb_tenor),1/(1+sb_kd)^(O1827+1),0)</f>
        <v/>
      </c>
      <c r="P1859" s="28">
        <f>IF(AND(P1826=1,P1827&lt;sb_tenor),1/(1+sb_kd)^(P1827+1),0)</f>
        <v/>
      </c>
      <c r="Q1859" s="28">
        <f>IF(AND(Q1826=1,Q1827&lt;sb_tenor),1/(1+sb_kd)^(Q1827+1),0)</f>
        <v/>
      </c>
      <c r="R1859" s="28">
        <f>IF(AND(R1826=1,R1827&lt;sb_tenor),1/(1+sb_kd)^(R1827+1),0)</f>
        <v/>
      </c>
      <c r="S1859" s="28">
        <f>IF(AND(S1826=1,S1827&lt;sb_tenor),1/(1+sb_kd)^(S1827+1),0)</f>
        <v/>
      </c>
      <c r="T1859" s="28">
        <f>IF(AND(T1826=1,T1827&lt;sb_tenor),1/(1+sb_kd)^(T1827+1),0)</f>
        <v/>
      </c>
      <c r="U1859" s="28">
        <f>IF(AND(U1826=1,U1827&lt;sb_tenor),1/(1+sb_kd)^(U1827+1),0)</f>
        <v/>
      </c>
      <c r="V1859" s="28">
        <f>IF(AND(V1826=1,V1827&lt;sb_tenor),1/(1+sb_kd)^(V1827+1),0)</f>
        <v/>
      </c>
      <c r="W1859" s="28">
        <f>IF(AND(W1826=1,W1827&lt;sb_tenor),1/(1+sb_kd)^(W1827+1),0)</f>
        <v/>
      </c>
      <c r="X1859" s="28">
        <f>IF(AND(X1826=1,X1827&lt;sb_tenor),1/(1+sb_kd)^(X1827+1),0)</f>
        <v/>
      </c>
      <c r="Y1859" s="28">
        <f>IF(AND(Y1826=1,Y1827&lt;sb_tenor),1/(1+sb_kd)^(Y1827+1),0)</f>
        <v/>
      </c>
      <c r="Z1859" s="28">
        <f>IF(AND(Z1826=1,Z1827&lt;sb_tenor),1/(1+sb_kd)^(Z1827+1),0)</f>
        <v/>
      </c>
      <c r="AA1859" s="28">
        <f>IF(AND(AA1826=1,AA1827&lt;sb_tenor),1/(1+sb_kd)^(AA1827+1),0)</f>
        <v/>
      </c>
      <c r="AB1859" s="28">
        <f>IF(AND(AB1826=1,AB1827&lt;sb_tenor),1/(1+sb_kd)^(AB1827+1),0)</f>
        <v/>
      </c>
      <c r="AC1859" s="28">
        <f>IF(AND(AC1826=1,AC1827&lt;sb_tenor),1/(1+sb_kd)^(AC1827+1),0)</f>
        <v/>
      </c>
      <c r="AD1859" s="28">
        <f>IF(AND(AD1826=1,AD1827&lt;sb_tenor),1/(1+sb_kd)^(AD1827+1),0)</f>
        <v/>
      </c>
      <c r="AE1859" s="28">
        <f>IF(AND(AE1826=1,AE1827&lt;sb_tenor),1/(1+sb_kd)^(AE1827+1),0)</f>
        <v/>
      </c>
      <c r="AF1859" s="28">
        <f>IF(AND(AF1826=1,AF1827&lt;sb_tenor),1/(1+sb_kd)^(AF1827+1),0)</f>
        <v/>
      </c>
      <c r="AG1859" s="28">
        <f>IF(AND(AG1826=1,AG1827&lt;sb_tenor),1/(1+sb_kd)^(AG1827+1),0)</f>
        <v/>
      </c>
      <c r="AH1859" s="28">
        <f>IF(AND(AH1826=1,AH1827&lt;sb_tenor),1/(1+sb_kd)^(AH1827+1),0)</f>
        <v/>
      </c>
      <c r="AI1859" s="28">
        <f>IF(AND(AI1826=1,AI1827&lt;sb_tenor),1/(1+sb_kd)^(AI1827+1),0)</f>
        <v/>
      </c>
      <c r="AJ1859" s="28">
        <f>IF(AND(AJ1826=1,AJ1827&lt;sb_tenor),1/(1+sb_kd)^(AJ1827+1),0)</f>
        <v/>
      </c>
    </row>
    <row r="1860">
      <c r="B1860" s="2" t="inlineStr">
        <is>
          <t>Debt capacity at the sizing cover (PV of CFADS / cover)</t>
        </is>
      </c>
      <c r="C1860" s="5" t="inlineStr">
        <is>
          <t>$ million</t>
        </is>
      </c>
      <c r="D1860" s="23">
        <f>SUMPRODUCT($D$1855:AJ$1855,$D$1859:AJ$1859)/sb_dscr</f>
        <v/>
      </c>
    </row>
    <row r="1861">
      <c r="B1861" s="2" t="inlineStr">
        <is>
          <t>Senior debt (lower of cover sizing and gearing cap)</t>
        </is>
      </c>
      <c r="C1861" s="5" t="inlineStr">
        <is>
          <t>$ million</t>
        </is>
      </c>
      <c r="D1861" s="23">
        <f>MIN($D$1860,sb_gear*$D$1835)</f>
        <v/>
      </c>
    </row>
    <row r="1862">
      <c r="B1862" s="2" t="inlineStr">
        <is>
          <t>Gearing</t>
        </is>
      </c>
      <c r="C1862" s="5" t="inlineStr">
        <is>
          <t>share</t>
        </is>
      </c>
      <c r="D1862" s="20">
        <f>$D$1861/$D$1835</f>
        <v/>
      </c>
    </row>
    <row r="1863">
      <c r="B1863" s="2" t="inlineStr">
        <is>
          <t>Debt service (sculpted)</t>
        </is>
      </c>
      <c r="C1863" s="5" t="inlineStr">
        <is>
          <t>$ million</t>
        </is>
      </c>
      <c r="D1863" s="23">
        <f>IF(D1859&gt;0,D1855/sb_dscr*$D$1861/$D$1860,0)</f>
        <v/>
      </c>
      <c r="E1863" s="23">
        <f>IF(E1859&gt;0,E1855/sb_dscr*$D$1861/$D$1860,0)</f>
        <v/>
      </c>
      <c r="F1863" s="23">
        <f>IF(F1859&gt;0,F1855/sb_dscr*$D$1861/$D$1860,0)</f>
        <v/>
      </c>
      <c r="G1863" s="23">
        <f>IF(G1859&gt;0,G1855/sb_dscr*$D$1861/$D$1860,0)</f>
        <v/>
      </c>
      <c r="H1863" s="23">
        <f>IF(H1859&gt;0,H1855/sb_dscr*$D$1861/$D$1860,0)</f>
        <v/>
      </c>
      <c r="I1863" s="23">
        <f>IF(I1859&gt;0,I1855/sb_dscr*$D$1861/$D$1860,0)</f>
        <v/>
      </c>
      <c r="J1863" s="23">
        <f>IF(J1859&gt;0,J1855/sb_dscr*$D$1861/$D$1860,0)</f>
        <v/>
      </c>
      <c r="K1863" s="23">
        <f>IF(K1859&gt;0,K1855/sb_dscr*$D$1861/$D$1860,0)</f>
        <v/>
      </c>
      <c r="L1863" s="23">
        <f>IF(L1859&gt;0,L1855/sb_dscr*$D$1861/$D$1860,0)</f>
        <v/>
      </c>
      <c r="M1863" s="23">
        <f>IF(M1859&gt;0,M1855/sb_dscr*$D$1861/$D$1860,0)</f>
        <v/>
      </c>
      <c r="N1863" s="23">
        <f>IF(N1859&gt;0,N1855/sb_dscr*$D$1861/$D$1860,0)</f>
        <v/>
      </c>
      <c r="O1863" s="23">
        <f>IF(O1859&gt;0,O1855/sb_dscr*$D$1861/$D$1860,0)</f>
        <v/>
      </c>
      <c r="P1863" s="23">
        <f>IF(P1859&gt;0,P1855/sb_dscr*$D$1861/$D$1860,0)</f>
        <v/>
      </c>
      <c r="Q1863" s="23">
        <f>IF(Q1859&gt;0,Q1855/sb_dscr*$D$1861/$D$1860,0)</f>
        <v/>
      </c>
      <c r="R1863" s="23">
        <f>IF(R1859&gt;0,R1855/sb_dscr*$D$1861/$D$1860,0)</f>
        <v/>
      </c>
      <c r="S1863" s="23">
        <f>IF(S1859&gt;0,S1855/sb_dscr*$D$1861/$D$1860,0)</f>
        <v/>
      </c>
      <c r="T1863" s="23">
        <f>IF(T1859&gt;0,T1855/sb_dscr*$D$1861/$D$1860,0)</f>
        <v/>
      </c>
      <c r="U1863" s="23">
        <f>IF(U1859&gt;0,U1855/sb_dscr*$D$1861/$D$1860,0)</f>
        <v/>
      </c>
      <c r="V1863" s="23">
        <f>IF(V1859&gt;0,V1855/sb_dscr*$D$1861/$D$1860,0)</f>
        <v/>
      </c>
      <c r="W1863" s="23">
        <f>IF(W1859&gt;0,W1855/sb_dscr*$D$1861/$D$1860,0)</f>
        <v/>
      </c>
      <c r="X1863" s="23">
        <f>IF(X1859&gt;0,X1855/sb_dscr*$D$1861/$D$1860,0)</f>
        <v/>
      </c>
      <c r="Y1863" s="23">
        <f>IF(Y1859&gt;0,Y1855/sb_dscr*$D$1861/$D$1860,0)</f>
        <v/>
      </c>
      <c r="Z1863" s="23">
        <f>IF(Z1859&gt;0,Z1855/sb_dscr*$D$1861/$D$1860,0)</f>
        <v/>
      </c>
      <c r="AA1863" s="23">
        <f>IF(AA1859&gt;0,AA1855/sb_dscr*$D$1861/$D$1860,0)</f>
        <v/>
      </c>
      <c r="AB1863" s="23">
        <f>IF(AB1859&gt;0,AB1855/sb_dscr*$D$1861/$D$1860,0)</f>
        <v/>
      </c>
      <c r="AC1863" s="23">
        <f>IF(AC1859&gt;0,AC1855/sb_dscr*$D$1861/$D$1860,0)</f>
        <v/>
      </c>
      <c r="AD1863" s="23">
        <f>IF(AD1859&gt;0,AD1855/sb_dscr*$D$1861/$D$1860,0)</f>
        <v/>
      </c>
      <c r="AE1863" s="23">
        <f>IF(AE1859&gt;0,AE1855/sb_dscr*$D$1861/$D$1860,0)</f>
        <v/>
      </c>
      <c r="AF1863" s="23">
        <f>IF(AF1859&gt;0,AF1855/sb_dscr*$D$1861/$D$1860,0)</f>
        <v/>
      </c>
      <c r="AG1863" s="23">
        <f>IF(AG1859&gt;0,AG1855/sb_dscr*$D$1861/$D$1860,0)</f>
        <v/>
      </c>
      <c r="AH1863" s="23">
        <f>IF(AH1859&gt;0,AH1855/sb_dscr*$D$1861/$D$1860,0)</f>
        <v/>
      </c>
      <c r="AI1863" s="23">
        <f>IF(AI1859&gt;0,AI1855/sb_dscr*$D$1861/$D$1860,0)</f>
        <v/>
      </c>
      <c r="AJ1863" s="23">
        <f>IF(AJ1859&gt;0,AJ1855/sb_dscr*$D$1861/$D$1860,0)</f>
        <v/>
      </c>
    </row>
    <row r="1864">
      <c r="B1864" s="2" t="inlineStr">
        <is>
          <t>Debt service cover</t>
        </is>
      </c>
      <c r="C1864" s="5" t="inlineStr">
        <is>
          <t>x</t>
        </is>
      </c>
      <c r="D1864" s="30">
        <f>IF(D1863&gt;0,D1855/D1863,"")</f>
        <v/>
      </c>
      <c r="E1864" s="30">
        <f>IF(E1863&gt;0,E1855/E1863,"")</f>
        <v/>
      </c>
      <c r="F1864" s="30">
        <f>IF(F1863&gt;0,F1855/F1863,"")</f>
        <v/>
      </c>
      <c r="G1864" s="30">
        <f>IF(G1863&gt;0,G1855/G1863,"")</f>
        <v/>
      </c>
      <c r="H1864" s="30">
        <f>IF(H1863&gt;0,H1855/H1863,"")</f>
        <v/>
      </c>
      <c r="I1864" s="30">
        <f>IF(I1863&gt;0,I1855/I1863,"")</f>
        <v/>
      </c>
      <c r="J1864" s="30">
        <f>IF(J1863&gt;0,J1855/J1863,"")</f>
        <v/>
      </c>
      <c r="K1864" s="30">
        <f>IF(K1863&gt;0,K1855/K1863,"")</f>
        <v/>
      </c>
      <c r="L1864" s="30">
        <f>IF(L1863&gt;0,L1855/L1863,"")</f>
        <v/>
      </c>
      <c r="M1864" s="30">
        <f>IF(M1863&gt;0,M1855/M1863,"")</f>
        <v/>
      </c>
      <c r="N1864" s="30">
        <f>IF(N1863&gt;0,N1855/N1863,"")</f>
        <v/>
      </c>
      <c r="O1864" s="30">
        <f>IF(O1863&gt;0,O1855/O1863,"")</f>
        <v/>
      </c>
      <c r="P1864" s="30">
        <f>IF(P1863&gt;0,P1855/P1863,"")</f>
        <v/>
      </c>
      <c r="Q1864" s="30">
        <f>IF(Q1863&gt;0,Q1855/Q1863,"")</f>
        <v/>
      </c>
      <c r="R1864" s="30">
        <f>IF(R1863&gt;0,R1855/R1863,"")</f>
        <v/>
      </c>
      <c r="S1864" s="30">
        <f>IF(S1863&gt;0,S1855/S1863,"")</f>
        <v/>
      </c>
      <c r="T1864" s="30">
        <f>IF(T1863&gt;0,T1855/T1863,"")</f>
        <v/>
      </c>
      <c r="U1864" s="30">
        <f>IF(U1863&gt;0,U1855/U1863,"")</f>
        <v/>
      </c>
      <c r="V1864" s="30">
        <f>IF(V1863&gt;0,V1855/V1863,"")</f>
        <v/>
      </c>
      <c r="W1864" s="30">
        <f>IF(W1863&gt;0,W1855/W1863,"")</f>
        <v/>
      </c>
      <c r="X1864" s="30">
        <f>IF(X1863&gt;0,X1855/X1863,"")</f>
        <v/>
      </c>
      <c r="Y1864" s="30">
        <f>IF(Y1863&gt;0,Y1855/Y1863,"")</f>
        <v/>
      </c>
      <c r="Z1864" s="30">
        <f>IF(Z1863&gt;0,Z1855/Z1863,"")</f>
        <v/>
      </c>
      <c r="AA1864" s="30">
        <f>IF(AA1863&gt;0,AA1855/AA1863,"")</f>
        <v/>
      </c>
      <c r="AB1864" s="30">
        <f>IF(AB1863&gt;0,AB1855/AB1863,"")</f>
        <v/>
      </c>
      <c r="AC1864" s="30">
        <f>IF(AC1863&gt;0,AC1855/AC1863,"")</f>
        <v/>
      </c>
      <c r="AD1864" s="30">
        <f>IF(AD1863&gt;0,AD1855/AD1863,"")</f>
        <v/>
      </c>
      <c r="AE1864" s="30">
        <f>IF(AE1863&gt;0,AE1855/AE1863,"")</f>
        <v/>
      </c>
      <c r="AF1864" s="30">
        <f>IF(AF1863&gt;0,AF1855/AF1863,"")</f>
        <v/>
      </c>
      <c r="AG1864" s="30">
        <f>IF(AG1863&gt;0,AG1855/AG1863,"")</f>
        <v/>
      </c>
      <c r="AH1864" s="30">
        <f>IF(AH1863&gt;0,AH1855/AH1863,"")</f>
        <v/>
      </c>
      <c r="AI1864" s="30">
        <f>IF(AI1863&gt;0,AI1855/AI1863,"")</f>
        <v/>
      </c>
      <c r="AJ1864" s="30">
        <f>IF(AJ1863&gt;0,AJ1855/AJ1863,"")</f>
        <v/>
      </c>
    </row>
    <row r="1865">
      <c r="B1865" s="3" t="inlineStr">
        <is>
          <t>Project flows (unlevered, pre-tax)</t>
        </is>
      </c>
      <c r="C1865" s="5" t="inlineStr">
        <is>
          <t>$ million</t>
        </is>
      </c>
      <c r="D1865" s="23">
        <f>D1858+D1855</f>
        <v/>
      </c>
      <c r="E1865" s="23">
        <f>E1858+E1855</f>
        <v/>
      </c>
      <c r="F1865" s="23">
        <f>F1858+F1855</f>
        <v/>
      </c>
      <c r="G1865" s="23">
        <f>G1858+G1855</f>
        <v/>
      </c>
      <c r="H1865" s="23">
        <f>H1858+H1855</f>
        <v/>
      </c>
      <c r="I1865" s="23">
        <f>I1858+I1855</f>
        <v/>
      </c>
      <c r="J1865" s="23">
        <f>J1858+J1855</f>
        <v/>
      </c>
      <c r="K1865" s="23">
        <f>K1858+K1855</f>
        <v/>
      </c>
      <c r="L1865" s="23">
        <f>L1858+L1855</f>
        <v/>
      </c>
      <c r="M1865" s="23">
        <f>M1858+M1855</f>
        <v/>
      </c>
      <c r="N1865" s="23">
        <f>N1858+N1855</f>
        <v/>
      </c>
      <c r="O1865" s="23">
        <f>O1858+O1855</f>
        <v/>
      </c>
      <c r="P1865" s="23">
        <f>P1858+P1855</f>
        <v/>
      </c>
      <c r="Q1865" s="23">
        <f>Q1858+Q1855</f>
        <v/>
      </c>
      <c r="R1865" s="23">
        <f>R1858+R1855</f>
        <v/>
      </c>
      <c r="S1865" s="23">
        <f>S1858+S1855</f>
        <v/>
      </c>
      <c r="T1865" s="23">
        <f>T1858+T1855</f>
        <v/>
      </c>
      <c r="U1865" s="23">
        <f>U1858+U1855</f>
        <v/>
      </c>
      <c r="V1865" s="23">
        <f>V1858+V1855</f>
        <v/>
      </c>
      <c r="W1865" s="23">
        <f>W1858+W1855</f>
        <v/>
      </c>
      <c r="X1865" s="23">
        <f>X1858+X1855</f>
        <v/>
      </c>
      <c r="Y1865" s="23">
        <f>Y1858+Y1855</f>
        <v/>
      </c>
      <c r="Z1865" s="23">
        <f>Z1858+Z1855</f>
        <v/>
      </c>
      <c r="AA1865" s="23">
        <f>AA1858+AA1855</f>
        <v/>
      </c>
      <c r="AB1865" s="23">
        <f>AB1858+AB1855</f>
        <v/>
      </c>
      <c r="AC1865" s="23">
        <f>AC1858+AC1855</f>
        <v/>
      </c>
      <c r="AD1865" s="23">
        <f>AD1858+AD1855</f>
        <v/>
      </c>
      <c r="AE1865" s="23">
        <f>AE1858+AE1855</f>
        <v/>
      </c>
      <c r="AF1865" s="23">
        <f>AF1858+AF1855</f>
        <v/>
      </c>
      <c r="AG1865" s="23">
        <f>AG1858+AG1855</f>
        <v/>
      </c>
      <c r="AH1865" s="23">
        <f>AH1858+AH1855</f>
        <v/>
      </c>
      <c r="AI1865" s="23">
        <f>AI1858+AI1855</f>
        <v/>
      </c>
      <c r="AJ1865" s="23">
        <f>AJ1858+AJ1855</f>
        <v/>
      </c>
    </row>
    <row r="1866">
      <c r="B1866" s="3" t="inlineStr">
        <is>
          <t>Equity flows (pre-tax)</t>
        </is>
      </c>
      <c r="C1866" s="5" t="inlineStr">
        <is>
          <t>$ million</t>
        </is>
      </c>
      <c r="D1866" s="23">
        <f>D1858*(1-$D$1862)+D1855-D1863</f>
        <v/>
      </c>
      <c r="E1866" s="23">
        <f>E1858*(1-$D$1862)+E1855-E1863</f>
        <v/>
      </c>
      <c r="F1866" s="23">
        <f>F1858*(1-$D$1862)+F1855-F1863</f>
        <v/>
      </c>
      <c r="G1866" s="23">
        <f>G1858*(1-$D$1862)+G1855-G1863</f>
        <v/>
      </c>
      <c r="H1866" s="23">
        <f>H1858*(1-$D$1862)+H1855-H1863</f>
        <v/>
      </c>
      <c r="I1866" s="23">
        <f>I1858*(1-$D$1862)+I1855-I1863</f>
        <v/>
      </c>
      <c r="J1866" s="23">
        <f>J1858*(1-$D$1862)+J1855-J1863</f>
        <v/>
      </c>
      <c r="K1866" s="23">
        <f>K1858*(1-$D$1862)+K1855-K1863</f>
        <v/>
      </c>
      <c r="L1866" s="23">
        <f>L1858*(1-$D$1862)+L1855-L1863</f>
        <v/>
      </c>
      <c r="M1866" s="23">
        <f>M1858*(1-$D$1862)+M1855-M1863</f>
        <v/>
      </c>
      <c r="N1866" s="23">
        <f>N1858*(1-$D$1862)+N1855-N1863</f>
        <v/>
      </c>
      <c r="O1866" s="23">
        <f>O1858*(1-$D$1862)+O1855-O1863</f>
        <v/>
      </c>
      <c r="P1866" s="23">
        <f>P1858*(1-$D$1862)+P1855-P1863</f>
        <v/>
      </c>
      <c r="Q1866" s="23">
        <f>Q1858*(1-$D$1862)+Q1855-Q1863</f>
        <v/>
      </c>
      <c r="R1866" s="23">
        <f>R1858*(1-$D$1862)+R1855-R1863</f>
        <v/>
      </c>
      <c r="S1866" s="23">
        <f>S1858*(1-$D$1862)+S1855-S1863</f>
        <v/>
      </c>
      <c r="T1866" s="23">
        <f>T1858*(1-$D$1862)+T1855-T1863</f>
        <v/>
      </c>
      <c r="U1866" s="23">
        <f>U1858*(1-$D$1862)+U1855-U1863</f>
        <v/>
      </c>
      <c r="V1866" s="23">
        <f>V1858*(1-$D$1862)+V1855-V1863</f>
        <v/>
      </c>
      <c r="W1866" s="23">
        <f>W1858*(1-$D$1862)+W1855-W1863</f>
        <v/>
      </c>
      <c r="X1866" s="23">
        <f>X1858*(1-$D$1862)+X1855-X1863</f>
        <v/>
      </c>
      <c r="Y1866" s="23">
        <f>Y1858*(1-$D$1862)+Y1855-Y1863</f>
        <v/>
      </c>
      <c r="Z1866" s="23">
        <f>Z1858*(1-$D$1862)+Z1855-Z1863</f>
        <v/>
      </c>
      <c r="AA1866" s="23">
        <f>AA1858*(1-$D$1862)+AA1855-AA1863</f>
        <v/>
      </c>
      <c r="AB1866" s="23">
        <f>AB1858*(1-$D$1862)+AB1855-AB1863</f>
        <v/>
      </c>
      <c r="AC1866" s="23">
        <f>AC1858*(1-$D$1862)+AC1855-AC1863</f>
        <v/>
      </c>
      <c r="AD1866" s="23">
        <f>AD1858*(1-$D$1862)+AD1855-AD1863</f>
        <v/>
      </c>
      <c r="AE1866" s="23">
        <f>AE1858*(1-$D$1862)+AE1855-AE1863</f>
        <v/>
      </c>
      <c r="AF1866" s="23">
        <f>AF1858*(1-$D$1862)+AF1855-AF1863</f>
        <v/>
      </c>
      <c r="AG1866" s="23">
        <f>AG1858*(1-$D$1862)+AG1855-AG1863</f>
        <v/>
      </c>
      <c r="AH1866" s="23">
        <f>AH1858*(1-$D$1862)+AH1855-AH1863</f>
        <v/>
      </c>
      <c r="AI1866" s="23">
        <f>AI1858*(1-$D$1862)+AI1855-AI1863</f>
        <v/>
      </c>
      <c r="AJ1866" s="23">
        <f>AJ1858*(1-$D$1862)+AJ1855-AJ1863</f>
        <v/>
      </c>
    </row>
    <row r="1867">
      <c r="B1867" s="2" t="inlineStr">
        <is>
          <t>Project IRR</t>
        </is>
      </c>
      <c r="C1867" s="5" t="inlineStr">
        <is>
          <t>rate</t>
        </is>
      </c>
      <c r="D1867" s="27">
        <f>IRR($D$1865:AJ$1865,0.07)</f>
        <v/>
      </c>
    </row>
    <row r="1868">
      <c r="B1868" s="2" t="inlineStr">
        <is>
          <t>Equity IRR</t>
        </is>
      </c>
      <c r="C1868" s="5" t="inlineStr">
        <is>
          <t>rate</t>
        </is>
      </c>
      <c r="D1868" s="27">
        <f>IRR($D$1866:AJ$1866,0.1)</f>
        <v/>
      </c>
    </row>
    <row r="1869">
      <c r="B1869" s="2" t="inlineStr">
        <is>
          <t>Equity invested</t>
        </is>
      </c>
      <c r="C1869" s="5" t="inlineStr">
        <is>
          <t>$ million</t>
        </is>
      </c>
      <c r="D1869" s="23">
        <f>-SUMPRODUCT($D$1858:AJ$1858)*(1-$D$1862)</f>
        <v/>
      </c>
    </row>
    <row r="1872">
      <c r="B1872" s="6" t="inlineStr">
        <is>
          <t>Helper: debt discount factors at the debt rate plus the bid step (for SB_Finance)</t>
        </is>
      </c>
    </row>
    <row r="1873">
      <c r="B1873" s="2" t="inlineStr">
        <is>
          <t>Discount factor</t>
        </is>
      </c>
      <c r="D1873" s="28">
        <f>IF('SB_Ops'!D38&gt;0,1/(1+sb_kd+sb_kd_step)^('SB_Ops'!D6+1),0)</f>
        <v/>
      </c>
      <c r="E1873" s="28">
        <f>IF('SB_Ops'!E38&gt;0,1/(1+sb_kd+sb_kd_step)^('SB_Ops'!E6+1),0)</f>
        <v/>
      </c>
      <c r="F1873" s="28">
        <f>IF('SB_Ops'!F38&gt;0,1/(1+sb_kd+sb_kd_step)^('SB_Ops'!F6+1),0)</f>
        <v/>
      </c>
      <c r="G1873" s="28">
        <f>IF('SB_Ops'!G38&gt;0,1/(1+sb_kd+sb_kd_step)^('SB_Ops'!G6+1),0)</f>
        <v/>
      </c>
      <c r="H1873" s="28">
        <f>IF('SB_Ops'!H38&gt;0,1/(1+sb_kd+sb_kd_step)^('SB_Ops'!H6+1),0)</f>
        <v/>
      </c>
      <c r="I1873" s="28">
        <f>IF('SB_Ops'!I38&gt;0,1/(1+sb_kd+sb_kd_step)^('SB_Ops'!I6+1),0)</f>
        <v/>
      </c>
      <c r="J1873" s="28">
        <f>IF('SB_Ops'!J38&gt;0,1/(1+sb_kd+sb_kd_step)^('SB_Ops'!J6+1),0)</f>
        <v/>
      </c>
      <c r="K1873" s="28">
        <f>IF('SB_Ops'!K38&gt;0,1/(1+sb_kd+sb_kd_step)^('SB_Ops'!K6+1),0)</f>
        <v/>
      </c>
      <c r="L1873" s="28">
        <f>IF('SB_Ops'!L38&gt;0,1/(1+sb_kd+sb_kd_step)^('SB_Ops'!L6+1),0)</f>
        <v/>
      </c>
      <c r="M1873" s="28">
        <f>IF('SB_Ops'!M38&gt;0,1/(1+sb_kd+sb_kd_step)^('SB_Ops'!M6+1),0)</f>
        <v/>
      </c>
      <c r="N1873" s="28">
        <f>IF('SB_Ops'!N38&gt;0,1/(1+sb_kd+sb_kd_step)^('SB_Ops'!N6+1),0)</f>
        <v/>
      </c>
      <c r="O1873" s="28">
        <f>IF('SB_Ops'!O38&gt;0,1/(1+sb_kd+sb_kd_step)^('SB_Ops'!O6+1),0)</f>
        <v/>
      </c>
      <c r="P1873" s="28">
        <f>IF('SB_Ops'!P38&gt;0,1/(1+sb_kd+sb_kd_step)^('SB_Ops'!P6+1),0)</f>
        <v/>
      </c>
      <c r="Q1873" s="28">
        <f>IF('SB_Ops'!Q38&gt;0,1/(1+sb_kd+sb_kd_step)^('SB_Ops'!Q6+1),0)</f>
        <v/>
      </c>
      <c r="R1873" s="28">
        <f>IF('SB_Ops'!R38&gt;0,1/(1+sb_kd+sb_kd_step)^('SB_Ops'!R6+1),0)</f>
        <v/>
      </c>
      <c r="S1873" s="28">
        <f>IF('SB_Ops'!S38&gt;0,1/(1+sb_kd+sb_kd_step)^('SB_Ops'!S6+1),0)</f>
        <v/>
      </c>
      <c r="T1873" s="28">
        <f>IF('SB_Ops'!T38&gt;0,1/(1+sb_kd+sb_kd_step)^('SB_Ops'!T6+1),0)</f>
        <v/>
      </c>
      <c r="U1873" s="28">
        <f>IF('SB_Ops'!U38&gt;0,1/(1+sb_kd+sb_kd_step)^('SB_Ops'!U6+1),0)</f>
        <v/>
      </c>
      <c r="V1873" s="28">
        <f>IF('SB_Ops'!V38&gt;0,1/(1+sb_kd+sb_kd_step)^('SB_Ops'!V6+1),0)</f>
        <v/>
      </c>
      <c r="W1873" s="28">
        <f>IF('SB_Ops'!W38&gt;0,1/(1+sb_kd+sb_kd_step)^('SB_Ops'!W6+1),0)</f>
        <v/>
      </c>
      <c r="X1873" s="28">
        <f>IF('SB_Ops'!X38&gt;0,1/(1+sb_kd+sb_kd_step)^('SB_Ops'!X6+1),0)</f>
        <v/>
      </c>
      <c r="Y1873" s="28">
        <f>IF('SB_Ops'!Y38&gt;0,1/(1+sb_kd+sb_kd_step)^('SB_Ops'!Y6+1),0)</f>
        <v/>
      </c>
      <c r="Z1873" s="28">
        <f>IF('SB_Ops'!Z38&gt;0,1/(1+sb_kd+sb_kd_step)^('SB_Ops'!Z6+1),0)</f>
        <v/>
      </c>
      <c r="AA1873" s="28">
        <f>IF('SB_Ops'!AA38&gt;0,1/(1+sb_kd+sb_kd_step)^('SB_Ops'!AA6+1),0)</f>
        <v/>
      </c>
      <c r="AB1873" s="28">
        <f>IF('SB_Ops'!AB38&gt;0,1/(1+sb_kd+sb_kd_step)^('SB_Ops'!AB6+1),0)</f>
        <v/>
      </c>
      <c r="AC1873" s="28">
        <f>IF('SB_Ops'!AC38&gt;0,1/(1+sb_kd+sb_kd_step)^('SB_Ops'!AC6+1),0)</f>
        <v/>
      </c>
      <c r="AD1873" s="28">
        <f>IF('SB_Ops'!AD38&gt;0,1/(1+sb_kd+sb_kd_step)^('SB_Ops'!AD6+1),0)</f>
        <v/>
      </c>
      <c r="AE1873" s="28">
        <f>IF('SB_Ops'!AE38&gt;0,1/(1+sb_kd+sb_kd_step)^('SB_Ops'!AE6+1),0)</f>
        <v/>
      </c>
      <c r="AF1873" s="28">
        <f>IF('SB_Ops'!AF38&gt;0,1/(1+sb_kd+sb_kd_step)^('SB_Ops'!AF6+1),0)</f>
        <v/>
      </c>
      <c r="AG1873" s="28">
        <f>IF('SB_Ops'!AG38&gt;0,1/(1+sb_kd+sb_kd_step)^('SB_Ops'!AG6+1),0)</f>
        <v/>
      </c>
      <c r="AH1873" s="28">
        <f>IF('SB_Ops'!AH38&gt;0,1/(1+sb_kd+sb_kd_step)^('SB_Ops'!AH6+1),0)</f>
        <v/>
      </c>
      <c r="AI1873" s="28">
        <f>IF('SB_Ops'!AI38&gt;0,1/(1+sb_kd+sb_kd_step)^('SB_Ops'!AI6+1),0)</f>
        <v/>
      </c>
      <c r="AJ1873" s="28">
        <f>IF('SB_Ops'!AJ38&gt;0,1/(1+sb_kd+sb_kd_step)^('SB_Ops'!AJ6+1),0)</f>
        <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B2:G495"/>
  <sheetViews>
    <sheetView showGridLines="0" workbookViewId="0">
      <selection activeCell="A1" sqref="A1"/>
    </sheetView>
  </sheetViews>
  <sheetFormatPr baseColWidth="8" defaultRowHeight="15"/>
  <cols>
    <col width="2" customWidth="1" min="1" max="1"/>
    <col width="20" customWidth="1" min="2" max="2"/>
    <col width="48" customWidth="1" min="3" max="3"/>
    <col width="15" customWidth="1" min="4" max="4"/>
    <col width="15" customWidth="1" min="5" max="5"/>
    <col width="15" customWidth="1" min="6" max="6"/>
    <col width="10" customWidth="1" min="7" max="7"/>
  </cols>
  <sheetData>
    <row r="2">
      <c r="B2" s="1" t="inlineStr">
        <is>
          <t>Checks: every figure of the book (book/_FACTS.md) against the formula that produces it</t>
        </is>
      </c>
    </row>
    <row r="3">
      <c r="B3" s="5" t="inlineStr">
        <is>
          <t>Valid on the default inputs (switches reset). Tolerance = half a unit of the last printed digit.</t>
        </is>
      </c>
    </row>
    <row r="4">
      <c r="B4" s="3" t="inlineStr">
        <is>
          <t>Result:</t>
        </is>
      </c>
      <c r="C4" s="3">
        <f>IF(COUNTIF(G7:G480,"OK")=474,"ALL CHECKS OK ("&amp;474&amp;" figures, 115 fact keys)","SEE ERROR LINES: "&amp;COUNTIF(G7:G480,"ERROR"))</f>
        <v/>
      </c>
      <c r="E4" s="3">
        <f>IF(COUNTIF(G484:G495,"OK")=12,"INTEGRITY OK","SEE INTEGRITY LINES")</f>
        <v/>
      </c>
    </row>
    <row r="6">
      <c r="B6" s="3" t="inlineStr">
        <is>
          <t>Fact key</t>
        </is>
      </c>
      <c r="C6" s="3" t="inlineStr">
        <is>
          <t>Figure</t>
        </is>
      </c>
      <c r="D6" s="3" t="inlineStr">
        <is>
          <t>Book</t>
        </is>
      </c>
      <c r="E6" s="3" t="inlineStr">
        <is>
          <t>Workbook</t>
        </is>
      </c>
      <c r="F6" s="3" t="inlineStr">
        <is>
          <t>Tolerance</t>
        </is>
      </c>
      <c r="G6" s="3" t="inlineStr">
        <is>
          <t>OK?</t>
        </is>
      </c>
    </row>
    <row r="7">
      <c r="B7" s="5" t="inlineStr">
        <is>
          <t>case_names</t>
        </is>
      </c>
      <c r="C7" s="2" t="inlineStr">
        <is>
          <t>Text on the Cover sheet</t>
        </is>
      </c>
      <c r="D7" s="43" t="inlineStr">
        <is>
          <t>buyer: Brannock Core Infrastructure Fund III ("Brannock"), a core infrastructure fund; utility: Pell River Water Company ("Pell River"), a state-regulated investor-owned water and wastewater utility; seller: Corliss Utilities Group ("Corliss"), a diversified utility holding company selling a non-core subsidiary; regulator: the state utility commission ("the commission"); town system bought at fair market value: the Town of Fennick ("Fennick"); desalination plant: Sorrel Bay Desalination Plant ("Sorrel Bay"), project company Sorrel Bay Water LLC; procuring authority and offtaker: Tidewell Regional Water Authority ("the Authority"); developer, builder and operator partner: Kestle Water Systems ("Kestle"); data center campus: Halcyon Ridge, developed by Northvale Digital; all fictional, no state or country named</t>
        </is>
      </c>
      <c r="E7" s="2">
        <f>Cover!$C$7</f>
        <v/>
      </c>
      <c r="G7" s="3">
        <f>IF(EXACT(D7,E7),"OK","ERROR")</f>
        <v/>
      </c>
    </row>
    <row r="8">
      <c r="B8" s="5" t="inlineStr">
        <is>
          <t>case_timeline</t>
        </is>
      </c>
      <c r="C8" s="2" t="inlineStr">
        <is>
          <t>Text on the Cover sheet</t>
        </is>
      </c>
      <c r="D8" s="43" t="inlineStr">
        <is>
          <t>Corliss launches the sale in 2026; Brannock signs on 31 March 2027; the commission approves the change of control in November 2027; closing and valuation date 31 December 2027; hold 2028 to 2037; modeled exit 31 December 2037. Sorrel Bay: preferred bidder and financial close end of 2027, construction 2028 and 2029, commercial operation 1 January 2030, operations 2030 to 2059, transfer to the Authority at the end of 2059</t>
        </is>
      </c>
      <c r="E8" s="2">
        <f>Cover!$C$8</f>
        <v/>
      </c>
      <c r="G8" s="3">
        <f>IF(EXACT(D8,E8),"OK","ERROR")</f>
        <v/>
      </c>
    </row>
    <row r="9">
      <c r="B9" s="5" t="inlineStr">
        <is>
          <t>conventions</t>
        </is>
      </c>
      <c r="C9" s="2" t="inlineStr">
        <is>
          <t>Text on the Cover sheet</t>
        </is>
      </c>
      <c r="D9" s="43" t="inlineStr">
        <is>
          <t>year-end cash flows; valuation date 31 December 2027 (t = 0) for both assets; nominal dollars; Pell River after a 25 percent composite income tax; Sorrel Bay pre-tax; amounts at or above $100 million without decimals, below $100 million with one decimal unless shown otherwise</t>
        </is>
      </c>
      <c r="E9" s="2">
        <f>Cover!$C$9</f>
        <v/>
      </c>
      <c r="G9" s="3">
        <f>IF(EXACT(D9,E9),"OK","ERROR")</f>
        <v/>
      </c>
    </row>
    <row r="10">
      <c r="B10" s="5" t="inlineStr">
        <is>
          <t>units</t>
        </is>
      </c>
      <c r="C10" s="2" t="inlineStr">
        <is>
          <t>Text on the Cover sheet</t>
        </is>
      </c>
      <c r="D10" s="43" t="inlineStr">
        <is>
          <t>1 m3 = 264.2 gallons; 1 acre-foot = 1,233 m3 = 325,851 gallons; 1 MGD (million gallons a day) = 3,785 m3 a day; prices per 1,000 gallons ("per kgal"); Pell River works in gallons, Sorrel Bay in m3 with acre-feet for comparison</t>
        </is>
      </c>
      <c r="E10" s="2">
        <f>Cover!$C$10</f>
        <v/>
      </c>
      <c r="G10" s="3">
        <f>IF(EXACT(D10,E10),"OK","ERROR")</f>
        <v/>
      </c>
    </row>
    <row r="11">
      <c r="B11" s="5" t="inlineStr">
        <is>
          <t>sb_contract</t>
        </is>
      </c>
      <c r="C11" s="2" t="inlineStr">
        <is>
          <t>Text on the Cover sheet</t>
        </is>
      </c>
      <c r="D11" s="43" t="inlineStr">
        <is>
          <t>build-operate-transfer: Sorrel Bay Water LLC designs, finances, builds and operates the plant for 30 years from 1 January 2030 under a water purchase agreement with the Authority, then transfers it at no cost at the end of 2059; Kestle builds under a fixed-price, date-certain contract and operates under a long-term O&amp;M contract; delay damages cover 70 percent of lost capacity payments</t>
        </is>
      </c>
      <c r="E11" s="2">
        <f>Cover!$C$11</f>
        <v/>
      </c>
      <c r="G11" s="3">
        <f>IF(EXACT(D11,E11),"OK","ERROR")</f>
        <v/>
      </c>
    </row>
    <row r="12">
      <c r="B12" s="5" t="inlineStr">
        <is>
          <t>case_headline</t>
        </is>
      </c>
      <c r="C12" s="2" t="inlineStr">
        <is>
          <t>Price ($ million)</t>
        </is>
      </c>
      <c r="D12" s="21" t="n">
        <v>1840</v>
      </c>
      <c r="E12" s="21">
        <f>Deal!$D$6</f>
        <v/>
      </c>
      <c r="F12" s="44" t="n">
        <v>0.500000001</v>
      </c>
      <c r="G12" s="3">
        <f>IF(ISNUMBER(E12),IF(ABS(E12-D12)&lt;=F12,"OK","ERROR"),"ERROR")</f>
        <v/>
      </c>
    </row>
    <row r="13">
      <c r="B13" s="5" t="inlineStr">
        <is>
          <t>case_headline</t>
        </is>
      </c>
      <c r="C13" s="2" t="inlineStr">
        <is>
          <t>Levered IRR</t>
        </is>
      </c>
      <c r="D13" s="45" t="n">
        <v>0.0806</v>
      </c>
      <c r="E13" s="45">
        <f>Deal!$D$31</f>
        <v/>
      </c>
      <c r="F13" s="44" t="n">
        <v>5.0001e-05</v>
      </c>
      <c r="G13" s="3">
        <f>IF(ISNUMBER(E13),IF(ABS(E13-D13)&lt;=F13,"OK","ERROR"),"ERROR")</f>
        <v/>
      </c>
    </row>
    <row r="14">
      <c r="B14" s="5" t="inlineStr">
        <is>
          <t>case_headline</t>
        </is>
      </c>
      <c r="C14" s="2" t="inlineStr">
        <is>
          <t>Tariff per m3 delivered, 2030 ($)</t>
        </is>
      </c>
      <c r="D14" s="22" t="n">
        <v>1.72</v>
      </c>
      <c r="E14" s="22">
        <f>'SB_Authority'!$C$12</f>
        <v/>
      </c>
      <c r="F14" s="44" t="n">
        <v>0.005000001</v>
      </c>
      <c r="G14" s="3">
        <f>IF(ISNUMBER(E14),IF(ABS(E14-D14)&lt;=F14,"OK","ERROR"),"ERROR")</f>
        <v/>
      </c>
    </row>
    <row r="15">
      <c r="B15" s="5" t="inlineStr">
        <is>
          <t>case_headline</t>
        </is>
      </c>
      <c r="C15" s="2" t="inlineStr">
        <is>
          <t>Tariff per acre-foot ($)</t>
        </is>
      </c>
      <c r="D15" s="22" t="n">
        <v>2118</v>
      </c>
      <c r="E15" s="22">
        <f>'SB_Authority'!$C$13</f>
        <v/>
      </c>
      <c r="F15" s="44" t="n">
        <v>0.500000001</v>
      </c>
      <c r="G15" s="3">
        <f>IF(ISNUMBER(E15),IF(ABS(E15-D15)&lt;=F15,"OK","ERROR"),"ERROR")</f>
        <v/>
      </c>
    </row>
    <row r="16">
      <c r="B16" s="5" t="inlineStr">
        <is>
          <t>case_headline</t>
        </is>
      </c>
      <c r="C16" s="2" t="inlineStr">
        <is>
          <t>Capacity charge per m3 delivered ($)</t>
        </is>
      </c>
      <c r="D16" s="22" t="n">
        <v>1.09</v>
      </c>
      <c r="E16" s="22">
        <f>'SB_Authority'!$C$10</f>
        <v/>
      </c>
      <c r="F16" s="44" t="n">
        <v>0.005000001</v>
      </c>
      <c r="G16" s="3">
        <f>IF(ISNUMBER(E16),IF(ABS(E16-D16)&lt;=F16,"OK","ERROR"),"ERROR")</f>
        <v/>
      </c>
    </row>
    <row r="17">
      <c r="B17" s="5" t="inlineStr">
        <is>
          <t>case_headline</t>
        </is>
      </c>
      <c r="C17" s="2" t="inlineStr">
        <is>
          <t>Sorrel Bay capital cost ($ million)</t>
        </is>
      </c>
      <c r="D17" s="21" t="n">
        <v>550</v>
      </c>
      <c r="E17" s="21">
        <f>'SB_Capex'!$C$23</f>
        <v/>
      </c>
      <c r="F17" s="44" t="n">
        <v>0.500000001</v>
      </c>
      <c r="G17" s="3">
        <f>IF(ISNUMBER(E17),IF(ABS(E17-D17)&lt;=F17,"OK","ERROR"),"ERROR")</f>
        <v/>
      </c>
    </row>
    <row r="18">
      <c r="B18" s="5" t="inlineStr">
        <is>
          <t>pr_system</t>
        </is>
      </c>
      <c r="C18" s="2" t="inlineStr">
        <is>
          <t>Connections at closing</t>
        </is>
      </c>
      <c r="D18" s="22" t="n">
        <v>270000</v>
      </c>
      <c r="E18" s="22">
        <f>Utility!$D$6</f>
        <v/>
      </c>
      <c r="F18" s="44" t="n">
        <v>0.500000001</v>
      </c>
      <c r="G18" s="3">
        <f>IF(ISNUMBER(E18),IF(ABS(E18-D18)&lt;=F18,"OK","ERROR"),"ERROR")</f>
        <v/>
      </c>
    </row>
    <row r="19">
      <c r="B19" s="5" t="inlineStr">
        <is>
          <t>pr_mains</t>
        </is>
      </c>
      <c r="C19" s="2" t="inlineStr">
        <is>
          <t>Corliss miles a year</t>
        </is>
      </c>
      <c r="D19" s="22" t="n">
        <v>20</v>
      </c>
      <c r="E19" s="22">
        <f>'System'!$C$23</f>
        <v/>
      </c>
      <c r="F19" s="44" t="n">
        <v>0.500000001</v>
      </c>
      <c r="G19" s="3">
        <f>IF(ISNUMBER(E19),IF(ABS(E19-D19)&lt;=F19,"OK","ERROR"),"ERROR")</f>
        <v/>
      </c>
    </row>
    <row r="20">
      <c r="B20" s="5" t="inlineStr">
        <is>
          <t>pr_mains</t>
        </is>
      </c>
      <c r="C20" s="2" t="inlineStr">
        <is>
          <t>Corliss cycle (years)</t>
        </is>
      </c>
      <c r="D20" s="22" t="n">
        <v>182</v>
      </c>
      <c r="E20" s="22">
        <f>'System'!$C$24</f>
        <v/>
      </c>
      <c r="F20" s="44" t="n">
        <v>0.500000001</v>
      </c>
      <c r="G20" s="3">
        <f>IF(ISNUMBER(E20),IF(ABS(E20-D20)&lt;=F20,"OK","ERROR"),"ERROR")</f>
        <v/>
      </c>
    </row>
    <row r="21">
      <c r="B21" s="5" t="inlineStr">
        <is>
          <t>pr_mains</t>
        </is>
      </c>
      <c r="C21" s="2" t="inlineStr">
        <is>
          <t>Plan miles a year</t>
        </is>
      </c>
      <c r="D21" s="22" t="n">
        <v>36</v>
      </c>
      <c r="E21" s="22">
        <f>'System'!$C$21</f>
        <v/>
      </c>
      <c r="F21" s="44" t="n">
        <v>0.500000001</v>
      </c>
      <c r="G21" s="3">
        <f>IF(ISNUMBER(E21),IF(ABS(E21-D21)&lt;=F21,"OK","ERROR"),"ERROR")</f>
        <v/>
      </c>
    </row>
    <row r="22">
      <c r="B22" s="5" t="inlineStr">
        <is>
          <t>pr_mains</t>
        </is>
      </c>
      <c r="C22" s="2" t="inlineStr">
        <is>
          <t>Plan cycle (years)</t>
        </is>
      </c>
      <c r="D22" s="22" t="n">
        <v>100</v>
      </c>
      <c r="E22" s="22">
        <f>'System'!$C$22</f>
        <v/>
      </c>
      <c r="F22" s="44" t="n">
        <v>0.500000001</v>
      </c>
      <c r="G22" s="3">
        <f>IF(ISNUMBER(E22),IF(ABS(E22-D22)&lt;=F22,"OK","ERROR"),"ERROR")</f>
        <v/>
      </c>
    </row>
    <row r="23">
      <c r="B23" s="5" t="inlineStr">
        <is>
          <t>pr_nrw</t>
        </is>
      </c>
      <c r="C23" s="2" t="inlineStr">
        <is>
          <t>Water lost 2027 (MGD)</t>
        </is>
      </c>
      <c r="D23" s="22" t="n">
        <v>14.1</v>
      </c>
      <c r="E23" s="22">
        <f>System!$D$10</f>
        <v/>
      </c>
      <c r="F23" s="44" t="n">
        <v>0.050000001</v>
      </c>
      <c r="G23" s="3">
        <f>IF(ISNUMBER(E23),IF(ABS(E23-D23)&lt;=F23,"OK","ERROR"),"ERROR")</f>
        <v/>
      </c>
    </row>
    <row r="24">
      <c r="B24" s="5" t="inlineStr">
        <is>
          <t>pr_nrw</t>
        </is>
      </c>
      <c r="C24" s="2" t="inlineStr">
        <is>
          <t>Water produced 2027 (MGD)</t>
        </is>
      </c>
      <c r="D24" s="22" t="n">
        <v>76</v>
      </c>
      <c r="E24" s="22">
        <f>System!$D$9</f>
        <v/>
      </c>
      <c r="F24" s="44" t="n">
        <v>0.050000001</v>
      </c>
      <c r="G24" s="3">
        <f>IF(ISNUMBER(E24),IF(ABS(E24-D24)&lt;=F24,"OK","ERROR"),"ERROR")</f>
        <v/>
      </c>
    </row>
    <row r="25">
      <c r="B25" s="5" t="inlineStr">
        <is>
          <t>pr_nrw</t>
        </is>
      </c>
      <c r="C25" s="2" t="inlineStr">
        <is>
          <t>Water lost 2033 (MGD)</t>
        </is>
      </c>
      <c r="D25" s="22" t="n">
        <v>9.1</v>
      </c>
      <c r="E25" s="22">
        <f>System!$J$10</f>
        <v/>
      </c>
      <c r="F25" s="44" t="n">
        <v>0.050000001</v>
      </c>
      <c r="G25" s="3">
        <f>IF(ISNUMBER(E25),IF(ABS(E25-D25)&lt;=F25,"OK","ERROR"),"ERROR")</f>
        <v/>
      </c>
    </row>
    <row r="26">
      <c r="B26" s="5" t="inlineStr">
        <is>
          <t>pr_nrw</t>
        </is>
      </c>
      <c r="C26" s="2" t="inlineStr">
        <is>
          <t>Water produced 2033 (MGD)</t>
        </is>
      </c>
      <c r="D26" s="22" t="n">
        <v>70.3</v>
      </c>
      <c r="E26" s="22">
        <f>System!$J$9</f>
        <v/>
      </c>
      <c r="F26" s="44" t="n">
        <v>0.050000001</v>
      </c>
      <c r="G26" s="3">
        <f>IF(ISNUMBER(E26),IF(ABS(E26-D26)&lt;=F26,"OK","ERROR"),"ERROR")</f>
        <v/>
      </c>
    </row>
    <row r="27">
      <c r="B27" s="5" t="inlineStr">
        <is>
          <t>pr_billed</t>
        </is>
      </c>
      <c r="C27" s="2" t="inlineStr">
        <is>
          <t>Billed water 2027 (MGD)</t>
        </is>
      </c>
      <c r="D27" s="22" t="n">
        <v>61.9</v>
      </c>
      <c r="E27" s="22">
        <f>System!$D$8</f>
        <v/>
      </c>
      <c r="F27" s="44" t="n">
        <v>0.050000001</v>
      </c>
      <c r="G27" s="3">
        <f>IF(ISNUMBER(E27),IF(ABS(E27-D27)&lt;=F27,"OK","ERROR"),"ERROR")</f>
        <v/>
      </c>
    </row>
    <row r="28">
      <c r="B28" s="5" t="inlineStr">
        <is>
          <t>pr_billed</t>
        </is>
      </c>
      <c r="C28" s="2" t="inlineStr">
        <is>
          <t>Billed water 2037 (MGD)</t>
        </is>
      </c>
      <c r="D28" s="22" t="n">
        <v>60.7</v>
      </c>
      <c r="E28" s="22">
        <f>System!$N$8</f>
        <v/>
      </c>
      <c r="F28" s="44" t="n">
        <v>0.050000001</v>
      </c>
      <c r="G28" s="3">
        <f>IF(ISNUMBER(E28),IF(ABS(E28-D28)&lt;=F28,"OK","ERROR"),"ERROR")</f>
        <v/>
      </c>
    </row>
    <row r="29">
      <c r="B29" s="5" t="inlineStr">
        <is>
          <t>pr_intensity</t>
        </is>
      </c>
      <c r="C29" s="2" t="inlineStr">
        <is>
          <t>Revenue 2028</t>
        </is>
      </c>
      <c r="D29" s="21" t="n">
        <v>243</v>
      </c>
      <c r="E29" s="21">
        <f>Utility!$E$43</f>
        <v/>
      </c>
      <c r="F29" s="44" t="n">
        <v>0.500000001</v>
      </c>
      <c r="G29" s="3">
        <f>IF(ISNUMBER(E29),IF(ABS(E29-D29)&lt;=F29,"OK","ERROR"),"ERROR")</f>
        <v/>
      </c>
    </row>
    <row r="30">
      <c r="B30" s="5" t="inlineStr">
        <is>
          <t>pr_intensity</t>
        </is>
      </c>
      <c r="C30" s="2" t="inlineStr">
        <is>
          <t>O&amp;M 2028</t>
        </is>
      </c>
      <c r="D30" s="21" t="n">
        <v>96</v>
      </c>
      <c r="E30" s="21">
        <f>Utility!$E$46</f>
        <v/>
      </c>
      <c r="F30" s="44" t="n">
        <v>0.050000001</v>
      </c>
      <c r="G30" s="3">
        <f>IF(ISNUMBER(E30),IF(ABS(E30-D30)&lt;=F30,"OK","ERROR"),"ERROR")</f>
        <v/>
      </c>
    </row>
    <row r="31">
      <c r="B31" s="5" t="inlineStr">
        <is>
          <t>pr_intensity</t>
        </is>
      </c>
      <c r="C31" s="2" t="inlineStr">
        <is>
          <t>Other taxes 2028</t>
        </is>
      </c>
      <c r="D31" s="21" t="n">
        <v>13.8</v>
      </c>
      <c r="E31" s="21">
        <f>Utility!$E$48</f>
        <v/>
      </c>
      <c r="F31" s="44" t="n">
        <v>0.050000001</v>
      </c>
      <c r="G31" s="3">
        <f>IF(ISNUMBER(E31),IF(ABS(E31-D31)&lt;=F31,"OK","ERROR"),"ERROR")</f>
        <v/>
      </c>
    </row>
    <row r="32">
      <c r="B32" s="5" t="inlineStr">
        <is>
          <t>pr_intensity</t>
        </is>
      </c>
      <c r="C32" s="2" t="inlineStr">
        <is>
          <t>EBITDA 2028</t>
        </is>
      </c>
      <c r="D32" s="21" t="n">
        <v>133</v>
      </c>
      <c r="E32" s="21">
        <f>Utility!$E$49</f>
        <v/>
      </c>
      <c r="F32" s="44" t="n">
        <v>0.500000001</v>
      </c>
      <c r="G32" s="3">
        <f>IF(ISNUMBER(E32),IF(ABS(E32-D32)&lt;=F32,"OK","ERROR"),"ERROR")</f>
        <v/>
      </c>
    </row>
    <row r="33">
      <c r="B33" s="5" t="inlineStr">
        <is>
          <t>pr_intensity</t>
        </is>
      </c>
      <c r="C33" s="2" t="inlineStr">
        <is>
          <t>EBITDA margin 2028</t>
        </is>
      </c>
      <c r="D33" s="27" t="n">
        <v>0.55</v>
      </c>
      <c r="E33" s="27">
        <f>Utility!$E$49/Utility!$E$43</f>
        <v/>
      </c>
      <c r="F33" s="44" t="n">
        <v>0.005000001</v>
      </c>
      <c r="G33" s="3">
        <f>IF(ISNUMBER(E33),IF(ABS(E33-D33)&lt;=F33,"OK","ERROR"),"ERROR")</f>
        <v/>
      </c>
    </row>
    <row r="34">
      <c r="B34" s="5" t="inlineStr">
        <is>
          <t>pr_intensity</t>
        </is>
      </c>
      <c r="C34" s="2" t="inlineStr">
        <is>
          <t>Rate base / revenue</t>
        </is>
      </c>
      <c r="D34" s="39" t="n">
        <v>4.7</v>
      </c>
      <c r="E34" s="39">
        <f>pr_rb0/Utility!$E$43</f>
        <v/>
      </c>
      <c r="F34" s="44" t="n">
        <v>0.050000001</v>
      </c>
      <c r="G34" s="3">
        <f>IF(ISNUMBER(E34),IF(ABS(E34-D34)&lt;=F34,"OK","ERROR"),"ERROR")</f>
        <v/>
      </c>
    </row>
    <row r="35">
      <c r="B35" s="5" t="inlineStr">
        <is>
          <t>pr_intensity</t>
        </is>
      </c>
      <c r="C35" s="2" t="inlineStr">
        <is>
          <t>Capital spending / revenue</t>
        </is>
      </c>
      <c r="D35" s="27" t="n">
        <v>0.51</v>
      </c>
      <c r="E35" s="27">
        <f>'Capex'!$C$31</f>
        <v/>
      </c>
      <c r="F35" s="44" t="n">
        <v>0.005000001</v>
      </c>
      <c r="G35" s="3">
        <f>IF(ISNUMBER(E35),IF(ABS(E35-D35)&lt;=F35,"OK","ERROR"),"ERROR")</f>
        <v/>
      </c>
    </row>
    <row r="36">
      <c r="B36" s="5" t="inlineStr">
        <is>
          <t>pr_energy</t>
        </is>
      </c>
      <c r="C36" s="2" t="inlineStr">
        <is>
          <t>MWh 2028</t>
        </is>
      </c>
      <c r="D36" s="22" t="n">
        <v>65699</v>
      </c>
      <c r="E36" s="22">
        <f>System!$E$15</f>
        <v/>
      </c>
      <c r="F36" s="44" t="n">
        <v>0.500000001</v>
      </c>
      <c r="G36" s="3">
        <f>IF(ISNUMBER(E36),IF(ABS(E36-D36)&lt;=F36,"OK","ERROR"),"ERROR")</f>
        <v/>
      </c>
    </row>
    <row r="37">
      <c r="B37" s="5" t="inlineStr">
        <is>
          <t>pr_energy</t>
        </is>
      </c>
      <c r="C37" s="2" t="inlineStr">
        <is>
          <t>Tonnes of CO2 2028</t>
        </is>
      </c>
      <c r="D37" s="22" t="n">
        <v>24308</v>
      </c>
      <c r="E37" s="22">
        <f>System!$E$16</f>
        <v/>
      </c>
      <c r="F37" s="44" t="n">
        <v>0.500000001</v>
      </c>
      <c r="G37" s="3">
        <f>IF(ISNUMBER(E37),IF(ABS(E37-D37)&lt;=F37,"OK","ERROR"),"ERROR")</f>
        <v/>
      </c>
    </row>
    <row r="38">
      <c r="B38" s="5" t="inlineStr">
        <is>
          <t>pr_rb0</t>
        </is>
      </c>
      <c r="C38" s="2" t="inlineStr">
        <is>
          <t>Rate base at closing</t>
        </is>
      </c>
      <c r="D38" s="21" t="n">
        <v>1150</v>
      </c>
      <c r="E38" s="21">
        <f>pr_rb0</f>
        <v/>
      </c>
      <c r="F38" s="44" t="n">
        <v>0.500000001</v>
      </c>
      <c r="G38" s="3">
        <f>IF(ISNUMBER(E38),IF(ABS(E38-D38)&lt;=F38,"OK","ERROR"),"ERROR")</f>
        <v/>
      </c>
    </row>
    <row r="39">
      <c r="B39" s="5" t="inlineStr">
        <is>
          <t>pr_rb0</t>
        </is>
      </c>
      <c r="C39" s="2" t="inlineStr">
        <is>
          <t>Rate base per connection ($)</t>
        </is>
      </c>
      <c r="D39" s="22" t="n">
        <v>4259</v>
      </c>
      <c r="E39" s="22">
        <f>pr_rb0*1000000/Utility!$D$6</f>
        <v/>
      </c>
      <c r="F39" s="44" t="n">
        <v>0.500000001</v>
      </c>
      <c r="G39" s="3">
        <f>IF(ISNUMBER(E39),IF(ABS(E39-D39)&lt;=F39,"OK","ERROR"),"ERROR")</f>
        <v/>
      </c>
    </row>
    <row r="40">
      <c r="B40" s="5" t="inlineStr">
        <is>
          <t>pr_capital</t>
        </is>
      </c>
      <c r="C40" s="2" t="inlineStr">
        <is>
          <t>Authorized return on rate base</t>
        </is>
      </c>
      <c r="D40" s="45" t="n">
        <v>0.07099999999999999</v>
      </c>
      <c r="E40" s="45">
        <f>'RateCase'!$C$26</f>
        <v/>
      </c>
      <c r="F40" s="44" t="n">
        <v>5.0001e-05</v>
      </c>
      <c r="G40" s="3">
        <f>IF(ISNUMBER(E40),IF(ABS(E40-D40)&lt;=F40,"OK","ERROR"),"ERROR")</f>
        <v/>
      </c>
    </row>
    <row r="41">
      <c r="B41" s="5" t="inlineStr">
        <is>
          <t>pr_grossup</t>
        </is>
      </c>
      <c r="C41" s="2" t="inlineStr">
        <is>
          <t>Pre-tax return on equity</t>
        </is>
      </c>
      <c r="D41" s="45" t="n">
        <v>0.128</v>
      </c>
      <c r="E41" s="45">
        <f>'RateCase'!$C$25</f>
        <v/>
      </c>
      <c r="F41" s="44" t="n">
        <v>5.0001e-05</v>
      </c>
      <c r="G41" s="3">
        <f>IF(ISNUMBER(E41),IF(ABS(E41-D41)&lt;=F41,"OK","ERROR"),"ERROR")</f>
        <v/>
      </c>
    </row>
    <row r="42">
      <c r="B42" s="5" t="inlineStr">
        <is>
          <t>pr_grossup</t>
        </is>
      </c>
      <c r="C42" s="2" t="inlineStr">
        <is>
          <t>Gross-up on rate base</t>
        </is>
      </c>
      <c r="D42" s="45" t="n">
        <v>0.016</v>
      </c>
      <c r="E42" s="45">
        <f>'RateCase'!$C$27</f>
        <v/>
      </c>
      <c r="F42" s="44" t="n">
        <v>5.0001e-05</v>
      </c>
      <c r="G42" s="3">
        <f>IF(ISNUMBER(E42),IF(ABS(E42-D42)&lt;=F42,"OK","ERROR"),"ERROR")</f>
        <v/>
      </c>
    </row>
    <row r="43">
      <c r="B43" s="5" t="inlineStr">
        <is>
          <t>pr_grossup</t>
        </is>
      </c>
      <c r="C43" s="2" t="inlineStr">
        <is>
          <t>Return and income tax</t>
        </is>
      </c>
      <c r="D43" s="45" t="n">
        <v>0.08699999999999999</v>
      </c>
      <c r="E43" s="45">
        <f>'RateCase'!$C$28</f>
        <v/>
      </c>
      <c r="F43" s="44" t="n">
        <v>5.0001e-05</v>
      </c>
      <c r="G43" s="3">
        <f>IF(ISNUMBER(E43),IF(ABS(E43-D43)&lt;=F43,"OK","ERROR"),"ERROR")</f>
        <v/>
      </c>
    </row>
    <row r="44">
      <c r="B44" s="5" t="inlineStr">
        <is>
          <t>pr_grossup</t>
        </is>
      </c>
      <c r="C44" s="2" t="inlineStr">
        <is>
          <t>All in a year</t>
        </is>
      </c>
      <c r="D44" s="46" t="n">
        <v>0.129</v>
      </c>
      <c r="E44" s="46">
        <f>'RateCase'!$C$29</f>
        <v/>
      </c>
      <c r="F44" s="44" t="n">
        <v>0.000500001</v>
      </c>
      <c r="G44" s="3">
        <f>IF(ISNUMBER(E44),IF(ABS(E44-D44)&lt;=F44,"OK","ERROR"),"ERROR")</f>
        <v/>
      </c>
    </row>
    <row r="45">
      <c r="B45" s="5" t="inlineStr">
        <is>
          <t>pr_rc2029</t>
        </is>
      </c>
      <c r="C45" s="2" t="inlineStr">
        <is>
          <t>2029 case: rbT</t>
        </is>
      </c>
      <c r="D45" s="21" t="n">
        <v>1241</v>
      </c>
      <c r="E45" s="21">
        <f>Utility!$F$22</f>
        <v/>
      </c>
      <c r="F45" s="44" t="n">
        <v>0.500000001</v>
      </c>
      <c r="G45" s="3">
        <f>IF(ISNUMBER(E45),IF(ABS(E45-D45)&lt;=F45,"OK","ERROR"),"ERROR")</f>
        <v/>
      </c>
    </row>
    <row r="46">
      <c r="B46" s="5" t="inlineStr">
        <is>
          <t>pr_rc2029</t>
        </is>
      </c>
      <c r="C46" s="2" t="inlineStr">
        <is>
          <t>2029 case: ror_c</t>
        </is>
      </c>
      <c r="D46" s="45" t="n">
        <v>0.0716</v>
      </c>
      <c r="E46" s="45">
        <f>Utility!$F$25</f>
        <v/>
      </c>
      <c r="F46" s="44" t="n">
        <v>5.0001e-05</v>
      </c>
      <c r="G46" s="3">
        <f>IF(ISNUMBER(E46),IF(ABS(E46-D46)&lt;=F46,"OK","ERROR"),"ERROR")</f>
        <v/>
      </c>
    </row>
    <row r="47">
      <c r="B47" s="5" t="inlineStr">
        <is>
          <t>pr_rc2029</t>
        </is>
      </c>
      <c r="C47" s="2" t="inlineStr">
        <is>
          <t>2029 case: ret_c</t>
        </is>
      </c>
      <c r="D47" s="21" t="n">
        <v>88.8</v>
      </c>
      <c r="E47" s="21">
        <f>Utility!$F$26</f>
        <v/>
      </c>
      <c r="F47" s="44" t="n">
        <v>0.050000001</v>
      </c>
      <c r="G47" s="3">
        <f>IF(ISNUMBER(E47),IF(ABS(E47-D47)&lt;=F47,"OK","ERROR"),"ERROR")</f>
        <v/>
      </c>
    </row>
    <row r="48">
      <c r="B48" s="5" t="inlineStr">
        <is>
          <t>pr_rc2029</t>
        </is>
      </c>
      <c r="C48" s="2" t="inlineStr">
        <is>
          <t>2029 case: gross_c</t>
        </is>
      </c>
      <c r="D48" s="21" t="n">
        <v>19.8</v>
      </c>
      <c r="E48" s="21">
        <f>Utility!$F$27</f>
        <v/>
      </c>
      <c r="F48" s="44" t="n">
        <v>0.050000001</v>
      </c>
      <c r="G48" s="3">
        <f>IF(ISNUMBER(E48),IF(ABS(E48-D48)&lt;=F48,"OK","ERROR"),"ERROR")</f>
        <v/>
      </c>
    </row>
    <row r="49">
      <c r="B49" s="5" t="inlineStr">
        <is>
          <t>pr_rc2029</t>
        </is>
      </c>
      <c r="C49" s="2" t="inlineStr">
        <is>
          <t>2029 case: dep_c</t>
        </is>
      </c>
      <c r="D49" s="21" t="n">
        <v>37.2</v>
      </c>
      <c r="E49" s="21">
        <f>Utility!$F$28</f>
        <v/>
      </c>
      <c r="F49" s="44" t="n">
        <v>0.050000001</v>
      </c>
      <c r="G49" s="3">
        <f>IF(ISNUMBER(E49),IF(ABS(E49-D49)&lt;=F49,"OK","ERROR"),"ERROR")</f>
        <v/>
      </c>
    </row>
    <row r="50">
      <c r="B50" s="5" t="inlineStr">
        <is>
          <t>pr_rc2029</t>
        </is>
      </c>
      <c r="C50" s="2" t="inlineStr">
        <is>
          <t>2029 case: pt_c</t>
        </is>
      </c>
      <c r="D50" s="21" t="n">
        <v>14.9</v>
      </c>
      <c r="E50" s="21">
        <f>Utility!$F$29</f>
        <v/>
      </c>
      <c r="F50" s="44" t="n">
        <v>0.050000001</v>
      </c>
      <c r="G50" s="3">
        <f>IF(ISNUMBER(E50),IF(ABS(E50-D50)&lt;=F50,"OK","ERROR"),"ERROR")</f>
        <v/>
      </c>
    </row>
    <row r="51">
      <c r="B51" s="5" t="inlineStr">
        <is>
          <t>pr_rc2029</t>
        </is>
      </c>
      <c r="C51" s="2" t="inlineStr">
        <is>
          <t>2029 case: om_c</t>
        </is>
      </c>
      <c r="D51" s="21" t="n">
        <v>99.7</v>
      </c>
      <c r="E51" s="21">
        <f>Utility!$F$30</f>
        <v/>
      </c>
      <c r="F51" s="44" t="n">
        <v>0.050000001</v>
      </c>
      <c r="G51" s="3">
        <f>IF(ISNUMBER(E51),IF(ABS(E51-D51)&lt;=F51,"OK","ERROR"),"ERROR")</f>
        <v/>
      </c>
    </row>
    <row r="52">
      <c r="B52" s="5" t="inlineStr">
        <is>
          <t>pr_rc2029</t>
        </is>
      </c>
      <c r="C52" s="2" t="inlineStr">
        <is>
          <t>2029 case: rr</t>
        </is>
      </c>
      <c r="D52" s="21" t="n">
        <v>260</v>
      </c>
      <c r="E52" s="21">
        <f>Utility!$F$31</f>
        <v/>
      </c>
      <c r="F52" s="44" t="n">
        <v>0.500000001</v>
      </c>
      <c r="G52" s="3">
        <f>IF(ISNUMBER(E52),IF(ABS(E52-D52)&lt;=F52,"OK","ERROR"),"ERROR")</f>
        <v/>
      </c>
    </row>
    <row r="53">
      <c r="B53" s="5" t="inlineStr">
        <is>
          <t>pr_rc2029</t>
        </is>
      </c>
      <c r="C53" s="2" t="inlineStr">
        <is>
          <t>2029 case: rr_eff</t>
        </is>
      </c>
      <c r="D53" s="21" t="n">
        <v>262</v>
      </c>
      <c r="E53" s="21">
        <f>Utility!$F$32</f>
        <v/>
      </c>
      <c r="F53" s="44" t="n">
        <v>0.500000001</v>
      </c>
      <c r="G53" s="3">
        <f>IF(ISNUMBER(E53),IF(ABS(E53-D53)&lt;=F53,"OK","ERROR"),"ERROR")</f>
        <v/>
      </c>
    </row>
    <row r="54">
      <c r="B54" s="5" t="inlineStr">
        <is>
          <t>pr_rc2029</t>
        </is>
      </c>
      <c r="C54" s="2" t="inlineStr">
        <is>
          <t>2029 case: prior</t>
        </is>
      </c>
      <c r="D54" s="21" t="n">
        <v>243</v>
      </c>
      <c r="E54" s="21">
        <f>Utility!$F$33</f>
        <v/>
      </c>
      <c r="F54" s="44" t="n">
        <v>0.500000001</v>
      </c>
      <c r="G54" s="3">
        <f>IF(ISNUMBER(E54),IF(ABS(E54-D54)&lt;=F54,"OK","ERROR"),"ERROR")</f>
        <v/>
      </c>
    </row>
    <row r="55">
      <c r="B55" s="5" t="inlineStr">
        <is>
          <t>pr_rc2029</t>
        </is>
      </c>
      <c r="C55" s="2" t="inlineStr">
        <is>
          <t>2029 case: incr</t>
        </is>
      </c>
      <c r="D55" s="46" t="n">
        <v>0.078</v>
      </c>
      <c r="E55" s="46">
        <f>Utility!$F$34</f>
        <v/>
      </c>
      <c r="F55" s="44" t="n">
        <v>0.000500001</v>
      </c>
      <c r="G55" s="3">
        <f>IF(ISNUMBER(E55),IF(ABS(E55-D55)&lt;=F55,"OK","ERROR"),"ERROR")</f>
        <v/>
      </c>
    </row>
    <row r="56">
      <c r="B56" s="5" t="inlineStr">
        <is>
          <t>pr_rc2029</t>
        </is>
      </c>
      <c r="C56" s="2" t="inlineStr">
        <is>
          <t>2029 case: incr_ask</t>
        </is>
      </c>
      <c r="D56" s="46" t="n">
        <v>0.1</v>
      </c>
      <c r="E56" s="46">
        <f>Utility!$F$36</f>
        <v/>
      </c>
      <c r="F56" s="44" t="n">
        <v>0.000500001</v>
      </c>
      <c r="G56" s="3">
        <f>IF(ISNUMBER(E56),IF(ABS(E56-D56)&lt;=F56,"OK","ERROR"),"ERROR")</f>
        <v/>
      </c>
    </row>
    <row r="57">
      <c r="B57" s="5" t="inlineStr">
        <is>
          <t>pr_rc_all</t>
        </is>
      </c>
      <c r="C57" s="2" t="inlineStr">
        <is>
          <t>2029 increase granted</t>
        </is>
      </c>
      <c r="D57" s="46" t="n">
        <v>0.078</v>
      </c>
      <c r="E57" s="46">
        <f>Utility!$F$34</f>
        <v/>
      </c>
      <c r="F57" s="44" t="n">
        <v>0.000500001</v>
      </c>
      <c r="G57" s="3">
        <f>IF(ISNUMBER(E57),IF(ABS(E57-D57)&lt;=F57,"OK","ERROR"),"ERROR")</f>
        <v/>
      </c>
    </row>
    <row r="58">
      <c r="B58" s="5" t="inlineStr">
        <is>
          <t>pr_rc_all</t>
        </is>
      </c>
      <c r="C58" s="2" t="inlineStr">
        <is>
          <t>2029 increase requested</t>
        </is>
      </c>
      <c r="D58" s="46" t="n">
        <v>0.1</v>
      </c>
      <c r="E58" s="46">
        <f>Utility!$F$36</f>
        <v/>
      </c>
      <c r="F58" s="44" t="n">
        <v>0.000500001</v>
      </c>
      <c r="G58" s="3">
        <f>IF(ISNUMBER(E58),IF(ABS(E58-D58)&lt;=F58,"OK","ERROR"),"ERROR")</f>
        <v/>
      </c>
    </row>
    <row r="59">
      <c r="B59" s="5" t="inlineStr">
        <is>
          <t>pr_rc_kd</t>
        </is>
      </c>
      <c r="C59" s="2" t="inlineStr">
        <is>
          <t>2029 embedded cost of debt</t>
        </is>
      </c>
      <c r="D59" s="45" t="n">
        <v>0.0471</v>
      </c>
      <c r="E59" s="45">
        <f>Utility!$F$23</f>
        <v/>
      </c>
      <c r="F59" s="44" t="n">
        <v>5.0001e-05</v>
      </c>
      <c r="G59" s="3">
        <f>IF(ISNUMBER(E59),IF(ABS(E59-D59)&lt;=F59,"OK","ERROR"),"ERROR")</f>
        <v/>
      </c>
    </row>
    <row r="60">
      <c r="B60" s="5" t="inlineStr">
        <is>
          <t>pr_rc_all</t>
        </is>
      </c>
      <c r="C60" s="2" t="inlineStr">
        <is>
          <t>2031 increase granted</t>
        </is>
      </c>
      <c r="D60" s="46" t="n">
        <v>0.095</v>
      </c>
      <c r="E60" s="46">
        <f>Utility!$H$34</f>
        <v/>
      </c>
      <c r="F60" s="44" t="n">
        <v>0.000500001</v>
      </c>
      <c r="G60" s="3">
        <f>IF(ISNUMBER(E60),IF(ABS(E60-D60)&lt;=F60,"OK","ERROR"),"ERROR")</f>
        <v/>
      </c>
    </row>
    <row r="61">
      <c r="B61" s="5" t="inlineStr">
        <is>
          <t>pr_rc_all</t>
        </is>
      </c>
      <c r="C61" s="2" t="inlineStr">
        <is>
          <t>2031 increase requested</t>
        </is>
      </c>
      <c r="D61" s="46" t="n">
        <v>0.118</v>
      </c>
      <c r="E61" s="46">
        <f>Utility!$H$36</f>
        <v/>
      </c>
      <c r="F61" s="44" t="n">
        <v>0.000500001</v>
      </c>
      <c r="G61" s="3">
        <f>IF(ISNUMBER(E61),IF(ABS(E61-D61)&lt;=F61,"OK","ERROR"),"ERROR")</f>
        <v/>
      </c>
    </row>
    <row r="62">
      <c r="B62" s="5" t="inlineStr">
        <is>
          <t>pr_rc_kd</t>
        </is>
      </c>
      <c r="C62" s="2" t="inlineStr">
        <is>
          <t>2031 embedded cost of debt</t>
        </is>
      </c>
      <c r="D62" s="45" t="n">
        <v>0.0491</v>
      </c>
      <c r="E62" s="45">
        <f>Utility!$H$23</f>
        <v/>
      </c>
      <c r="F62" s="44" t="n">
        <v>5.0001e-05</v>
      </c>
      <c r="G62" s="3">
        <f>IF(ISNUMBER(E62),IF(ABS(E62-D62)&lt;=F62,"OK","ERROR"),"ERROR")</f>
        <v/>
      </c>
    </row>
    <row r="63">
      <c r="B63" s="5" t="inlineStr">
        <is>
          <t>pr_rc_all</t>
        </is>
      </c>
      <c r="C63" s="2" t="inlineStr">
        <is>
          <t>2033 increase granted</t>
        </is>
      </c>
      <c r="D63" s="46" t="n">
        <v>0.055</v>
      </c>
      <c r="E63" s="46">
        <f>Utility!$J$34</f>
        <v/>
      </c>
      <c r="F63" s="44" t="n">
        <v>0.000500001</v>
      </c>
      <c r="G63" s="3">
        <f>IF(ISNUMBER(E63),IF(ABS(E63-D63)&lt;=F63,"OK","ERROR"),"ERROR")</f>
        <v/>
      </c>
    </row>
    <row r="64">
      <c r="B64" s="5" t="inlineStr">
        <is>
          <t>pr_rc_all</t>
        </is>
      </c>
      <c r="C64" s="2" t="inlineStr">
        <is>
          <t>2033 increase requested</t>
        </is>
      </c>
      <c r="D64" s="46" t="n">
        <v>0.077</v>
      </c>
      <c r="E64" s="46">
        <f>Utility!$J$36</f>
        <v/>
      </c>
      <c r="F64" s="44" t="n">
        <v>0.000500001</v>
      </c>
      <c r="G64" s="3">
        <f>IF(ISNUMBER(E64),IF(ABS(E64-D64)&lt;=F64,"OK","ERROR"),"ERROR")</f>
        <v/>
      </c>
    </row>
    <row r="65">
      <c r="B65" s="5" t="inlineStr">
        <is>
          <t>pr_rc_kd</t>
        </is>
      </c>
      <c r="C65" s="2" t="inlineStr">
        <is>
          <t>2033 embedded cost of debt</t>
        </is>
      </c>
      <c r="D65" s="45" t="n">
        <v>0.0503</v>
      </c>
      <c r="E65" s="45">
        <f>Utility!$J$23</f>
        <v/>
      </c>
      <c r="F65" s="44" t="n">
        <v>5.0001e-05</v>
      </c>
      <c r="G65" s="3">
        <f>IF(ISNUMBER(E65),IF(ABS(E65-D65)&lt;=F65,"OK","ERROR"),"ERROR")</f>
        <v/>
      </c>
    </row>
    <row r="66">
      <c r="B66" s="5" t="inlineStr">
        <is>
          <t>pr_rc_all</t>
        </is>
      </c>
      <c r="C66" s="2" t="inlineStr">
        <is>
          <t>2035 increase granted</t>
        </is>
      </c>
      <c r="D66" s="46" t="n">
        <v>0.052</v>
      </c>
      <c r="E66" s="46">
        <f>Utility!$L$34</f>
        <v/>
      </c>
      <c r="F66" s="44" t="n">
        <v>0.000500001</v>
      </c>
      <c r="G66" s="3">
        <f>IF(ISNUMBER(E66),IF(ABS(E66-D66)&lt;=F66,"OK","ERROR"),"ERROR")</f>
        <v/>
      </c>
    </row>
    <row r="67">
      <c r="B67" s="5" t="inlineStr">
        <is>
          <t>pr_rc_all</t>
        </is>
      </c>
      <c r="C67" s="2" t="inlineStr">
        <is>
          <t>2035 increase requested</t>
        </is>
      </c>
      <c r="D67" s="46" t="n">
        <v>0.07400000000000001</v>
      </c>
      <c r="E67" s="46">
        <f>Utility!$L$36</f>
        <v/>
      </c>
      <c r="F67" s="44" t="n">
        <v>0.000500001</v>
      </c>
      <c r="G67" s="3">
        <f>IF(ISNUMBER(E67),IF(ABS(E67-D67)&lt;=F67,"OK","ERROR"),"ERROR")</f>
        <v/>
      </c>
    </row>
    <row r="68">
      <c r="B68" s="5" t="inlineStr">
        <is>
          <t>pr_rc_kd</t>
        </is>
      </c>
      <c r="C68" s="2" t="inlineStr">
        <is>
          <t>2035 embedded cost of debt</t>
        </is>
      </c>
      <c r="D68" s="45" t="n">
        <v>0.0513</v>
      </c>
      <c r="E68" s="45">
        <f>Utility!$L$23</f>
        <v/>
      </c>
      <c r="F68" s="44" t="n">
        <v>5.0001e-05</v>
      </c>
      <c r="G68" s="3">
        <f>IF(ISNUMBER(E68),IF(ABS(E68-D68)&lt;=F68,"OK","ERROR"),"ERROR")</f>
        <v/>
      </c>
    </row>
    <row r="69">
      <c r="B69" s="5" t="inlineStr">
        <is>
          <t>pr_rc_all</t>
        </is>
      </c>
      <c r="C69" s="2" t="inlineStr">
        <is>
          <t>2037 increase granted</t>
        </is>
      </c>
      <c r="D69" s="46" t="n">
        <v>0.05</v>
      </c>
      <c r="E69" s="46">
        <f>Utility!$N$34</f>
        <v/>
      </c>
      <c r="F69" s="44" t="n">
        <v>0.000500001</v>
      </c>
      <c r="G69" s="3">
        <f>IF(ISNUMBER(E69),IF(ABS(E69-D69)&lt;=F69,"OK","ERROR"),"ERROR")</f>
        <v/>
      </c>
    </row>
    <row r="70">
      <c r="B70" s="5" t="inlineStr">
        <is>
          <t>pr_rc_all</t>
        </is>
      </c>
      <c r="C70" s="2" t="inlineStr">
        <is>
          <t>2037 increase requested</t>
        </is>
      </c>
      <c r="D70" s="46" t="n">
        <v>0.07200000000000001</v>
      </c>
      <c r="E70" s="46">
        <f>Utility!$N$36</f>
        <v/>
      </c>
      <c r="F70" s="44" t="n">
        <v>0.000500001</v>
      </c>
      <c r="G70" s="3">
        <f>IF(ISNUMBER(E70),IF(ABS(E70-D70)&lt;=F70,"OK","ERROR"),"ERROR")</f>
        <v/>
      </c>
    </row>
    <row r="71">
      <c r="B71" s="5" t="inlineStr">
        <is>
          <t>pr_rc_kd</t>
        </is>
      </c>
      <c r="C71" s="2" t="inlineStr">
        <is>
          <t>2037 embedded cost of debt</t>
        </is>
      </c>
      <c r="D71" s="45" t="n">
        <v>0.0522</v>
      </c>
      <c r="E71" s="45">
        <f>Utility!$N$23</f>
        <v/>
      </c>
      <c r="F71" s="44" t="n">
        <v>5.0001e-05</v>
      </c>
      <c r="G71" s="3">
        <f>IF(ISNUMBER(E71),IF(ABS(E71-D71)&lt;=F71,"OK","ERROR"),"ERROR")</f>
        <v/>
      </c>
    </row>
    <row r="72">
      <c r="B72" s="5" t="inlineStr">
        <is>
          <t>pr_rev</t>
        </is>
      </c>
      <c r="C72" s="2" t="inlineStr">
        <is>
          <t>Revenue 2028</t>
        </is>
      </c>
      <c r="D72" s="21" t="n">
        <v>243</v>
      </c>
      <c r="E72" s="21">
        <f>Utility!$E$43</f>
        <v/>
      </c>
      <c r="F72" s="44" t="n">
        <v>0.500000001</v>
      </c>
      <c r="G72" s="3">
        <f>IF(ISNUMBER(E72),IF(ABS(E72-D72)&lt;=F72,"OK","ERROR"),"ERROR")</f>
        <v/>
      </c>
    </row>
    <row r="73">
      <c r="B73" s="5" t="inlineStr">
        <is>
          <t>pr_ni</t>
        </is>
      </c>
      <c r="C73" s="2" t="inlineStr">
        <is>
          <t>Net income 2028</t>
        </is>
      </c>
      <c r="D73" s="21" t="n">
        <v>53.2</v>
      </c>
      <c r="E73" s="21">
        <f>Utility!$E$54</f>
        <v/>
      </c>
      <c r="F73" s="44" t="n">
        <v>0.050000001</v>
      </c>
      <c r="G73" s="3">
        <f>IF(ISNUMBER(E73),IF(ABS(E73-D73)&lt;=F73,"OK","ERROR"),"ERROR")</f>
        <v/>
      </c>
    </row>
    <row r="74">
      <c r="B74" s="5" t="inlineStr">
        <is>
          <t>pr_rb_path</t>
        </is>
      </c>
      <c r="C74" s="2" t="inlineStr">
        <is>
          <t>Rate base 2028</t>
        </is>
      </c>
      <c r="D74" s="21" t="n">
        <v>1241</v>
      </c>
      <c r="E74" s="21">
        <f>Utility!$E$61</f>
        <v/>
      </c>
      <c r="F74" s="44" t="n">
        <v>0.500000001</v>
      </c>
      <c r="G74" s="3">
        <f>IF(ISNUMBER(E74),IF(ABS(E74-D74)&lt;=F74,"OK","ERROR"),"ERROR")</f>
        <v/>
      </c>
    </row>
    <row r="75">
      <c r="B75" s="5" t="inlineStr">
        <is>
          <t>pr_rev</t>
        </is>
      </c>
      <c r="C75" s="2" t="inlineStr">
        <is>
          <t>Revenue 2029</t>
        </is>
      </c>
      <c r="D75" s="21" t="n">
        <v>262</v>
      </c>
      <c r="E75" s="21">
        <f>Utility!$F$43</f>
        <v/>
      </c>
      <c r="F75" s="44" t="n">
        <v>0.500000001</v>
      </c>
      <c r="G75" s="3">
        <f>IF(ISNUMBER(E75),IF(ABS(E75-D75)&lt;=F75,"OK","ERROR"),"ERROR")</f>
        <v/>
      </c>
    </row>
    <row r="76">
      <c r="B76" s="5" t="inlineStr">
        <is>
          <t>pr_ni</t>
        </is>
      </c>
      <c r="C76" s="2" t="inlineStr">
        <is>
          <t>Net income 2029</t>
        </is>
      </c>
      <c r="D76" s="21" t="n">
        <v>59.6</v>
      </c>
      <c r="E76" s="21">
        <f>Utility!$F$54</f>
        <v/>
      </c>
      <c r="F76" s="44" t="n">
        <v>0.050000001</v>
      </c>
      <c r="G76" s="3">
        <f>IF(ISNUMBER(E76),IF(ABS(E76-D76)&lt;=F76,"OK","ERROR"),"ERROR")</f>
        <v/>
      </c>
    </row>
    <row r="77">
      <c r="B77" s="5" t="inlineStr">
        <is>
          <t>pr_rb_path</t>
        </is>
      </c>
      <c r="C77" s="2" t="inlineStr">
        <is>
          <t>Rate base 2029</t>
        </is>
      </c>
      <c r="D77" s="21" t="n">
        <v>1377</v>
      </c>
      <c r="E77" s="21">
        <f>Utility!$F$61</f>
        <v/>
      </c>
      <c r="F77" s="44" t="n">
        <v>0.500000001</v>
      </c>
      <c r="G77" s="3">
        <f>IF(ISNUMBER(E77),IF(ABS(E77-D77)&lt;=F77,"OK","ERROR"),"ERROR")</f>
        <v/>
      </c>
    </row>
    <row r="78">
      <c r="B78" s="5" t="inlineStr">
        <is>
          <t>pr_rev</t>
        </is>
      </c>
      <c r="C78" s="2" t="inlineStr">
        <is>
          <t>Revenue 2030</t>
        </is>
      </c>
      <c r="D78" s="21" t="n">
        <v>281</v>
      </c>
      <c r="E78" s="21">
        <f>Utility!$G$43</f>
        <v/>
      </c>
      <c r="F78" s="44" t="n">
        <v>0.500000001</v>
      </c>
      <c r="G78" s="3">
        <f>IF(ISNUMBER(E78),IF(ABS(E78-D78)&lt;=F78,"OK","ERROR"),"ERROR")</f>
        <v/>
      </c>
    </row>
    <row r="79">
      <c r="B79" s="5" t="inlineStr">
        <is>
          <t>pr_ni</t>
        </is>
      </c>
      <c r="C79" s="2" t="inlineStr">
        <is>
          <t>Net income 2030</t>
        </is>
      </c>
      <c r="D79" s="21" t="n">
        <v>58.7</v>
      </c>
      <c r="E79" s="21">
        <f>Utility!$G$54</f>
        <v/>
      </c>
      <c r="F79" s="44" t="n">
        <v>0.050000001</v>
      </c>
      <c r="G79" s="3">
        <f>IF(ISNUMBER(E79),IF(ABS(E79-D79)&lt;=F79,"OK","ERROR"),"ERROR")</f>
        <v/>
      </c>
    </row>
    <row r="80">
      <c r="B80" s="5" t="inlineStr">
        <is>
          <t>pr_rb_path</t>
        </is>
      </c>
      <c r="C80" s="2" t="inlineStr">
        <is>
          <t>Rate base 2030</t>
        </is>
      </c>
      <c r="D80" s="21" t="n">
        <v>1465</v>
      </c>
      <c r="E80" s="21">
        <f>Utility!$G$61</f>
        <v/>
      </c>
      <c r="F80" s="44" t="n">
        <v>0.500000001</v>
      </c>
      <c r="G80" s="3">
        <f>IF(ISNUMBER(E80),IF(ABS(E80-D80)&lt;=F80,"OK","ERROR"),"ERROR")</f>
        <v/>
      </c>
    </row>
    <row r="81">
      <c r="B81" s="5" t="inlineStr">
        <is>
          <t>pr_rev</t>
        </is>
      </c>
      <c r="C81" s="2" t="inlineStr">
        <is>
          <t>Revenue 2031</t>
        </is>
      </c>
      <c r="D81" s="21" t="n">
        <v>309</v>
      </c>
      <c r="E81" s="21">
        <f>Utility!$H$43</f>
        <v/>
      </c>
      <c r="F81" s="44" t="n">
        <v>0.500000001</v>
      </c>
      <c r="G81" s="3">
        <f>IF(ISNUMBER(E81),IF(ABS(E81-D81)&lt;=F81,"OK","ERROR"),"ERROR")</f>
        <v/>
      </c>
    </row>
    <row r="82">
      <c r="B82" s="5" t="inlineStr">
        <is>
          <t>pr_ni</t>
        </is>
      </c>
      <c r="C82" s="2" t="inlineStr">
        <is>
          <t>Net income 2031</t>
        </is>
      </c>
      <c r="D82" s="21" t="n">
        <v>71.40000000000001</v>
      </c>
      <c r="E82" s="21">
        <f>Utility!$H$54</f>
        <v/>
      </c>
      <c r="F82" s="44" t="n">
        <v>0.050000001</v>
      </c>
      <c r="G82" s="3">
        <f>IF(ISNUMBER(E82),IF(ABS(E82-D82)&lt;=F82,"OK","ERROR"),"ERROR")</f>
        <v/>
      </c>
    </row>
    <row r="83">
      <c r="B83" s="5" t="inlineStr">
        <is>
          <t>pr_rb_path</t>
        </is>
      </c>
      <c r="C83" s="2" t="inlineStr">
        <is>
          <t>Rate base 2031</t>
        </is>
      </c>
      <c r="D83" s="21" t="n">
        <v>1539</v>
      </c>
      <c r="E83" s="21">
        <f>Utility!$H$61</f>
        <v/>
      </c>
      <c r="F83" s="44" t="n">
        <v>0.500000001</v>
      </c>
      <c r="G83" s="3">
        <f>IF(ISNUMBER(E83),IF(ABS(E83-D83)&lt;=F83,"OK","ERROR"),"ERROR")</f>
        <v/>
      </c>
    </row>
    <row r="84">
      <c r="B84" s="5" t="inlineStr">
        <is>
          <t>pr_rev</t>
        </is>
      </c>
      <c r="C84" s="2" t="inlineStr">
        <is>
          <t>Revenue 2033</t>
        </is>
      </c>
      <c r="D84" s="21" t="n">
        <v>338</v>
      </c>
      <c r="E84" s="21">
        <f>Utility!$J$43</f>
        <v/>
      </c>
      <c r="F84" s="44" t="n">
        <v>0.500000001</v>
      </c>
      <c r="G84" s="3">
        <f>IF(ISNUMBER(E84),IF(ABS(E84-D84)&lt;=F84,"OK","ERROR"),"ERROR")</f>
        <v/>
      </c>
    </row>
    <row r="85">
      <c r="B85" s="5" t="inlineStr">
        <is>
          <t>pr_ni</t>
        </is>
      </c>
      <c r="C85" s="2" t="inlineStr">
        <is>
          <t>Net income 2033</t>
        </is>
      </c>
      <c r="D85" s="21" t="n">
        <v>78.59999999999999</v>
      </c>
      <c r="E85" s="21">
        <f>Utility!$J$54</f>
        <v/>
      </c>
      <c r="F85" s="44" t="n">
        <v>0.050000001</v>
      </c>
      <c r="G85" s="3">
        <f>IF(ISNUMBER(E85),IF(ABS(E85-D85)&lt;=F85,"OK","ERROR"),"ERROR")</f>
        <v/>
      </c>
    </row>
    <row r="86">
      <c r="B86" s="5" t="inlineStr">
        <is>
          <t>pr_rb_path</t>
        </is>
      </c>
      <c r="C86" s="2" t="inlineStr">
        <is>
          <t>Rate base 2033</t>
        </is>
      </c>
      <c r="D86" s="21" t="n">
        <v>1690</v>
      </c>
      <c r="E86" s="21">
        <f>Utility!$J$61</f>
        <v/>
      </c>
      <c r="F86" s="44" t="n">
        <v>0.500000001</v>
      </c>
      <c r="G86" s="3">
        <f>IF(ISNUMBER(E86),IF(ABS(E86-D86)&lt;=F86,"OK","ERROR"),"ERROR")</f>
        <v/>
      </c>
    </row>
    <row r="87">
      <c r="B87" s="5" t="inlineStr">
        <is>
          <t>pr_rev</t>
        </is>
      </c>
      <c r="C87" s="2" t="inlineStr">
        <is>
          <t>Revenue 2035</t>
        </is>
      </c>
      <c r="D87" s="21" t="n">
        <v>369</v>
      </c>
      <c r="E87" s="21">
        <f>Utility!$L$43</f>
        <v/>
      </c>
      <c r="F87" s="44" t="n">
        <v>0.500000001</v>
      </c>
      <c r="G87" s="3">
        <f>IF(ISNUMBER(E87),IF(ABS(E87-D87)&lt;=F87,"OK","ERROR"),"ERROR")</f>
        <v/>
      </c>
    </row>
    <row r="88">
      <c r="B88" s="5" t="inlineStr">
        <is>
          <t>pr_ni</t>
        </is>
      </c>
      <c r="C88" s="2" t="inlineStr">
        <is>
          <t>Net income 2035</t>
        </is>
      </c>
      <c r="D88" s="21" t="n">
        <v>86.2</v>
      </c>
      <c r="E88" s="21">
        <f>Utility!$L$54</f>
        <v/>
      </c>
      <c r="F88" s="44" t="n">
        <v>0.050000001</v>
      </c>
      <c r="G88" s="3">
        <f>IF(ISNUMBER(E88),IF(ABS(E88-D88)&lt;=F88,"OK","ERROR"),"ERROR")</f>
        <v/>
      </c>
    </row>
    <row r="89">
      <c r="B89" s="5" t="inlineStr">
        <is>
          <t>pr_rb_path</t>
        </is>
      </c>
      <c r="C89" s="2" t="inlineStr">
        <is>
          <t>Rate base 2035</t>
        </is>
      </c>
      <c r="D89" s="21" t="n">
        <v>1847</v>
      </c>
      <c r="E89" s="21">
        <f>Utility!$L$61</f>
        <v/>
      </c>
      <c r="F89" s="44" t="n">
        <v>0.500000001</v>
      </c>
      <c r="G89" s="3">
        <f>IF(ISNUMBER(E89),IF(ABS(E89-D89)&lt;=F89,"OK","ERROR"),"ERROR")</f>
        <v/>
      </c>
    </row>
    <row r="90">
      <c r="B90" s="5" t="inlineStr">
        <is>
          <t>pr_rev</t>
        </is>
      </c>
      <c r="C90" s="2" t="inlineStr">
        <is>
          <t>Revenue 2037</t>
        </is>
      </c>
      <c r="D90" s="21" t="n">
        <v>401</v>
      </c>
      <c r="E90" s="21">
        <f>Utility!$N$43</f>
        <v/>
      </c>
      <c r="F90" s="44" t="n">
        <v>0.500000001</v>
      </c>
      <c r="G90" s="3">
        <f>IF(ISNUMBER(E90),IF(ABS(E90-D90)&lt;=F90,"OK","ERROR"),"ERROR")</f>
        <v/>
      </c>
    </row>
    <row r="91">
      <c r="B91" s="5" t="inlineStr">
        <is>
          <t>pr_ni</t>
        </is>
      </c>
      <c r="C91" s="2" t="inlineStr">
        <is>
          <t>Net income 2037</t>
        </is>
      </c>
      <c r="D91" s="21" t="n">
        <v>94</v>
      </c>
      <c r="E91" s="21">
        <f>Utility!$N$54</f>
        <v/>
      </c>
      <c r="F91" s="44" t="n">
        <v>0.050000001</v>
      </c>
      <c r="G91" s="3">
        <f>IF(ISNUMBER(E91),IF(ABS(E91-D91)&lt;=F91,"OK","ERROR"),"ERROR")</f>
        <v/>
      </c>
    </row>
    <row r="92">
      <c r="B92" s="5" t="inlineStr">
        <is>
          <t>pr_rb_path</t>
        </is>
      </c>
      <c r="C92" s="2" t="inlineStr">
        <is>
          <t>Rate base 2037</t>
        </is>
      </c>
      <c r="D92" s="21" t="n">
        <v>2010</v>
      </c>
      <c r="E92" s="21">
        <f>Utility!$N$61</f>
        <v/>
      </c>
      <c r="F92" s="44" t="n">
        <v>0.500000001</v>
      </c>
      <c r="G92" s="3">
        <f>IF(ISNUMBER(E92),IF(ABS(E92-D92)&lt;=F92,"OK","ERROR"),"ERROR")</f>
        <v/>
      </c>
    </row>
    <row r="93">
      <c r="B93" s="5" t="inlineStr">
        <is>
          <t>pr_roe_path</t>
        </is>
      </c>
      <c r="C93" s="2" t="inlineStr">
        <is>
          <t>Earned ROE 2028</t>
        </is>
      </c>
      <c r="D93" s="45" t="n">
        <v>0.08890000000000001</v>
      </c>
      <c r="E93" s="45">
        <f>Utility!$E$69</f>
        <v/>
      </c>
      <c r="F93" s="44" t="n">
        <v>5.0001e-05</v>
      </c>
      <c r="G93" s="3">
        <f>IF(ISNUMBER(E93),IF(ABS(E93-D93)&lt;=F93,"OK","ERROR"),"ERROR")</f>
        <v/>
      </c>
    </row>
    <row r="94">
      <c r="B94" s="5" t="inlineStr">
        <is>
          <t>pr_roe_path</t>
        </is>
      </c>
      <c r="C94" s="2" t="inlineStr">
        <is>
          <t>Earned ROE 2029</t>
        </is>
      </c>
      <c r="D94" s="45" t="n">
        <v>0.0911</v>
      </c>
      <c r="E94" s="45">
        <f>Utility!$F$69</f>
        <v/>
      </c>
      <c r="F94" s="44" t="n">
        <v>5.0001e-05</v>
      </c>
      <c r="G94" s="3">
        <f>IF(ISNUMBER(E94),IF(ABS(E94-D94)&lt;=F94,"OK","ERROR"),"ERROR")</f>
        <v/>
      </c>
    </row>
    <row r="95">
      <c r="B95" s="5" t="inlineStr">
        <is>
          <t>pr_roe_path</t>
        </is>
      </c>
      <c r="C95" s="2" t="inlineStr">
        <is>
          <t>Earned ROE 2030</t>
        </is>
      </c>
      <c r="D95" s="45" t="n">
        <v>0.08259999999999999</v>
      </c>
      <c r="E95" s="45">
        <f>Utility!$G$69</f>
        <v/>
      </c>
      <c r="F95" s="44" t="n">
        <v>5.0001e-05</v>
      </c>
      <c r="G95" s="3">
        <f>IF(ISNUMBER(E95),IF(ABS(E95-D95)&lt;=F95,"OK","ERROR"),"ERROR")</f>
        <v/>
      </c>
    </row>
    <row r="96">
      <c r="B96" s="5" t="inlineStr">
        <is>
          <t>pr_roe_path</t>
        </is>
      </c>
      <c r="C96" s="2" t="inlineStr">
        <is>
          <t>Earned ROE 2031</t>
        </is>
      </c>
      <c r="D96" s="45" t="n">
        <v>0.095</v>
      </c>
      <c r="E96" s="45">
        <f>Utility!$H$69</f>
        <v/>
      </c>
      <c r="F96" s="44" t="n">
        <v>5.0001e-05</v>
      </c>
      <c r="G96" s="3">
        <f>IF(ISNUMBER(E96),IF(ABS(E96-D96)&lt;=F96,"OK","ERROR"),"ERROR")</f>
        <v/>
      </c>
    </row>
    <row r="97">
      <c r="B97" s="5" t="inlineStr">
        <is>
          <t>pr_roe_path</t>
        </is>
      </c>
      <c r="C97" s="2" t="inlineStr">
        <is>
          <t>Earned ROE 2032</t>
        </is>
      </c>
      <c r="D97" s="45" t="n">
        <v>0.0919</v>
      </c>
      <c r="E97" s="45">
        <f>Utility!$I$69</f>
        <v/>
      </c>
      <c r="F97" s="44" t="n">
        <v>5.0001e-05</v>
      </c>
      <c r="G97" s="3">
        <f>IF(ISNUMBER(E97),IF(ABS(E97-D97)&lt;=F97,"OK","ERROR"),"ERROR")</f>
        <v/>
      </c>
    </row>
    <row r="98">
      <c r="B98" s="5" t="inlineStr">
        <is>
          <t>pr_roe_path</t>
        </is>
      </c>
      <c r="C98" s="2" t="inlineStr">
        <is>
          <t>Earned ROE 2033</t>
        </is>
      </c>
      <c r="D98" s="45" t="n">
        <v>0.09519999999999999</v>
      </c>
      <c r="E98" s="45">
        <f>Utility!$J$69</f>
        <v/>
      </c>
      <c r="F98" s="44" t="n">
        <v>5.0001e-05</v>
      </c>
      <c r="G98" s="3">
        <f>IF(ISNUMBER(E98),IF(ABS(E98-D98)&lt;=F98,"OK","ERROR"),"ERROR")</f>
        <v/>
      </c>
    </row>
    <row r="99">
      <c r="B99" s="5" t="inlineStr">
        <is>
          <t>pr_roe_path</t>
        </is>
      </c>
      <c r="C99" s="2" t="inlineStr">
        <is>
          <t>Earned ROE 2034</t>
        </is>
      </c>
      <c r="D99" s="45" t="n">
        <v>0.0924</v>
      </c>
      <c r="E99" s="45">
        <f>Utility!$K$69</f>
        <v/>
      </c>
      <c r="F99" s="44" t="n">
        <v>5.0001e-05</v>
      </c>
      <c r="G99" s="3">
        <f>IF(ISNUMBER(E99),IF(ABS(E99-D99)&lt;=F99,"OK","ERROR"),"ERROR")</f>
        <v/>
      </c>
    </row>
    <row r="100">
      <c r="B100" s="5" t="inlineStr">
        <is>
          <t>pr_roe_path</t>
        </is>
      </c>
      <c r="C100" s="2" t="inlineStr">
        <is>
          <t>Earned ROE 2035</t>
        </is>
      </c>
      <c r="D100" s="45" t="n">
        <v>0.09539999999999998</v>
      </c>
      <c r="E100" s="45">
        <f>Utility!$L$69</f>
        <v/>
      </c>
      <c r="F100" s="44" t="n">
        <v>5.0001e-05</v>
      </c>
      <c r="G100" s="3">
        <f>IF(ISNUMBER(E100),IF(ABS(E100-D100)&lt;=F100,"OK","ERROR"),"ERROR")</f>
        <v/>
      </c>
    </row>
    <row r="101">
      <c r="B101" s="5" t="inlineStr">
        <is>
          <t>pr_roe_path</t>
        </is>
      </c>
      <c r="C101" s="2" t="inlineStr">
        <is>
          <t>Earned ROE 2036</t>
        </is>
      </c>
      <c r="D101" s="45" t="n">
        <v>0.09279999999999999</v>
      </c>
      <c r="E101" s="45">
        <f>Utility!$M$69</f>
        <v/>
      </c>
      <c r="F101" s="44" t="n">
        <v>5.0001e-05</v>
      </c>
      <c r="G101" s="3">
        <f>IF(ISNUMBER(E101),IF(ABS(E101-D101)&lt;=F101,"OK","ERROR"),"ERROR")</f>
        <v/>
      </c>
    </row>
    <row r="102">
      <c r="B102" s="5" t="inlineStr">
        <is>
          <t>pr_roe_path</t>
        </is>
      </c>
      <c r="C102" s="2" t="inlineStr">
        <is>
          <t>Earned ROE 2037</t>
        </is>
      </c>
      <c r="D102" s="45" t="n">
        <v>0.0955</v>
      </c>
      <c r="E102" s="45">
        <f>Utility!$N$69</f>
        <v/>
      </c>
      <c r="F102" s="44" t="n">
        <v>5.0001e-05</v>
      </c>
      <c r="G102" s="3">
        <f>IF(ISNUMBER(E102),IF(ABS(E102-D102)&lt;=F102,"OK","ERROR"),"ERROR")</f>
        <v/>
      </c>
    </row>
    <row r="103">
      <c r="B103" s="5" t="inlineStr">
        <is>
          <t>pr_roe_path</t>
        </is>
      </c>
      <c r="C103" s="2" t="inlineStr">
        <is>
          <t>Ten-year average</t>
        </is>
      </c>
      <c r="D103" s="45" t="n">
        <v>0.09210000000000002</v>
      </c>
      <c r="E103" s="45">
        <f>Deal!$D$51</f>
        <v/>
      </c>
      <c r="F103" s="44" t="n">
        <v>5.0001e-05</v>
      </c>
      <c r="G103" s="3">
        <f>IF(ISNUMBER(E103),IF(ABS(E103-D103)&lt;=F103,"OK","ERROR"),"ERROR")</f>
        <v/>
      </c>
    </row>
    <row r="104">
      <c r="B104" s="5" t="inlineStr">
        <is>
          <t>pr_dsic</t>
        </is>
      </c>
      <c r="C104" s="2" t="inlineStr">
        <is>
          <t>DSIC 2030</t>
        </is>
      </c>
      <c r="D104" s="21" t="n">
        <v>9.9</v>
      </c>
      <c r="E104" s="21">
        <f>Utility!$G$42</f>
        <v/>
      </c>
      <c r="F104" s="44" t="n">
        <v>0.050000001</v>
      </c>
      <c r="G104" s="3">
        <f>IF(ISNUMBER(E104),IF(ABS(E104-D104)&lt;=F104,"OK","ERROR"),"ERROR")</f>
        <v/>
      </c>
    </row>
    <row r="105">
      <c r="B105" s="5" t="inlineStr">
        <is>
          <t>pr_dsic</t>
        </is>
      </c>
      <c r="C105" s="2" t="inlineStr">
        <is>
          <t>DSIC share 2030</t>
        </is>
      </c>
      <c r="D105" s="46" t="n">
        <v>0.038</v>
      </c>
      <c r="E105" s="46">
        <f>Utility!$G$42/Utility!$G$39</f>
        <v/>
      </c>
      <c r="F105" s="44" t="n">
        <v>0.000500001</v>
      </c>
      <c r="G105" s="3">
        <f>IF(ISNUMBER(E105),IF(ABS(E105-D105)&lt;=F105,"OK","ERROR"),"ERROR")</f>
        <v/>
      </c>
    </row>
    <row r="106">
      <c r="B106" s="5" t="inlineStr">
        <is>
          <t>pr_dsic</t>
        </is>
      </c>
      <c r="C106" s="2" t="inlineStr">
        <is>
          <t>DSIC 2032</t>
        </is>
      </c>
      <c r="D106" s="21" t="n">
        <v>10.5</v>
      </c>
      <c r="E106" s="21">
        <f>Utility!$I$42</f>
        <v/>
      </c>
      <c r="F106" s="44" t="n">
        <v>0.050000001</v>
      </c>
      <c r="G106" s="3">
        <f>IF(ISNUMBER(E106),IF(ABS(E106-D106)&lt;=F106,"OK","ERROR"),"ERROR")</f>
        <v/>
      </c>
    </row>
    <row r="107">
      <c r="B107" s="5" t="inlineStr">
        <is>
          <t>pr_dsic</t>
        </is>
      </c>
      <c r="C107" s="2" t="inlineStr">
        <is>
          <t>DSIC share 2032</t>
        </is>
      </c>
      <c r="D107" s="46" t="n">
        <v>0.034</v>
      </c>
      <c r="E107" s="46">
        <f>Utility!$I$42/Utility!$I$39</f>
        <v/>
      </c>
      <c r="F107" s="44" t="n">
        <v>0.000500001</v>
      </c>
      <c r="G107" s="3">
        <f>IF(ISNUMBER(E107),IF(ABS(E107-D107)&lt;=F107,"OK","ERROR"),"ERROR")</f>
        <v/>
      </c>
    </row>
    <row r="108">
      <c r="B108" s="5" t="inlineStr">
        <is>
          <t>pr_dsic</t>
        </is>
      </c>
      <c r="C108" s="2" t="inlineStr">
        <is>
          <t>DSIC 2034</t>
        </is>
      </c>
      <c r="D108" s="21" t="n">
        <v>11.2</v>
      </c>
      <c r="E108" s="21">
        <f>Utility!$K$42</f>
        <v/>
      </c>
      <c r="F108" s="44" t="n">
        <v>0.050000001</v>
      </c>
      <c r="G108" s="3">
        <f>IF(ISNUMBER(E108),IF(ABS(E108-D108)&lt;=F108,"OK","ERROR"),"ERROR")</f>
        <v/>
      </c>
    </row>
    <row r="109">
      <c r="B109" s="5" t="inlineStr">
        <is>
          <t>pr_dsic</t>
        </is>
      </c>
      <c r="C109" s="2" t="inlineStr">
        <is>
          <t>DSIC share 2034</t>
        </is>
      </c>
      <c r="D109" s="46" t="n">
        <v>0.033</v>
      </c>
      <c r="E109" s="46">
        <f>Utility!$K$42/Utility!$K$39</f>
        <v/>
      </c>
      <c r="F109" s="44" t="n">
        <v>0.000500001</v>
      </c>
      <c r="G109" s="3">
        <f>IF(ISNUMBER(E109),IF(ABS(E109-D109)&lt;=F109,"OK","ERROR"),"ERROR")</f>
        <v/>
      </c>
    </row>
    <row r="110">
      <c r="B110" s="5" t="inlineStr">
        <is>
          <t>pr_dsic</t>
        </is>
      </c>
      <c r="C110" s="2" t="inlineStr">
        <is>
          <t>DSIC 2036</t>
        </is>
      </c>
      <c r="D110" s="21" t="n">
        <v>12</v>
      </c>
      <c r="E110" s="21">
        <f>Utility!$M$42</f>
        <v/>
      </c>
      <c r="F110" s="44" t="n">
        <v>0.050000001</v>
      </c>
      <c r="G110" s="3">
        <f>IF(ISNUMBER(E110),IF(ABS(E110-D110)&lt;=F110,"OK","ERROR"),"ERROR")</f>
        <v/>
      </c>
    </row>
    <row r="111">
      <c r="B111" s="5" t="inlineStr">
        <is>
          <t>pr_dsic</t>
        </is>
      </c>
      <c r="C111" s="2" t="inlineStr">
        <is>
          <t>DSIC share 2036</t>
        </is>
      </c>
      <c r="D111" s="46" t="n">
        <v>0.032</v>
      </c>
      <c r="E111" s="46">
        <f>Utility!$M$42/Utility!$M$39</f>
        <v/>
      </c>
      <c r="F111" s="44" t="n">
        <v>0.000500001</v>
      </c>
      <c r="G111" s="3">
        <f>IF(ISNUMBER(E111),IF(ABS(E111-D111)&lt;=F111,"OK","ERROR"),"ERROR")</f>
        <v/>
      </c>
    </row>
    <row r="112">
      <c r="B112" s="5" t="inlineStr">
        <is>
          <t>pr_lag</t>
        </is>
      </c>
      <c r="C112" s="2" t="inlineStr">
        <is>
          <t>Average ROE, base</t>
        </is>
      </c>
      <c r="D112" s="45" t="n">
        <v>0.09210000000000002</v>
      </c>
      <c r="E112" s="45">
        <f>Deal!$D$51</f>
        <v/>
      </c>
      <c r="F112" s="44" t="n">
        <v>5.0001e-05</v>
      </c>
      <c r="G112" s="3">
        <f>IF(ISNUMBER(E112),IF(ABS(E112-D112)&lt;=F112,"OK","ERROR"),"ERROR")</f>
        <v/>
      </c>
    </row>
    <row r="113">
      <c r="B113" s="5" t="inlineStr">
        <is>
          <t>pr_lag</t>
        </is>
      </c>
      <c r="C113" s="2" t="inlineStr">
        <is>
          <t>Average ROE, no DSIC</t>
        </is>
      </c>
      <c r="D113" s="45" t="n">
        <v>0.08810000000000001</v>
      </c>
      <c r="E113" s="45">
        <f>Scenarios!$D$234</f>
        <v/>
      </c>
      <c r="F113" s="44" t="n">
        <v>5.0001e-05</v>
      </c>
      <c r="G113" s="3">
        <f>IF(ISNUMBER(E113),IF(ABS(E113-D113)&lt;=F113,"OK","ERROR"),"ERROR")</f>
        <v/>
      </c>
    </row>
    <row r="114">
      <c r="B114" s="5" t="inlineStr">
        <is>
          <t>pr_lag</t>
        </is>
      </c>
      <c r="C114" s="2" t="inlineStr">
        <is>
          <t>Average ROE, three-year cycle</t>
        </is>
      </c>
      <c r="D114" s="45" t="n">
        <v>0.0827</v>
      </c>
      <c r="E114" s="45">
        <f>Scenarios!$D$312</f>
        <v/>
      </c>
      <c r="F114" s="44" t="n">
        <v>5.0001e-05</v>
      </c>
      <c r="G114" s="3">
        <f>IF(ISNUMBER(E114),IF(ABS(E114-D114)&lt;=F114,"OK","ERROR"),"ERROR")</f>
        <v/>
      </c>
    </row>
    <row r="115">
      <c r="B115" s="5" t="inlineStr">
        <is>
          <t>pr_lag</t>
        </is>
      </c>
      <c r="C115" s="2" t="inlineStr">
        <is>
          <t>IRR, base</t>
        </is>
      </c>
      <c r="D115" s="45" t="n">
        <v>0.0806</v>
      </c>
      <c r="E115" s="45">
        <f>Deal!$D$31</f>
        <v/>
      </c>
      <c r="F115" s="44" t="n">
        <v>5.0001e-05</v>
      </c>
      <c r="G115" s="3">
        <f>IF(ISNUMBER(E115),IF(ABS(E115-D115)&lt;=F115,"OK","ERROR"),"ERROR")</f>
        <v/>
      </c>
    </row>
    <row r="116">
      <c r="B116" s="5" t="inlineStr">
        <is>
          <t>pr_lag</t>
        </is>
      </c>
      <c r="C116" s="2" t="inlineStr">
        <is>
          <t>IRR, no DSIC</t>
        </is>
      </c>
      <c r="D116" s="45" t="n">
        <v>0.0781</v>
      </c>
      <c r="E116" s="45">
        <f>Scenarios!$D$233</f>
        <v/>
      </c>
      <c r="F116" s="44" t="n">
        <v>5.0001e-05</v>
      </c>
      <c r="G116" s="3">
        <f>IF(ISNUMBER(E116),IF(ABS(E116-D116)&lt;=F116,"OK","ERROR"),"ERROR")</f>
        <v/>
      </c>
    </row>
    <row r="117">
      <c r="B117" s="5" t="inlineStr">
        <is>
          <t>pr_lag</t>
        </is>
      </c>
      <c r="C117" s="2" t="inlineStr">
        <is>
          <t>IRR, three-year cycle</t>
        </is>
      </c>
      <c r="D117" s="45" t="n">
        <v>0.07480000000000001</v>
      </c>
      <c r="E117" s="45">
        <f>Scenarios!$D$311</f>
        <v/>
      </c>
      <c r="F117" s="44" t="n">
        <v>5.0001e-05</v>
      </c>
      <c r="G117" s="3">
        <f>IF(ISNUMBER(E117),IF(ABS(E117-D117)&lt;=F117,"OK","ERROR"),"ERROR")</f>
        <v/>
      </c>
    </row>
    <row r="118">
      <c r="B118" s="5" t="inlineStr">
        <is>
          <t>pr_rb_path</t>
        </is>
      </c>
      <c r="C118" s="2" t="inlineStr">
        <is>
          <t>Growth a year 2027 to 2037</t>
        </is>
      </c>
      <c r="D118" s="46" t="n">
        <v>0.057</v>
      </c>
      <c r="E118" s="46">
        <f>Deal!$D$48</f>
        <v/>
      </c>
      <c r="F118" s="44" t="n">
        <v>0.000500001</v>
      </c>
      <c r="G118" s="3">
        <f>IF(ISNUMBER(E118),IF(ABS(E118-D118)&lt;=F118,"OK","ERROR"),"ERROR")</f>
        <v/>
      </c>
    </row>
    <row r="119">
      <c r="B119" s="5" t="inlineStr">
        <is>
          <t>pr_debt</t>
        </is>
      </c>
      <c r="C119" s="2" t="inlineStr">
        <is>
          <t>Debt at closing</t>
        </is>
      </c>
      <c r="D119" s="21" t="n">
        <v>575</v>
      </c>
      <c r="E119" s="21">
        <f>Deal!$D$9</f>
        <v/>
      </c>
      <c r="F119" s="44" t="n">
        <v>0.500000001</v>
      </c>
      <c r="G119" s="3">
        <f>IF(ISNUMBER(E119),IF(ABS(E119-D119)&lt;=F119,"OK","ERROR"),"ERROR")</f>
        <v/>
      </c>
    </row>
    <row r="120">
      <c r="B120" s="5" t="inlineStr">
        <is>
          <t>pr_debt</t>
        </is>
      </c>
      <c r="C120" s="2" t="inlineStr">
        <is>
          <t>Debt end 2037</t>
        </is>
      </c>
      <c r="D120" s="21" t="n">
        <v>1005</v>
      </c>
      <c r="E120" s="21">
        <f>Utility!$N$63</f>
        <v/>
      </c>
      <c r="F120" s="44" t="n">
        <v>0.500000001</v>
      </c>
      <c r="G120" s="3">
        <f>IF(ISNUMBER(E120),IF(ABS(E120-D120)&lt;=F120,"OK","ERROR"),"ERROR")</f>
        <v/>
      </c>
    </row>
    <row r="121">
      <c r="B121" s="5" t="inlineStr">
        <is>
          <t>pr_debt</t>
        </is>
      </c>
      <c r="C121" s="2" t="inlineStr">
        <is>
          <t>Embedded cost 2037</t>
        </is>
      </c>
      <c r="D121" s="45" t="n">
        <v>0.0526</v>
      </c>
      <c r="E121" s="45">
        <f>Utility!$N$65</f>
        <v/>
      </c>
      <c r="F121" s="44" t="n">
        <v>5.0001e-05</v>
      </c>
      <c r="G121" s="3">
        <f>IF(ISNUMBER(E121),IF(ABS(E121-D121)&lt;=F121,"OK","ERROR"),"ERROR")</f>
        <v/>
      </c>
    </row>
    <row r="122">
      <c r="B122" s="5" t="inlineStr">
        <is>
          <t>fen_fmv</t>
        </is>
      </c>
      <c r="C122" s="2" t="inlineStr">
        <is>
          <t>Price per connection ($)</t>
        </is>
      </c>
      <c r="D122" s="22" t="n">
        <v>3833</v>
      </c>
      <c r="E122" s="22">
        <f>'Fennick'!$C$7</f>
        <v/>
      </c>
      <c r="F122" s="44" t="n">
        <v>0.500000001</v>
      </c>
      <c r="G122" s="3">
        <f>IF(ISNUMBER(E122),IF(ABS(E122-D122)&lt;=F122,"OK","ERROR"),"ERROR")</f>
        <v/>
      </c>
    </row>
    <row r="123">
      <c r="B123" s="5" t="inlineStr">
        <is>
          <t>fen_fmv</t>
        </is>
      </c>
      <c r="C123" s="2" t="inlineStr">
        <is>
          <t>Original cost per connection ($)</t>
        </is>
      </c>
      <c r="D123" s="22" t="n">
        <v>2292</v>
      </c>
      <c r="E123" s="22">
        <f>'Fennick'!$C$9</f>
        <v/>
      </c>
      <c r="F123" s="44" t="n">
        <v>0.500000001</v>
      </c>
      <c r="G123" s="3">
        <f>IF(ISNUMBER(E123),IF(ABS(E123-D123)&lt;=F123,"OK","ERROR"),"ERROR")</f>
        <v/>
      </c>
    </row>
    <row r="124">
      <c r="B124" s="5" t="inlineStr">
        <is>
          <t>fen_fmv</t>
        </is>
      </c>
      <c r="C124" s="2" t="inlineStr">
        <is>
          <t>Price / original cost</t>
        </is>
      </c>
      <c r="D124" s="39" t="n">
        <v>1.67</v>
      </c>
      <c r="E124" s="39">
        <f>'Fennick'!$C$10</f>
        <v/>
      </c>
      <c r="F124" s="44" t="n">
        <v>0.005000001</v>
      </c>
      <c r="G124" s="3">
        <f>IF(ISNUMBER(E124),IF(ABS(E124-D124)&lt;=F124,"OK","ERROR"),"ERROR")</f>
        <v/>
      </c>
    </row>
    <row r="125">
      <c r="B125" s="5" t="inlineStr">
        <is>
          <t>fen_premium</t>
        </is>
      </c>
      <c r="C125" s="2" t="inlineStr">
        <is>
          <t>Premium</t>
        </is>
      </c>
      <c r="D125" s="21" t="n">
        <v>18.5</v>
      </c>
      <c r="E125" s="21">
        <f>'Fennick'!$C$11</f>
        <v/>
      </c>
      <c r="F125" s="44" t="n">
        <v>0.050000001</v>
      </c>
      <c r="G125" s="3">
        <f>IF(ISNUMBER(E125),IF(ABS(E125-D125)&lt;=F125,"OK","ERROR"),"ERROR")</f>
        <v/>
      </c>
    </row>
    <row r="126">
      <c r="B126" s="5" t="inlineStr">
        <is>
          <t>fen_premium</t>
        </is>
      </c>
      <c r="C126" s="2" t="inlineStr">
        <is>
          <t>Revenue requirement of the premium</t>
        </is>
      </c>
      <c r="D126" s="21" t="n">
        <v>2.5</v>
      </c>
      <c r="E126" s="21">
        <f>'Fennick'!$C$13</f>
        <v/>
      </c>
      <c r="F126" s="44" t="n">
        <v>0.050000001</v>
      </c>
      <c r="G126" s="3">
        <f>IF(ISNUMBER(E126),IF(ABS(E126-D126)&lt;=F126,"OK","ERROR"),"ERROR")</f>
        <v/>
      </c>
    </row>
    <row r="127">
      <c r="B127" s="5" t="inlineStr">
        <is>
          <t>fen_premium</t>
        </is>
      </c>
      <c r="C127" s="2" t="inlineStr">
        <is>
          <t>Per Fennick connection a month ($)</t>
        </is>
      </c>
      <c r="D127" s="22" t="n">
        <v>17.22</v>
      </c>
      <c r="E127" s="22">
        <f>'Fennick'!$C$14</f>
        <v/>
      </c>
      <c r="F127" s="44" t="n">
        <v>0.005000001</v>
      </c>
      <c r="G127" s="3">
        <f>IF(ISNUMBER(E127),IF(ABS(E127-D127)&lt;=F127,"OK","ERROR"),"ERROR")</f>
        <v/>
      </c>
    </row>
    <row r="128">
      <c r="B128" s="5" t="inlineStr">
        <is>
          <t>fen_premium</t>
        </is>
      </c>
      <c r="C128" s="2" t="inlineStr">
        <is>
          <t>Per system connection a month ($)</t>
        </is>
      </c>
      <c r="D128" s="22" t="n">
        <v>0.73</v>
      </c>
      <c r="E128" s="22">
        <f>'Fennick'!$C$15</f>
        <v/>
      </c>
      <c r="F128" s="44" t="n">
        <v>0.005000001</v>
      </c>
      <c r="G128" s="3">
        <f>IF(ISNUMBER(E128),IF(ABS(E128-D128)&lt;=F128,"OK","ERROR"),"ERROR")</f>
        <v/>
      </c>
    </row>
    <row r="129">
      <c r="B129" s="5" t="inlineStr">
        <is>
          <t>fen_ops</t>
        </is>
      </c>
      <c r="C129" s="2" t="inlineStr">
        <is>
          <t>Fennick revenue 2030</t>
        </is>
      </c>
      <c r="D129" s="21" t="n">
        <v>8.4</v>
      </c>
      <c r="E129" s="21">
        <f>Utility!$G$40</f>
        <v/>
      </c>
      <c r="F129" s="44" t="n">
        <v>0.050000001</v>
      </c>
      <c r="G129" s="3">
        <f>IF(ISNUMBER(E129),IF(ABS(E129-D129)&lt;=F129,"OK","ERROR"),"ERROR")</f>
        <v/>
      </c>
    </row>
    <row r="130">
      <c r="B130" s="5" t="inlineStr">
        <is>
          <t>fen_ops</t>
        </is>
      </c>
      <c r="C130" s="2" t="inlineStr">
        <is>
          <t>Fennick capital spending 2030</t>
        </is>
      </c>
      <c r="D130" s="21" t="n">
        <v>2.6</v>
      </c>
      <c r="E130" s="21">
        <f>Utility!$G$14</f>
        <v/>
      </c>
      <c r="F130" s="44" t="n">
        <v>0.050000001</v>
      </c>
      <c r="G130" s="3">
        <f>IF(ISNUMBER(E130),IF(ABS(E130-D130)&lt;=F130,"OK","ERROR"),"ERROR")</f>
        <v/>
      </c>
    </row>
    <row r="131">
      <c r="B131" s="5" t="inlineStr">
        <is>
          <t>capex_2028</t>
        </is>
      </c>
      <c r="C131" s="2" t="inlineStr">
        <is>
          <t>Total 2028</t>
        </is>
      </c>
      <c r="D131" s="21" t="n">
        <v>125</v>
      </c>
      <c r="E131" s="21">
        <f>Utility!$E$15</f>
        <v/>
      </c>
      <c r="F131" s="44" t="n">
        <v>0.500000001</v>
      </c>
      <c r="G131" s="3">
        <f>IF(ISNUMBER(E131),IF(ABS(E131-D131)&lt;=F131,"OK","ERROR"),"ERROR")</f>
        <v/>
      </c>
    </row>
    <row r="132">
      <c r="B132" s="5" t="inlineStr">
        <is>
          <t>capex_2028</t>
        </is>
      </c>
      <c r="C132" s="2" t="inlineStr">
        <is>
          <t>cx_ren 2028</t>
        </is>
      </c>
      <c r="D132" s="21" t="n">
        <v>68.40000000000001</v>
      </c>
      <c r="E132" s="21">
        <f>Utility!$E$10</f>
        <v/>
      </c>
      <c r="F132" s="44" t="n">
        <v>0.050000001</v>
      </c>
      <c r="G132" s="3">
        <f>IF(ISNUMBER(E132),IF(ABS(E132-D132)&lt;=F132,"OK","ERROR"),"ERROR")</f>
        <v/>
      </c>
    </row>
    <row r="133">
      <c r="B133" s="5" t="inlineStr">
        <is>
          <t>capex_2028</t>
        </is>
      </c>
      <c r="C133" s="2" t="inlineStr">
        <is>
          <t>cx_oth 2028</t>
        </is>
      </c>
      <c r="D133" s="21" t="n">
        <v>24</v>
      </c>
      <c r="E133" s="21">
        <f>Utility!$E$11</f>
        <v/>
      </c>
      <c r="F133" s="44" t="n">
        <v>0.050000001</v>
      </c>
      <c r="G133" s="3">
        <f>IF(ISNUMBER(E133),IF(ABS(E133-D133)&lt;=F133,"OK","ERROR"),"ERROR")</f>
        <v/>
      </c>
    </row>
    <row r="134">
      <c r="B134" s="5" t="inlineStr">
        <is>
          <t>capex_2028</t>
        </is>
      </c>
      <c r="C134" s="2" t="inlineStr">
        <is>
          <t>cx_pfas 2028</t>
        </is>
      </c>
      <c r="D134" s="21" t="n">
        <v>20</v>
      </c>
      <c r="E134" s="21">
        <f>Utility!$E$12</f>
        <v/>
      </c>
      <c r="F134" s="44" t="n">
        <v>0.050000001</v>
      </c>
      <c r="G134" s="3">
        <f>IF(ISNUMBER(E134),IF(ABS(E134-D134)&lt;=F134,"OK","ERROR"),"ERROR")</f>
        <v/>
      </c>
    </row>
    <row r="135">
      <c r="B135" s="5" t="inlineStr">
        <is>
          <t>capex_2028</t>
        </is>
      </c>
      <c r="C135" s="2" t="inlineStr">
        <is>
          <t>cx_lead 2028</t>
        </is>
      </c>
      <c r="D135" s="21" t="n">
        <v>12.7</v>
      </c>
      <c r="E135" s="21">
        <f>Utility!$E$13</f>
        <v/>
      </c>
      <c r="F135" s="44" t="n">
        <v>0.050000001</v>
      </c>
      <c r="G135" s="3">
        <f>IF(ISNUMBER(E135),IF(ABS(E135-D135)&lt;=F135,"OK","ERROR"),"ERROR")</f>
        <v/>
      </c>
    </row>
    <row r="136">
      <c r="B136" s="5" t="inlineStr">
        <is>
          <t>capex_total</t>
        </is>
      </c>
      <c r="C136" s="2" t="inlineStr">
        <is>
          <t>Capital spending 2028 to 2037</t>
        </is>
      </c>
      <c r="D136" s="21" t="n">
        <v>1291</v>
      </c>
      <c r="E136" s="21">
        <f>'Capex'!$C$18</f>
        <v/>
      </c>
      <c r="F136" s="44" t="n">
        <v>0.500000001</v>
      </c>
      <c r="G136" s="3">
        <f>IF(ISNUMBER(E136),IF(ABS(E136-D136)&lt;=F136,"OK","ERROR"),"ERROR")</f>
        <v/>
      </c>
    </row>
    <row r="137">
      <c r="B137" s="5" t="inlineStr">
        <is>
          <t>capex_total</t>
        </is>
      </c>
      <c r="C137" s="2" t="inlineStr">
        <is>
          <t>Depreciation 2028 to 2037</t>
        </is>
      </c>
      <c r="D137" s="21" t="n">
        <v>468</v>
      </c>
      <c r="E137" s="21">
        <f>'Capex'!$C$19</f>
        <v/>
      </c>
      <c r="F137" s="44" t="n">
        <v>0.500000001</v>
      </c>
      <c r="G137" s="3">
        <f>IF(ISNUMBER(E137),IF(ABS(E137-D137)&lt;=F137,"OK","ERROR"),"ERROR")</f>
        <v/>
      </c>
    </row>
    <row r="138">
      <c r="B138" s="5" t="inlineStr">
        <is>
          <t>capex_total</t>
        </is>
      </c>
      <c r="C138" s="2" t="inlineStr">
        <is>
          <t>Ratio</t>
        </is>
      </c>
      <c r="D138" s="39" t="n">
        <v>2.8</v>
      </c>
      <c r="E138" s="39">
        <f>'Capex'!$C$20</f>
        <v/>
      </c>
      <c r="F138" s="44" t="n">
        <v>0.050000001</v>
      </c>
      <c r="G138" s="3">
        <f>IF(ISNUMBER(E138),IF(ABS(E138-D138)&lt;=F138,"OK","ERROR"),"ERROR")</f>
        <v/>
      </c>
    </row>
    <row r="139">
      <c r="B139" s="5" t="inlineStr">
        <is>
          <t>capex_years</t>
        </is>
      </c>
      <c r="C139" s="2" t="inlineStr">
        <is>
          <t>Capital spending 2028</t>
        </is>
      </c>
      <c r="D139" s="21" t="n">
        <v>125</v>
      </c>
      <c r="E139" s="21">
        <f>Utility!$E$15</f>
        <v/>
      </c>
      <c r="F139" s="44" t="n">
        <v>0.500000001</v>
      </c>
      <c r="G139" s="3">
        <f>IF(ISNUMBER(E139),IF(ABS(E139-D139)&lt;=F139,"OK","ERROR"),"ERROR")</f>
        <v/>
      </c>
    </row>
    <row r="140">
      <c r="B140" s="5" t="inlineStr">
        <is>
          <t>capex_years</t>
        </is>
      </c>
      <c r="C140" s="2" t="inlineStr">
        <is>
          <t>Capital spending 2029</t>
        </is>
      </c>
      <c r="D140" s="21" t="n">
        <v>136</v>
      </c>
      <c r="E140" s="21">
        <f>Utility!$F$15</f>
        <v/>
      </c>
      <c r="F140" s="44" t="n">
        <v>0.500000001</v>
      </c>
      <c r="G140" s="3">
        <f>IF(ISNUMBER(E140),IF(ABS(E140-D140)&lt;=F140,"OK","ERROR"),"ERROR")</f>
        <v/>
      </c>
    </row>
    <row r="141">
      <c r="B141" s="5" t="inlineStr">
        <is>
          <t>capex_years</t>
        </is>
      </c>
      <c r="C141" s="2" t="inlineStr">
        <is>
          <t>Capital spending 2030</t>
        </is>
      </c>
      <c r="D141" s="21" t="n">
        <v>130</v>
      </c>
      <c r="E141" s="21">
        <f>Utility!$G$15</f>
        <v/>
      </c>
      <c r="F141" s="44" t="n">
        <v>0.500000001</v>
      </c>
      <c r="G141" s="3">
        <f>IF(ISNUMBER(E141),IF(ABS(E141-D141)&lt;=F141,"OK","ERROR"),"ERROR")</f>
        <v/>
      </c>
    </row>
    <row r="142">
      <c r="B142" s="5" t="inlineStr">
        <is>
          <t>capex_years</t>
        </is>
      </c>
      <c r="C142" s="2" t="inlineStr">
        <is>
          <t>Capital spending 2031</t>
        </is>
      </c>
      <c r="D142" s="21" t="n">
        <v>117</v>
      </c>
      <c r="E142" s="21">
        <f>Utility!$H$15</f>
        <v/>
      </c>
      <c r="F142" s="44" t="n">
        <v>0.500000001</v>
      </c>
      <c r="G142" s="3">
        <f>IF(ISNUMBER(E142),IF(ABS(E142-D142)&lt;=F142,"OK","ERROR"),"ERROR")</f>
        <v/>
      </c>
    </row>
    <row r="143">
      <c r="B143" s="5" t="inlineStr">
        <is>
          <t>capex_years</t>
        </is>
      </c>
      <c r="C143" s="2" t="inlineStr">
        <is>
          <t>Capital spending 2032</t>
        </is>
      </c>
      <c r="D143" s="21" t="n">
        <v>121</v>
      </c>
      <c r="E143" s="21">
        <f>Utility!$I$15</f>
        <v/>
      </c>
      <c r="F143" s="44" t="n">
        <v>0.500000001</v>
      </c>
      <c r="G143" s="3">
        <f>IF(ISNUMBER(E143),IF(ABS(E143-D143)&lt;=F143,"OK","ERROR"),"ERROR")</f>
        <v/>
      </c>
    </row>
    <row r="144">
      <c r="B144" s="5" t="inlineStr">
        <is>
          <t>capex_years</t>
        </is>
      </c>
      <c r="C144" s="2" t="inlineStr">
        <is>
          <t>Capital spending 2033</t>
        </is>
      </c>
      <c r="D144" s="21" t="n">
        <v>125</v>
      </c>
      <c r="E144" s="21">
        <f>Utility!$J$15</f>
        <v/>
      </c>
      <c r="F144" s="44" t="n">
        <v>0.500000001</v>
      </c>
      <c r="G144" s="3">
        <f>IF(ISNUMBER(E144),IF(ABS(E144-D144)&lt;=F144,"OK","ERROR"),"ERROR")</f>
        <v/>
      </c>
    </row>
    <row r="145">
      <c r="B145" s="5" t="inlineStr">
        <is>
          <t>capex_years</t>
        </is>
      </c>
      <c r="C145" s="2" t="inlineStr">
        <is>
          <t>Capital spending 2034</t>
        </is>
      </c>
      <c r="D145" s="21" t="n">
        <v>128</v>
      </c>
      <c r="E145" s="21">
        <f>Utility!$K$15</f>
        <v/>
      </c>
      <c r="F145" s="44" t="n">
        <v>0.500000001</v>
      </c>
      <c r="G145" s="3">
        <f>IF(ISNUMBER(E145),IF(ABS(E145-D145)&lt;=F145,"OK","ERROR"),"ERROR")</f>
        <v/>
      </c>
    </row>
    <row r="146">
      <c r="B146" s="5" t="inlineStr">
        <is>
          <t>capex_years</t>
        </is>
      </c>
      <c r="C146" s="2" t="inlineStr">
        <is>
          <t>Capital spending 2035</t>
        </is>
      </c>
      <c r="D146" s="21" t="n">
        <v>132</v>
      </c>
      <c r="E146" s="21">
        <f>Utility!$L$15</f>
        <v/>
      </c>
      <c r="F146" s="44" t="n">
        <v>0.500000001</v>
      </c>
      <c r="G146" s="3">
        <f>IF(ISNUMBER(E146),IF(ABS(E146-D146)&lt;=F146,"OK","ERROR"),"ERROR")</f>
        <v/>
      </c>
    </row>
    <row r="147">
      <c r="B147" s="5" t="inlineStr">
        <is>
          <t>capex_years</t>
        </is>
      </c>
      <c r="C147" s="2" t="inlineStr">
        <is>
          <t>Capital spending 2036</t>
        </is>
      </c>
      <c r="D147" s="21" t="n">
        <v>136</v>
      </c>
      <c r="E147" s="21">
        <f>Utility!$M$15</f>
        <v/>
      </c>
      <c r="F147" s="44" t="n">
        <v>0.500000001</v>
      </c>
      <c r="G147" s="3">
        <f>IF(ISNUMBER(E147),IF(ABS(E147-D147)&lt;=F147,"OK","ERROR"),"ERROR")</f>
        <v/>
      </c>
    </row>
    <row r="148">
      <c r="B148" s="5" t="inlineStr">
        <is>
          <t>capex_years</t>
        </is>
      </c>
      <c r="C148" s="2" t="inlineStr">
        <is>
          <t>Capital spending 2037</t>
        </is>
      </c>
      <c r="D148" s="21" t="n">
        <v>140</v>
      </c>
      <c r="E148" s="21">
        <f>Utility!$N$15</f>
        <v/>
      </c>
      <c r="F148" s="44" t="n">
        <v>0.500000001</v>
      </c>
      <c r="G148" s="3">
        <f>IF(ISNUMBER(E148),IF(ABS(E148-D148)&lt;=F148,"OK","ERROR"),"ERROR")</f>
        <v/>
      </c>
    </row>
    <row r="149">
      <c r="B149" s="5" t="inlineStr">
        <is>
          <t>pfas_program</t>
        </is>
      </c>
      <c r="C149" s="2" t="inlineStr">
        <is>
          <t>PFAS capital cost</t>
        </is>
      </c>
      <c r="D149" s="21" t="n">
        <v>64</v>
      </c>
      <c r="E149" s="21">
        <f>'Capex'!$C$21</f>
        <v/>
      </c>
      <c r="F149" s="44" t="n">
        <v>0.050000001</v>
      </c>
      <c r="G149" s="3">
        <f>IF(ISNUMBER(E149),IF(ABS(E149-D149)&lt;=F149,"OK","ERROR"),"ERROR")</f>
        <v/>
      </c>
    </row>
    <row r="150">
      <c r="B150" s="5" t="inlineStr">
        <is>
          <t>pfas_program</t>
        </is>
      </c>
      <c r="C150" s="2" t="inlineStr">
        <is>
          <t>Per well ($ million)</t>
        </is>
      </c>
      <c r="D150" s="22" t="n">
        <v>4.57</v>
      </c>
      <c r="E150" s="22">
        <f>'Capex'!$C$23</f>
        <v/>
      </c>
      <c r="F150" s="44" t="n">
        <v>0.005000001</v>
      </c>
      <c r="G150" s="3">
        <f>IF(ISNUMBER(E150),IF(ABS(E150-D150)&lt;=F150,"OK","ERROR"),"ERROR")</f>
        <v/>
      </c>
    </row>
    <row r="151">
      <c r="B151" s="5" t="inlineStr">
        <is>
          <t>pfas_settlement</t>
        </is>
      </c>
      <c r="C151" s="2" t="inlineStr">
        <is>
          <t>Net of settlement</t>
        </is>
      </c>
      <c r="D151" s="21" t="n">
        <v>55</v>
      </c>
      <c r="E151" s="21">
        <f>'Capex'!$C$22</f>
        <v/>
      </c>
      <c r="F151" s="44" t="n">
        <v>0.050000001</v>
      </c>
      <c r="G151" s="3">
        <f>IF(ISNUMBER(E151),IF(ABS(E151-D151)&lt;=F151,"OK","ERROR"),"ERROR")</f>
        <v/>
      </c>
    </row>
    <row r="152">
      <c r="B152" s="5" t="inlineStr">
        <is>
          <t>pfas_bill</t>
        </is>
      </c>
      <c r="C152" s="2" t="inlineStr">
        <is>
          <t>Revenue requirement a year</t>
        </is>
      </c>
      <c r="D152" s="21" t="n">
        <v>10.3</v>
      </c>
      <c r="E152" s="21">
        <f>'Capex'!$C$25</f>
        <v/>
      </c>
      <c r="F152" s="44" t="n">
        <v>0.050000001</v>
      </c>
      <c r="G152" s="3">
        <f>IF(ISNUMBER(E152),IF(ABS(E152-D152)&lt;=F152,"OK","ERROR"),"ERROR")</f>
        <v/>
      </c>
    </row>
    <row r="153">
      <c r="B153" s="5" t="inlineStr">
        <is>
          <t>pfas_bill</t>
        </is>
      </c>
      <c r="C153" s="2" t="inlineStr">
        <is>
          <t>Carrying charge</t>
        </is>
      </c>
      <c r="D153" s="46" t="n">
        <v>0.129</v>
      </c>
      <c r="E153" s="46">
        <f>'Capex'!$C$24</f>
        <v/>
      </c>
      <c r="F153" s="44" t="n">
        <v>0.000500001</v>
      </c>
      <c r="G153" s="3">
        <f>IF(ISNUMBER(E153),IF(ABS(E153-D153)&lt;=F153,"OK","ERROR"),"ERROR")</f>
        <v/>
      </c>
    </row>
    <row r="154">
      <c r="B154" s="5" t="inlineStr">
        <is>
          <t>pfas_bill</t>
        </is>
      </c>
      <c r="C154" s="2" t="inlineStr">
        <is>
          <t>Per water connection a month ($)</t>
        </is>
      </c>
      <c r="D154" s="22" t="n">
        <v>4.18</v>
      </c>
      <c r="E154" s="22">
        <f>'Capex'!$C$26</f>
        <v/>
      </c>
      <c r="F154" s="44" t="n">
        <v>0.005000001</v>
      </c>
      <c r="G154" s="3">
        <f>IF(ISNUMBER(E154),IF(ABS(E154-D154)&lt;=F154,"OK","ERROR"),"ERROR")</f>
        <v/>
      </c>
    </row>
    <row r="155">
      <c r="B155" s="5" t="inlineStr">
        <is>
          <t>pfas_delay</t>
        </is>
      </c>
      <c r="C155" s="2" t="inlineStr">
        <is>
          <t>IRR with the delay</t>
        </is>
      </c>
      <c r="D155" s="45" t="n">
        <v>0.0808</v>
      </c>
      <c r="E155" s="45">
        <f>Scenarios!$D$857</f>
        <v/>
      </c>
      <c r="F155" s="44" t="n">
        <v>5.0001e-05</v>
      </c>
      <c r="G155" s="3">
        <f>IF(ISNUMBER(E155),IF(ABS(E155-D155)&lt;=F155,"OK","ERROR"),"ERROR")</f>
        <v/>
      </c>
    </row>
    <row r="156">
      <c r="B156" s="5" t="inlineStr">
        <is>
          <t>pfas_delay</t>
        </is>
      </c>
      <c r="C156" s="2" t="inlineStr">
        <is>
          <t>Rate base at exit with the delay</t>
        </is>
      </c>
      <c r="D156" s="21" t="n">
        <v>2016</v>
      </c>
      <c r="E156" s="21">
        <f>Scenarios!$D$861</f>
        <v/>
      </c>
      <c r="F156" s="44" t="n">
        <v>0.500000001</v>
      </c>
      <c r="G156" s="3">
        <f>IF(ISNUMBER(E156),IF(ABS(E156-D156)&lt;=F156,"OK","ERROR"),"ERROR")</f>
        <v/>
      </c>
    </row>
    <row r="157">
      <c r="B157" s="5" t="inlineStr">
        <is>
          <t>lead_program</t>
        </is>
      </c>
      <c r="C157" s="2" t="inlineStr">
        <is>
          <t>Lines a year</t>
        </is>
      </c>
      <c r="D157" s="22" t="n">
        <v>1150</v>
      </c>
      <c r="E157" s="22">
        <f>'Capex'!$C$27</f>
        <v/>
      </c>
      <c r="F157" s="44" t="n">
        <v>0.500000001</v>
      </c>
      <c r="G157" s="3">
        <f>IF(ISNUMBER(E157),IF(ABS(E157-D157)&lt;=F157,"OK","ERROR"),"ERROR")</f>
        <v/>
      </c>
    </row>
    <row r="158">
      <c r="B158" s="5" t="inlineStr">
        <is>
          <t>lead_program</t>
        </is>
      </c>
      <c r="C158" s="2" t="inlineStr">
        <is>
          <t>Lead 2028</t>
        </is>
      </c>
      <c r="D158" s="21" t="n">
        <v>12.7</v>
      </c>
      <c r="E158" s="21">
        <f>'Capex'!$C$28</f>
        <v/>
      </c>
      <c r="F158" s="44" t="n">
        <v>0.050000001</v>
      </c>
      <c r="G158" s="3">
        <f>IF(ISNUMBER(E158),IF(ABS(E158-D158)&lt;=F158,"OK","ERROR"),"ERROR")</f>
        <v/>
      </c>
    </row>
    <row r="159">
      <c r="B159" s="5" t="inlineStr">
        <is>
          <t>lead_program</t>
        </is>
      </c>
      <c r="C159" s="2" t="inlineStr">
        <is>
          <t>Lead over ten years</t>
        </is>
      </c>
      <c r="D159" s="21" t="n">
        <v>145</v>
      </c>
      <c r="E159" s="21">
        <f>'Capex'!$C$29</f>
        <v/>
      </c>
      <c r="F159" s="44" t="n">
        <v>0.500000001</v>
      </c>
      <c r="G159" s="3">
        <f>IF(ISNUMBER(E159),IF(ABS(E159-D159)&lt;=F159,"OK","ERROR"),"ERROR")</f>
        <v/>
      </c>
    </row>
    <row r="160">
      <c r="B160" s="5" t="inlineStr">
        <is>
          <t>lead_program</t>
        </is>
      </c>
      <c r="C160" s="2" t="inlineStr">
        <is>
          <t>Customer side</t>
        </is>
      </c>
      <c r="D160" s="21" t="n">
        <v>79.8</v>
      </c>
      <c r="E160" s="21">
        <f>'Capex'!$C$30</f>
        <v/>
      </c>
      <c r="F160" s="44" t="n">
        <v>0.050000001</v>
      </c>
      <c r="G160" s="3">
        <f>IF(ISNUMBER(E160),IF(ABS(E160-D160)&lt;=F160,"OK","ERROR"),"ERROR")</f>
        <v/>
      </c>
    </row>
    <row r="161">
      <c r="B161" s="5" t="inlineStr">
        <is>
          <t>lead_risk</t>
        </is>
      </c>
      <c r="C161" s="2" t="inlineStr">
        <is>
          <t>Average ROE, lead expensed</t>
        </is>
      </c>
      <c r="D161" s="45" t="n">
        <v>0.08500000000000001</v>
      </c>
      <c r="E161" s="45">
        <f>Scenarios!$D$624</f>
        <v/>
      </c>
      <c r="F161" s="44" t="n">
        <v>5.0001e-05</v>
      </c>
      <c r="G161" s="3">
        <f>IF(ISNUMBER(E161),IF(ABS(E161-D161)&lt;=F161,"OK","ERROR"),"ERROR")</f>
        <v/>
      </c>
    </row>
    <row r="162">
      <c r="B162" s="5" t="inlineStr">
        <is>
          <t>lead_risk</t>
        </is>
      </c>
      <c r="C162" s="2" t="inlineStr">
        <is>
          <t>IRR, lead expensed</t>
        </is>
      </c>
      <c r="D162" s="45" t="n">
        <v>0.0672</v>
      </c>
      <c r="E162" s="45">
        <f>Scenarios!$D$623</f>
        <v/>
      </c>
      <c r="F162" s="44" t="n">
        <v>5.0001e-05</v>
      </c>
      <c r="G162" s="3">
        <f>IF(ISNUMBER(E162),IF(ABS(E162-D162)&lt;=F162,"OK","ERROR"),"ERROR")</f>
        <v/>
      </c>
    </row>
    <row r="163">
      <c r="B163" s="5" t="inlineStr">
        <is>
          <t>lead_risk</t>
        </is>
      </c>
      <c r="C163" s="2" t="inlineStr">
        <is>
          <t>Value at target, base</t>
        </is>
      </c>
      <c r="D163" s="21" t="n">
        <v>1845</v>
      </c>
      <c r="E163" s="21">
        <f>Deal!$D$39</f>
        <v/>
      </c>
      <c r="F163" s="44" t="n">
        <v>0.500000001</v>
      </c>
      <c r="G163" s="3">
        <f>IF(ISNUMBER(E163),IF(ABS(E163-D163)&lt;=F163,"OK","ERROR"),"ERROR")</f>
        <v/>
      </c>
    </row>
    <row r="164">
      <c r="B164" s="5" t="inlineStr">
        <is>
          <t>lead_risk</t>
        </is>
      </c>
      <c r="C164" s="2" t="inlineStr">
        <is>
          <t>Value at target, lead expensed</t>
        </is>
      </c>
      <c r="D164" s="21" t="n">
        <v>1734</v>
      </c>
      <c r="E164" s="21">
        <f>Scenarios!$D$625</f>
        <v/>
      </c>
      <c r="F164" s="44" t="n">
        <v>0.500000001</v>
      </c>
      <c r="G164" s="3">
        <f>IF(ISNUMBER(E164),IF(ABS(E164-D164)&lt;=F164,"OK","ERROR"),"ERROR")</f>
        <v/>
      </c>
    </row>
    <row r="165">
      <c r="B165" s="5" t="inlineStr">
        <is>
          <t>disallow</t>
        </is>
      </c>
      <c r="C165" s="2" t="inlineStr">
        <is>
          <t>IRR, 10 percent disallowed</t>
        </is>
      </c>
      <c r="D165" s="45" t="n">
        <v>0.07820000000000001</v>
      </c>
      <c r="E165" s="45">
        <f>Scenarios!$D$545</f>
        <v/>
      </c>
      <c r="F165" s="44" t="n">
        <v>5.0001e-05</v>
      </c>
      <c r="G165" s="3">
        <f>IF(ISNUMBER(E165),IF(ABS(E165-D165)&lt;=F165,"OK","ERROR"),"ERROR")</f>
        <v/>
      </c>
    </row>
    <row r="166">
      <c r="B166" s="5" t="inlineStr">
        <is>
          <t>disallow</t>
        </is>
      </c>
      <c r="C166" s="2" t="inlineStr">
        <is>
          <t>Value at target, 10 percent disallowed</t>
        </is>
      </c>
      <c r="D166" s="21" t="n">
        <v>1825</v>
      </c>
      <c r="E166" s="21">
        <f>Scenarios!$D$547</f>
        <v/>
      </c>
      <c r="F166" s="44" t="n">
        <v>0.500000001</v>
      </c>
      <c r="G166" s="3">
        <f>IF(ISNUMBER(E166),IF(ABS(E166-D166)&lt;=F166,"OK","ERROR"),"ERROR")</f>
        <v/>
      </c>
    </row>
    <row r="167">
      <c r="B167" s="5" t="inlineStr">
        <is>
          <t>fen_concession</t>
        </is>
      </c>
      <c r="C167" s="2" t="inlineStr">
        <is>
          <t>Upfront fee</t>
        </is>
      </c>
      <c r="D167" s="21" t="n">
        <v>49.6</v>
      </c>
      <c r="E167" s="21">
        <f>Fennick!$I$18</f>
        <v/>
      </c>
      <c r="F167" s="44" t="n">
        <v>0.050000001</v>
      </c>
      <c r="G167" s="3">
        <f>IF(ISNUMBER(E167),IF(ABS(E167-D167)&lt;=F167,"OK","ERROR"),"ERROR")</f>
        <v/>
      </c>
    </row>
    <row r="168">
      <c r="B168" s="5" t="inlineStr">
        <is>
          <t>fen_concession</t>
        </is>
      </c>
      <c r="C168" s="2" t="inlineStr">
        <is>
          <t>First-year cash flow</t>
        </is>
      </c>
      <c r="D168" s="21" t="n">
        <v>1.9</v>
      </c>
      <c r="E168" s="21">
        <f>Fennick!$I$19</f>
        <v/>
      </c>
      <c r="F168" s="44" t="n">
        <v>0.050000001</v>
      </c>
      <c r="G168" s="3">
        <f>IF(ISNUMBER(E168),IF(ABS(E168-D168)&lt;=F168,"OK","ERROR"),"ERROR")</f>
        <v/>
      </c>
    </row>
    <row r="169">
      <c r="B169" s="5" t="inlineStr">
        <is>
          <t>fen_concession</t>
        </is>
      </c>
      <c r="C169" s="2" t="inlineStr">
        <is>
          <t>Year-40 cash flow</t>
        </is>
      </c>
      <c r="D169" s="21" t="n">
        <v>18.6</v>
      </c>
      <c r="E169" s="21">
        <f>Fennick!$I$20</f>
        <v/>
      </c>
      <c r="F169" s="44" t="n">
        <v>0.050000001</v>
      </c>
      <c r="G169" s="3">
        <f>IF(ISNUMBER(E169),IF(ABS(E169-D169)&lt;=F169,"OK","ERROR"),"ERROR")</f>
        <v/>
      </c>
    </row>
    <row r="170">
      <c r="B170" s="5" t="inlineStr">
        <is>
          <t>fen_concession</t>
        </is>
      </c>
      <c r="C170" s="2" t="inlineStr">
        <is>
          <t>Year-40 revenue</t>
        </is>
      </c>
      <c r="D170" s="21" t="n">
        <v>39.2</v>
      </c>
      <c r="E170" s="21">
        <f>Fennick!$I$21</f>
        <v/>
      </c>
      <c r="F170" s="44" t="n">
        <v>0.050000001</v>
      </c>
      <c r="G170" s="3">
        <f>IF(ISNUMBER(E170),IF(ABS(E170-D170)&lt;=F170,"OK","ERROR"),"ERROR")</f>
        <v/>
      </c>
    </row>
    <row r="171">
      <c r="B171" s="5" t="inlineStr">
        <is>
          <t>cost_capital</t>
        </is>
      </c>
      <c r="C171" s="2" t="inlineStr">
        <is>
          <t>Investor-owned per $100</t>
        </is>
      </c>
      <c r="D171" s="22" t="n">
        <v>8.699999999999999</v>
      </c>
      <c r="E171" s="22">
        <f>'CostOfCapital'!$C$7</f>
        <v/>
      </c>
      <c r="F171" s="44" t="n">
        <v>0.005000001</v>
      </c>
      <c r="G171" s="3">
        <f>IF(ISNUMBER(E171),IF(ABS(E171-D171)&lt;=F171,"OK","ERROR"),"ERROR")</f>
        <v/>
      </c>
    </row>
    <row r="172">
      <c r="B172" s="5" t="inlineStr">
        <is>
          <t>cost_capital</t>
        </is>
      </c>
      <c r="C172" s="2" t="inlineStr">
        <is>
          <t>Of which return</t>
        </is>
      </c>
      <c r="D172" s="22" t="n">
        <v>7.1</v>
      </c>
      <c r="E172" s="22">
        <f>'CostOfCapital'!$C$8</f>
        <v/>
      </c>
      <c r="F172" s="44" t="n">
        <v>0.005000001</v>
      </c>
      <c r="G172" s="3">
        <f>IF(ISNUMBER(E172),IF(ABS(E172-D172)&lt;=F172,"OK","ERROR"),"ERROR")</f>
        <v/>
      </c>
    </row>
    <row r="173">
      <c r="B173" s="5" t="inlineStr">
        <is>
          <t>cost_capital</t>
        </is>
      </c>
      <c r="C173" s="2" t="inlineStr">
        <is>
          <t>Of which income tax</t>
        </is>
      </c>
      <c r="D173" s="22" t="n">
        <v>1.6</v>
      </c>
      <c r="E173" s="22">
        <f>'CostOfCapital'!$C$9</f>
        <v/>
      </c>
      <c r="F173" s="44" t="n">
        <v>0.005000001</v>
      </c>
      <c r="G173" s="3">
        <f>IF(ISNUMBER(E173),IF(ABS(E173-D173)&lt;=F173,"OK","ERROR"),"ERROR")</f>
        <v/>
      </c>
    </row>
    <row r="174">
      <c r="B174" s="5" t="inlineStr">
        <is>
          <t>cost_capital</t>
        </is>
      </c>
      <c r="C174" s="2" t="inlineStr">
        <is>
          <t>Municipal per $100</t>
        </is>
      </c>
      <c r="D174" s="22" t="n">
        <v>4.2</v>
      </c>
      <c r="E174" s="22">
        <f>'CostOfCapital'!$C$10</f>
        <v/>
      </c>
      <c r="F174" s="44" t="n">
        <v>0.005000001</v>
      </c>
      <c r="G174" s="3">
        <f>IF(ISNUMBER(E174),IF(ABS(E174-D174)&lt;=F174,"OK","ERROR"),"ERROR")</f>
        <v/>
      </c>
    </row>
    <row r="175">
      <c r="B175" s="5" t="inlineStr">
        <is>
          <t>cost_capital</t>
        </is>
      </c>
      <c r="C175" s="2" t="inlineStr">
        <is>
          <t>Municipal with coverage</t>
        </is>
      </c>
      <c r="D175" s="22" t="n">
        <v>5.25</v>
      </c>
      <c r="E175" s="22">
        <f>'CostOfCapital'!$C$11</f>
        <v/>
      </c>
      <c r="F175" s="44" t="n">
        <v>0.005000001</v>
      </c>
      <c r="G175" s="3">
        <f>IF(ISNUMBER(E175),IF(ABS(E175-D175)&lt;=F175,"OK","ERROR"),"ERROR")</f>
        <v/>
      </c>
    </row>
    <row r="176">
      <c r="B176" s="5" t="inlineStr">
        <is>
          <t>sb_plant</t>
        </is>
      </c>
      <c r="C176" s="2" t="inlineStr">
        <is>
          <t>Capacity (MGD)</t>
        </is>
      </c>
      <c r="D176" s="22" t="n">
        <v>39.6</v>
      </c>
      <c r="E176" s="22">
        <f>'SB_Capex'!$C$7</f>
        <v/>
      </c>
      <c r="F176" s="44" t="n">
        <v>0.050000001</v>
      </c>
      <c r="G176" s="3">
        <f>IF(ISNUMBER(E176),IF(ABS(E176-D176)&lt;=F176,"OK","ERROR"),"ERROR")</f>
        <v/>
      </c>
    </row>
    <row r="177">
      <c r="B177" s="5" t="inlineStr">
        <is>
          <t>sb_plant</t>
        </is>
      </c>
      <c r="C177" s="2" t="inlineStr">
        <is>
          <t>Seawater in (m3 a day)</t>
        </is>
      </c>
      <c r="D177" s="22" t="n">
        <v>333333</v>
      </c>
      <c r="E177" s="22">
        <f>'SB_Capex'!$C$8</f>
        <v/>
      </c>
      <c r="F177" s="44" t="n">
        <v>0.500000001</v>
      </c>
      <c r="G177" s="3">
        <f>IF(ISNUMBER(E177),IF(ABS(E177-D177)&lt;=F177,"OK","ERROR"),"ERROR")</f>
        <v/>
      </c>
    </row>
    <row r="178">
      <c r="B178" s="5" t="inlineStr">
        <is>
          <t>sb_plant</t>
        </is>
      </c>
      <c r="C178" s="2" t="inlineStr">
        <is>
          <t>Brine (m3 a day)</t>
        </is>
      </c>
      <c r="D178" s="22" t="n">
        <v>183333</v>
      </c>
      <c r="E178" s="22">
        <f>'SB_Capex'!$C$9</f>
        <v/>
      </c>
      <c r="F178" s="44" t="n">
        <v>0.500000001</v>
      </c>
      <c r="G178" s="3">
        <f>IF(ISNUMBER(E178),IF(ABS(E178-D178)&lt;=F178,"OK","ERROR"),"ERROR")</f>
        <v/>
      </c>
    </row>
    <row r="179">
      <c r="B179" s="5" t="inlineStr">
        <is>
          <t>sb_plant</t>
        </is>
      </c>
      <c r="C179" s="2" t="inlineStr">
        <is>
          <t>Delivered (million m3 a year)</t>
        </is>
      </c>
      <c r="D179" s="22" t="n">
        <v>44.7</v>
      </c>
      <c r="E179" s="22">
        <f>'SB_Capex'!$C$11</f>
        <v/>
      </c>
      <c r="F179" s="44" t="n">
        <v>0.050000001</v>
      </c>
      <c r="G179" s="3">
        <f>IF(ISNUMBER(E179),IF(ABS(E179-D179)&lt;=F179,"OK","ERROR"),"ERROR")</f>
        <v/>
      </c>
    </row>
    <row r="180">
      <c r="B180" s="5" t="inlineStr">
        <is>
          <t>sb_plant</t>
        </is>
      </c>
      <c r="C180" s="2" t="inlineStr">
        <is>
          <t>Delivered (m3 a day)</t>
        </is>
      </c>
      <c r="D180" s="22" t="n">
        <v>122400</v>
      </c>
      <c r="E180" s="22">
        <f>'SB_Capex'!$C$12</f>
        <v/>
      </c>
      <c r="F180" s="44" t="n">
        <v>0.500000001</v>
      </c>
      <c r="G180" s="3">
        <f>IF(ISNUMBER(E180),IF(ABS(E180-D180)&lt;=F180,"OK","ERROR"),"ERROR")</f>
        <v/>
      </c>
    </row>
    <row r="181">
      <c r="B181" s="5" t="inlineStr">
        <is>
          <t>sb_plant</t>
        </is>
      </c>
      <c r="C181" s="2" t="inlineStr">
        <is>
          <t>Delivered (MGD)</t>
        </is>
      </c>
      <c r="D181" s="22" t="n">
        <v>32.3</v>
      </c>
      <c r="E181" s="22">
        <f>'SB_Capex'!$C$13</f>
        <v/>
      </c>
      <c r="F181" s="44" t="n">
        <v>0.050000001</v>
      </c>
      <c r="G181" s="3">
        <f>IF(ISNUMBER(E181),IF(ABS(E181-D181)&lt;=F181,"OK","ERROR"),"ERROR")</f>
        <v/>
      </c>
    </row>
    <row r="182">
      <c r="B182" s="5" t="inlineStr">
        <is>
          <t>sb_plant</t>
        </is>
      </c>
      <c r="C182" s="2" t="inlineStr">
        <is>
          <t>Delivered (acre-feet)</t>
        </is>
      </c>
      <c r="D182" s="22" t="n">
        <v>36219</v>
      </c>
      <c r="E182" s="22">
        <f>'SB_Capex'!$C$14</f>
        <v/>
      </c>
      <c r="F182" s="44" t="n">
        <v>0.500000001</v>
      </c>
      <c r="G182" s="3">
        <f>IF(ISNUMBER(E182),IF(ABS(E182-D182)&lt;=F182,"OK","ERROR"),"ERROR")</f>
        <v/>
      </c>
    </row>
    <row r="183">
      <c r="B183" s="5" t="inlineStr">
        <is>
          <t>sb_capex</t>
        </is>
      </c>
      <c r="C183" s="2" t="inlineStr">
        <is>
          <t>Total</t>
        </is>
      </c>
      <c r="D183" s="21" t="n">
        <v>550</v>
      </c>
      <c r="E183" s="21">
        <f>'SB_Capex'!$C$23</f>
        <v/>
      </c>
      <c r="F183" s="44" t="n">
        <v>0.500000001</v>
      </c>
      <c r="G183" s="3">
        <f>IF(ISNUMBER(E183),IF(ABS(E183-D183)&lt;=F183,"OK","ERROR"),"ERROR")</f>
        <v/>
      </c>
    </row>
    <row r="184">
      <c r="B184" s="5" t="inlineStr">
        <is>
          <t>sb_capex</t>
        </is>
      </c>
      <c r="C184" s="2" t="inlineStr">
        <is>
          <t>Plant</t>
        </is>
      </c>
      <c r="D184" s="21" t="n">
        <v>300</v>
      </c>
      <c r="E184" s="21">
        <f>'SB_Capex'!$C$17</f>
        <v/>
      </c>
      <c r="F184" s="44" t="n">
        <v>0.500000001</v>
      </c>
      <c r="G184" s="3">
        <f>IF(ISNUMBER(E184),IF(ABS(E184-D184)&lt;=F184,"OK","ERROR"),"ERROR")</f>
        <v/>
      </c>
    </row>
    <row r="185">
      <c r="B185" s="5" t="inlineStr">
        <is>
          <t>sb_capex</t>
        </is>
      </c>
      <c r="C185" s="2" t="inlineStr">
        <is>
          <t>Marine</t>
        </is>
      </c>
      <c r="D185" s="21" t="n">
        <v>95</v>
      </c>
      <c r="E185" s="21">
        <f>'SB_Capex'!$C$18</f>
        <v/>
      </c>
      <c r="F185" s="44" t="n">
        <v>0.050000001</v>
      </c>
      <c r="G185" s="3">
        <f>IF(ISNUMBER(E185),IF(ABS(E185-D185)&lt;=F185,"OK","ERROR"),"ERROR")</f>
        <v/>
      </c>
    </row>
    <row r="186">
      <c r="B186" s="5" t="inlineStr">
        <is>
          <t>sb_capex</t>
        </is>
      </c>
      <c r="C186" s="2" t="inlineStr">
        <is>
          <t>Conveyance</t>
        </is>
      </c>
      <c r="D186" s="21" t="n">
        <v>62</v>
      </c>
      <c r="E186" s="21">
        <f>'SB_Capex'!$C$19</f>
        <v/>
      </c>
      <c r="F186" s="44" t="n">
        <v>0.050000001</v>
      </c>
      <c r="G186" s="3">
        <f>IF(ISNUMBER(E186),IF(ABS(E186-D186)&lt;=F186,"OK","ERROR"),"ERROR")</f>
        <v/>
      </c>
    </row>
    <row r="187">
      <c r="B187" s="5" t="inlineStr">
        <is>
          <t>sb_capex</t>
        </is>
      </c>
      <c r="C187" s="2" t="inlineStr">
        <is>
          <t>Grid</t>
        </is>
      </c>
      <c r="D187" s="21" t="n">
        <v>15</v>
      </c>
      <c r="E187" s="21">
        <f>'SB_Capex'!$C$20</f>
        <v/>
      </c>
      <c r="F187" s="44" t="n">
        <v>0.050000001</v>
      </c>
      <c r="G187" s="3">
        <f>IF(ISNUMBER(E187),IF(ABS(E187-D187)&lt;=F187,"OK","ERROR"),"ERROR")</f>
        <v/>
      </c>
    </row>
    <row r="188">
      <c r="B188" s="5" t="inlineStr">
        <is>
          <t>sb_capex</t>
        </is>
      </c>
      <c r="C188" s="2" t="inlineStr">
        <is>
          <t>Development</t>
        </is>
      </c>
      <c r="D188" s="21" t="n">
        <v>30</v>
      </c>
      <c r="E188" s="21">
        <f>'SB_Capex'!$C$21</f>
        <v/>
      </c>
      <c r="F188" s="44" t="n">
        <v>0.050000001</v>
      </c>
      <c r="G188" s="3">
        <f>IF(ISNUMBER(E188),IF(ABS(E188-D188)&lt;=F188,"OK","ERROR"),"ERROR")</f>
        <v/>
      </c>
    </row>
    <row r="189">
      <c r="B189" s="5" t="inlineStr">
        <is>
          <t>sb_capex</t>
        </is>
      </c>
      <c r="C189" s="2" t="inlineStr">
        <is>
          <t>Financing</t>
        </is>
      </c>
      <c r="D189" s="21" t="n">
        <v>48</v>
      </c>
      <c r="E189" s="21">
        <f>'SB_Capex'!$C$22</f>
        <v/>
      </c>
      <c r="F189" s="44" t="n">
        <v>0.050000001</v>
      </c>
      <c r="G189" s="3">
        <f>IF(ISNUMBER(E189),IF(ABS(E189-D189)&lt;=F189,"OK","ERROR"),"ERROR")</f>
        <v/>
      </c>
    </row>
    <row r="190">
      <c r="B190" s="5" t="inlineStr">
        <is>
          <t>sb_capex_unit</t>
        </is>
      </c>
      <c r="C190" s="2" t="inlineStr">
        <is>
          <t>Per m3 a day ($)</t>
        </is>
      </c>
      <c r="D190" s="22" t="n">
        <v>3667</v>
      </c>
      <c r="E190" s="22">
        <f>'SB_Capex'!$C$26</f>
        <v/>
      </c>
      <c r="F190" s="44" t="n">
        <v>0.500000001</v>
      </c>
      <c r="G190" s="3">
        <f>IF(ISNUMBER(E190),IF(ABS(E190-D190)&lt;=F190,"OK","ERROR"),"ERROR")</f>
        <v/>
      </c>
    </row>
    <row r="191">
      <c r="B191" s="5" t="inlineStr">
        <is>
          <t>sb_capex_unit</t>
        </is>
      </c>
      <c r="C191" s="2" t="inlineStr">
        <is>
          <t>Per gallon a day ($)</t>
        </is>
      </c>
      <c r="D191" s="22" t="n">
        <v>13.88</v>
      </c>
      <c r="E191" s="22">
        <f>'SB_Capex'!$C$27</f>
        <v/>
      </c>
      <c r="F191" s="44" t="n">
        <v>0.005000001</v>
      </c>
      <c r="G191" s="3">
        <f>IF(ISNUMBER(E191),IF(ABS(E191-D191)&lt;=F191,"OK","ERROR"),"ERROR")</f>
        <v/>
      </c>
    </row>
    <row r="192">
      <c r="B192" s="5" t="inlineStr">
        <is>
          <t>sb_capex_unit</t>
        </is>
      </c>
      <c r="C192" s="2" t="inlineStr">
        <is>
          <t>Plant per m3 a day ($)</t>
        </is>
      </c>
      <c r="D192" s="22" t="n">
        <v>2000</v>
      </c>
      <c r="E192" s="22">
        <f>'SB_Capex'!$C$28</f>
        <v/>
      </c>
      <c r="F192" s="44" t="n">
        <v>0.500000001</v>
      </c>
      <c r="G192" s="3">
        <f>IF(ISNUMBER(E192),IF(ABS(E192-D192)&lt;=F192,"OK","ERROR"),"ERROR")</f>
        <v/>
      </c>
    </row>
    <row r="193">
      <c r="B193" s="5" t="inlineStr">
        <is>
          <t>sb_capex_unit</t>
        </is>
      </c>
      <c r="C193" s="2" t="inlineStr">
        <is>
          <t>Marine and conveyance share</t>
        </is>
      </c>
      <c r="D193" s="27" t="n">
        <v>0.29</v>
      </c>
      <c r="E193" s="27">
        <f>'SB_Capex'!$C$29</f>
        <v/>
      </c>
      <c r="F193" s="44" t="n">
        <v>0.005000001</v>
      </c>
      <c r="G193" s="3">
        <f>IF(ISNUMBER(E193),IF(ABS(E193-D193)&lt;=F193,"OK","ERROR"),"ERROR")</f>
        <v/>
      </c>
    </row>
    <row r="194">
      <c r="B194" s="5" t="inlineStr">
        <is>
          <t>sb_payment</t>
        </is>
      </c>
      <c r="C194" s="2" t="inlineStr">
        <is>
          <t>Payment factor at 92 percent</t>
        </is>
      </c>
      <c r="D194" s="47" t="n">
        <v>0.9370000000000001</v>
      </c>
      <c r="E194" s="47">
        <f>'SB_Ops'!$D$58</f>
        <v/>
      </c>
      <c r="F194" s="44" t="n">
        <v>0.000500001</v>
      </c>
      <c r="G194" s="3">
        <f>IF(ISNUMBER(E194),IF(ABS(E194-D194)&lt;=F194,"OK","ERROR"),"ERROR")</f>
        <v/>
      </c>
    </row>
    <row r="195">
      <c r="B195" s="5" t="inlineStr">
        <is>
          <t>sb_tariff</t>
        </is>
      </c>
      <c r="C195" s="2" t="inlineStr">
        <is>
          <t>Capacity charge ($ per m3 of capacity)</t>
        </is>
      </c>
      <c r="D195" s="38" t="n">
        <v>0.9388</v>
      </c>
      <c r="E195" s="38">
        <f>'SB_Authority'!$C$6</f>
        <v/>
      </c>
      <c r="F195" s="44" t="n">
        <v>5.0001e-05</v>
      </c>
      <c r="G195" s="3">
        <f>IF(ISNUMBER(E195),IF(ABS(E195-D195)&lt;=F195,"OK","ERROR"),"ERROR")</f>
        <v/>
      </c>
    </row>
    <row r="196">
      <c r="B196" s="5" t="inlineStr">
        <is>
          <t>sb_tariff</t>
        </is>
      </c>
      <c r="C196" s="2" t="inlineStr">
        <is>
          <t>Fixed O&amp;M charge</t>
        </is>
      </c>
      <c r="D196" s="38" t="n">
        <v>0.2596</v>
      </c>
      <c r="E196" s="38">
        <f>'SB_Authority'!$C$7</f>
        <v/>
      </c>
      <c r="F196" s="44" t="n">
        <v>5.0001e-05</v>
      </c>
      <c r="G196" s="3">
        <f>IF(ISNUMBER(E196),IF(ABS(E196-D196)&lt;=F196,"OK","ERROR"),"ERROR")</f>
        <v/>
      </c>
    </row>
    <row r="197">
      <c r="B197" s="5" t="inlineStr">
        <is>
          <t>sb_tariff</t>
        </is>
      </c>
      <c r="C197" s="2" t="inlineStr">
        <is>
          <t>Energy charge</t>
        </is>
      </c>
      <c r="D197" s="47" t="n">
        <v>0.252</v>
      </c>
      <c r="E197" s="47">
        <f>'SB_Authority'!$C$8</f>
        <v/>
      </c>
      <c r="F197" s="44" t="n">
        <v>0.000500001</v>
      </c>
      <c r="G197" s="3">
        <f>IF(ISNUMBER(E197),IF(ABS(E197-D197)&lt;=F197,"OK","ERROR"),"ERROR")</f>
        <v/>
      </c>
    </row>
    <row r="198">
      <c r="B198" s="5" t="inlineStr">
        <is>
          <t>sb_tariff</t>
        </is>
      </c>
      <c r="C198" s="2" t="inlineStr">
        <is>
          <t>Chemicals</t>
        </is>
      </c>
      <c r="D198" s="22" t="n">
        <v>0.07000000000000001</v>
      </c>
      <c r="E198" s="22">
        <f>'SB_Authority'!$C$9</f>
        <v/>
      </c>
      <c r="F198" s="44" t="n">
        <v>0.005000001</v>
      </c>
      <c r="G198" s="3">
        <f>IF(ISNUMBER(E198),IF(ABS(E198-D198)&lt;=F198,"OK","ERROR"),"ERROR")</f>
        <v/>
      </c>
    </row>
    <row r="199">
      <c r="B199" s="5" t="inlineStr">
        <is>
          <t>sb_tariff</t>
        </is>
      </c>
      <c r="C199" s="2" t="inlineStr">
        <is>
          <t>Capacity per m3 delivered</t>
        </is>
      </c>
      <c r="D199" s="22" t="n">
        <v>1.09</v>
      </c>
      <c r="E199" s="22">
        <f>'SB_Authority'!$C$10</f>
        <v/>
      </c>
      <c r="F199" s="44" t="n">
        <v>0.005000001</v>
      </c>
      <c r="G199" s="3">
        <f>IF(ISNUMBER(E199),IF(ABS(E199-D199)&lt;=F199,"OK","ERROR"),"ERROR")</f>
        <v/>
      </c>
    </row>
    <row r="200">
      <c r="B200" s="5" t="inlineStr">
        <is>
          <t>sb_tariff</t>
        </is>
      </c>
      <c r="C200" s="2" t="inlineStr">
        <is>
          <t>Fixed O&amp;M per m3 delivered</t>
        </is>
      </c>
      <c r="D200" s="22" t="n">
        <v>0.3</v>
      </c>
      <c r="E200" s="22">
        <f>'SB_Authority'!$C$11</f>
        <v/>
      </c>
      <c r="F200" s="44" t="n">
        <v>0.005000001</v>
      </c>
      <c r="G200" s="3">
        <f>IF(ISNUMBER(E200),IF(ABS(E200-D200)&lt;=F200,"OK","ERROR"),"ERROR")</f>
        <v/>
      </c>
    </row>
    <row r="201">
      <c r="B201" s="5" t="inlineStr">
        <is>
          <t>sb_tariff</t>
        </is>
      </c>
      <c r="C201" s="2" t="inlineStr">
        <is>
          <t>Energy per m3 delivered (2 decimals)</t>
        </is>
      </c>
      <c r="D201" s="22" t="n">
        <v>0.25</v>
      </c>
      <c r="E201" s="22">
        <f>'SB_Authority'!$C$8</f>
        <v/>
      </c>
      <c r="F201" s="44" t="n">
        <v>0.005000001</v>
      </c>
      <c r="G201" s="3">
        <f>IF(ISNUMBER(E201),IF(ABS(E201-D201)&lt;=F201,"OK","ERROR"),"ERROR")</f>
        <v/>
      </c>
    </row>
    <row r="202">
      <c r="B202" s="5" t="inlineStr">
        <is>
          <t>sb_tariff</t>
        </is>
      </c>
      <c r="C202" s="2" t="inlineStr">
        <is>
          <t>Total per m3</t>
        </is>
      </c>
      <c r="D202" s="22" t="n">
        <v>1.72</v>
      </c>
      <c r="E202" s="22">
        <f>'SB_Authority'!$C$12</f>
        <v/>
      </c>
      <c r="F202" s="44" t="n">
        <v>0.005000001</v>
      </c>
      <c r="G202" s="3">
        <f>IF(ISNUMBER(E202),IF(ABS(E202-D202)&lt;=F202,"OK","ERROR"),"ERROR")</f>
        <v/>
      </c>
    </row>
    <row r="203">
      <c r="B203" s="5" t="inlineStr">
        <is>
          <t>sb_tariff</t>
        </is>
      </c>
      <c r="C203" s="2" t="inlineStr">
        <is>
          <t>Per acre-foot</t>
        </is>
      </c>
      <c r="D203" s="22" t="n">
        <v>2118</v>
      </c>
      <c r="E203" s="22">
        <f>'SB_Authority'!$C$13</f>
        <v/>
      </c>
      <c r="F203" s="44" t="n">
        <v>0.500000001</v>
      </c>
      <c r="G203" s="3">
        <f>IF(ISNUMBER(E203),IF(ABS(E203-D203)&lt;=F203,"OK","ERROR"),"ERROR")</f>
        <v/>
      </c>
    </row>
    <row r="204">
      <c r="B204" s="5" t="inlineStr">
        <is>
          <t>sb_tariff</t>
        </is>
      </c>
      <c r="C204" s="2" t="inlineStr">
        <is>
          <t>Per 1,000 gallons</t>
        </is>
      </c>
      <c r="D204" s="22" t="n">
        <v>6.5</v>
      </c>
      <c r="E204" s="22">
        <f>'SB_Authority'!$C$14</f>
        <v/>
      </c>
      <c r="F204" s="44" t="n">
        <v>0.005000001</v>
      </c>
      <c r="G204" s="3">
        <f>IF(ISNUMBER(E204),IF(ABS(E204-D204)&lt;=F204,"OK","ERROR"),"ERROR")</f>
        <v/>
      </c>
    </row>
    <row r="205">
      <c r="B205" s="5" t="inlineStr">
        <is>
          <t>sb_rev_2030</t>
        </is>
      </c>
      <c r="C205" s="2" t="inlineStr">
        <is>
          <t>Capacity payments 2030</t>
        </is>
      </c>
      <c r="D205" s="21" t="n">
        <v>48.8</v>
      </c>
      <c r="E205" s="21">
        <f>'SB_Ops'!$G$22</f>
        <v/>
      </c>
      <c r="F205" s="44" t="n">
        <v>0.050000001</v>
      </c>
      <c r="G205" s="3">
        <f>IF(ISNUMBER(E205),IF(ABS(E205-D205)&lt;=F205,"OK","ERROR"),"ERROR")</f>
        <v/>
      </c>
    </row>
    <row r="206">
      <c r="B206" s="5" t="inlineStr">
        <is>
          <t>sb_rev_2030</t>
        </is>
      </c>
      <c r="C206" s="2" t="inlineStr">
        <is>
          <t>Fixed O&amp;M payments 2030</t>
        </is>
      </c>
      <c r="D206" s="21" t="n">
        <v>13.5</v>
      </c>
      <c r="E206" s="21">
        <f>'SB_Ops'!$G$23</f>
        <v/>
      </c>
      <c r="F206" s="44" t="n">
        <v>0.050000001</v>
      </c>
      <c r="G206" s="3">
        <f>IF(ISNUMBER(E206),IF(ABS(E206-D206)&lt;=F206,"OK","ERROR"),"ERROR")</f>
        <v/>
      </c>
    </row>
    <row r="207">
      <c r="B207" s="5" t="inlineStr">
        <is>
          <t>sb_rev_2030</t>
        </is>
      </c>
      <c r="C207" s="2" t="inlineStr">
        <is>
          <t>Energy 2030</t>
        </is>
      </c>
      <c r="D207" s="21" t="n">
        <v>11.3</v>
      </c>
      <c r="E207" s="21">
        <f>'SB_Ops'!$G$24</f>
        <v/>
      </c>
      <c r="F207" s="44" t="n">
        <v>0.050000001</v>
      </c>
      <c r="G207" s="3">
        <f>IF(ISNUMBER(E207),IF(ABS(E207-D207)&lt;=F207,"OK","ERROR"),"ERROR")</f>
        <v/>
      </c>
    </row>
    <row r="208">
      <c r="B208" s="5" t="inlineStr">
        <is>
          <t>sb_rev_2030</t>
        </is>
      </c>
      <c r="C208" s="2" t="inlineStr">
        <is>
          <t>Chemicals 2030</t>
        </is>
      </c>
      <c r="D208" s="21" t="n">
        <v>3.1</v>
      </c>
      <c r="E208" s="21">
        <f>'SB_Ops'!$G$25</f>
        <v/>
      </c>
      <c r="F208" s="44" t="n">
        <v>0.050000001</v>
      </c>
      <c r="G208" s="3">
        <f>IF(ISNUMBER(E208),IF(ABS(E208-D208)&lt;=F208,"OK","ERROR"),"ERROR")</f>
        <v/>
      </c>
    </row>
    <row r="209">
      <c r="B209" s="5" t="inlineStr">
        <is>
          <t>sb_rev_2030</t>
        </is>
      </c>
      <c r="C209" s="2" t="inlineStr">
        <is>
          <t>Revenue 2030</t>
        </is>
      </c>
      <c r="D209" s="21" t="n">
        <v>76.7</v>
      </c>
      <c r="E209" s="21">
        <f>'SB_Ops'!$G$28</f>
        <v/>
      </c>
      <c r="F209" s="44" t="n">
        <v>0.050000001</v>
      </c>
      <c r="G209" s="3">
        <f>IF(ISNUMBER(E209),IF(ABS(E209-D209)&lt;=F209,"OK","ERROR"),"ERROR")</f>
        <v/>
      </c>
    </row>
    <row r="210">
      <c r="B210" s="5" t="inlineStr">
        <is>
          <t>sb_rev_2030</t>
        </is>
      </c>
      <c r="C210" s="2" t="inlineStr">
        <is>
          <t>Operating cost 2030</t>
        </is>
      </c>
      <c r="D210" s="21" t="n">
        <v>27.9</v>
      </c>
      <c r="E210" s="21">
        <f>'SB_Ops'!$G$33</f>
        <v/>
      </c>
      <c r="F210" s="44" t="n">
        <v>0.050000001</v>
      </c>
      <c r="G210" s="3">
        <f>IF(ISNUMBER(E210),IF(ABS(E210-D210)&lt;=F210,"OK","ERROR"),"ERROR")</f>
        <v/>
      </c>
    </row>
    <row r="211">
      <c r="B211" s="5" t="inlineStr">
        <is>
          <t>sb_rev_2030</t>
        </is>
      </c>
      <c r="C211" s="2" t="inlineStr">
        <is>
          <t>CFADS 2030</t>
        </is>
      </c>
      <c r="D211" s="21" t="n">
        <v>48.8</v>
      </c>
      <c r="E211" s="21">
        <f>'SB_Ops'!$G$34</f>
        <v/>
      </c>
      <c r="F211" s="44" t="n">
        <v>0.050000001</v>
      </c>
      <c r="G211" s="3">
        <f>IF(ISNUMBER(E211),IF(ABS(E211-D211)&lt;=F211,"OK","ERROR"),"ERROR")</f>
        <v/>
      </c>
    </row>
    <row r="212">
      <c r="B212" s="5" t="inlineStr">
        <is>
          <t>sb_energy</t>
        </is>
      </c>
      <c r="C212" s="2" t="inlineStr">
        <is>
          <t>MWh a year</t>
        </is>
      </c>
      <c r="D212" s="22" t="n">
        <v>160834</v>
      </c>
      <c r="E212" s="22">
        <f>'SB_Authority'!$C$17</f>
        <v/>
      </c>
      <c r="F212" s="44" t="n">
        <v>0.500000001</v>
      </c>
      <c r="G212" s="3">
        <f>IF(ISNUMBER(E212),IF(ABS(E212-D212)&lt;=F212,"OK","ERROR"),"ERROR")</f>
        <v/>
      </c>
    </row>
    <row r="213">
      <c r="B213" s="5" t="inlineStr">
        <is>
          <t>sb_energy</t>
        </is>
      </c>
      <c r="C213" s="2" t="inlineStr">
        <is>
          <t>Energy share of tariff</t>
        </is>
      </c>
      <c r="D213" s="27" t="n">
        <v>0.15</v>
      </c>
      <c r="E213" s="27">
        <f>'SB_Authority'!$C$18</f>
        <v/>
      </c>
      <c r="F213" s="44" t="n">
        <v>0.005000001</v>
      </c>
      <c r="G213" s="3">
        <f>IF(ISNUMBER(E213),IF(ABS(E213-D213)&lt;=F213,"OK","ERROR"),"ERROR")</f>
        <v/>
      </c>
    </row>
    <row r="214">
      <c r="B214" s="5" t="inlineStr">
        <is>
          <t>sb_energy</t>
        </is>
      </c>
      <c r="C214" s="2" t="inlineStr">
        <is>
          <t>Energy share of operating cost</t>
        </is>
      </c>
      <c r="D214" s="27" t="n">
        <v>0.4</v>
      </c>
      <c r="E214" s="27">
        <f>'SB_Authority'!$C$19</f>
        <v/>
      </c>
      <c r="F214" s="44" t="n">
        <v>0.005000001</v>
      </c>
      <c r="G214" s="3">
        <f>IF(ISNUMBER(E214),IF(ABS(E214-D214)&lt;=F214,"OK","ERROR"),"ERROR")</f>
        <v/>
      </c>
    </row>
    <row r="215">
      <c r="B215" s="5" t="inlineStr">
        <is>
          <t>sb_energy</t>
        </is>
      </c>
      <c r="C215" s="2" t="inlineStr">
        <is>
          <t>kg of CO2 per m3</t>
        </is>
      </c>
      <c r="D215" s="22" t="n">
        <v>1.33</v>
      </c>
      <c r="E215" s="22">
        <f>'SB_Authority'!$C$20</f>
        <v/>
      </c>
      <c r="F215" s="44" t="n">
        <v>0.005000001</v>
      </c>
      <c r="G215" s="3">
        <f>IF(ISNUMBER(E215),IF(ABS(E215-D215)&lt;=F215,"OK","ERROR"),"ERROR")</f>
        <v/>
      </c>
    </row>
    <row r="216">
      <c r="B216" s="5" t="inlineStr">
        <is>
          <t>sb_energy</t>
        </is>
      </c>
      <c r="C216" s="2" t="inlineStr">
        <is>
          <t>Tonnes of CO2 a year</t>
        </is>
      </c>
      <c r="D216" s="22" t="n">
        <v>59508</v>
      </c>
      <c r="E216" s="22">
        <f>'SB_Authority'!$C$21</f>
        <v/>
      </c>
      <c r="F216" s="44" t="n">
        <v>0.500000001</v>
      </c>
      <c r="G216" s="3">
        <f>IF(ISNUMBER(E216),IF(ABS(E216-D216)&lt;=F216,"OK","ERROR"),"ERROR")</f>
        <v/>
      </c>
    </row>
    <row r="217">
      <c r="B217" s="5" t="inlineStr">
        <is>
          <t>sb_major</t>
        </is>
      </c>
      <c r="C217" s="2" t="inlineStr">
        <is>
          <t>First overhaul nominal</t>
        </is>
      </c>
      <c r="D217" s="21" t="n">
        <v>15.4</v>
      </c>
      <c r="E217" s="21">
        <f>'SB_Authority'!$C$22</f>
        <v/>
      </c>
      <c r="F217" s="44" t="n">
        <v>0.050000001</v>
      </c>
      <c r="G217" s="3">
        <f>IF(ISNUMBER(E217),IF(ABS(E217-D217)&lt;=F217,"OK","ERROR"),"ERROR")</f>
        <v/>
      </c>
    </row>
    <row r="218">
      <c r="B218" s="5" t="inlineStr">
        <is>
          <t>sb_major</t>
        </is>
      </c>
      <c r="C218" s="2" t="inlineStr">
        <is>
          <t>Second overhaul nominal</t>
        </is>
      </c>
      <c r="D218" s="21" t="n">
        <v>19.7</v>
      </c>
      <c r="E218" s="21">
        <f>'SB_Authority'!$C$23</f>
        <v/>
      </c>
      <c r="F218" s="44" t="n">
        <v>0.050000001</v>
      </c>
      <c r="G218" s="3">
        <f>IF(ISNUMBER(E218),IF(ABS(E218-D218)&lt;=F218,"OK","ERROR"),"ERROR")</f>
        <v/>
      </c>
    </row>
    <row r="219">
      <c r="B219" s="5" t="inlineStr">
        <is>
          <t>sb_wet_year</t>
        </is>
      </c>
      <c r="C219" s="2" t="inlineStr">
        <is>
          <t>Cash flow, take-or-pay</t>
        </is>
      </c>
      <c r="D219" s="21" t="n">
        <v>48.8</v>
      </c>
      <c r="E219" s="21">
        <f>'SB_Ops'!$D$64</f>
        <v/>
      </c>
      <c r="F219" s="44" t="n">
        <v>0.050000001</v>
      </c>
      <c r="G219" s="3">
        <f>IF(ISNUMBER(E219),IF(ABS(E219-D219)&lt;=F219,"OK","ERROR"),"ERROR")</f>
        <v/>
      </c>
    </row>
    <row r="220">
      <c r="B220" s="5" t="inlineStr">
        <is>
          <t>sb_wet_year</t>
        </is>
      </c>
      <c r="C220" s="2" t="inlineStr">
        <is>
          <t>Cover, take-or-pay</t>
        </is>
      </c>
      <c r="D220" s="39" t="n">
        <v>1.48</v>
      </c>
      <c r="E220" s="39">
        <f>'SB_Ops'!$D$67</f>
        <v/>
      </c>
      <c r="F220" s="44" t="n">
        <v>0.005000001</v>
      </c>
      <c r="G220" s="3">
        <f>IF(ISNUMBER(E220),IF(ABS(E220-D220)&lt;=F220,"OK","ERROR"),"ERROR")</f>
        <v/>
      </c>
    </row>
    <row r="221">
      <c r="B221" s="5" t="inlineStr">
        <is>
          <t>sb_wet_year</t>
        </is>
      </c>
      <c r="C221" s="2" t="inlineStr">
        <is>
          <t>Take-and-pay tariff ($ per m3)</t>
        </is>
      </c>
      <c r="D221" s="22" t="n">
        <v>1.4</v>
      </c>
      <c r="E221" s="22">
        <f>'SB_Ops'!$D$69</f>
        <v/>
      </c>
      <c r="F221" s="44" t="n">
        <v>0.005000001</v>
      </c>
      <c r="G221" s="3">
        <f>IF(ISNUMBER(E221),IF(ABS(E221-D221)&lt;=F221,"OK","ERROR"),"ERROR")</f>
        <v/>
      </c>
    </row>
    <row r="222">
      <c r="B222" s="5" t="inlineStr">
        <is>
          <t>sb_wet_year</t>
        </is>
      </c>
      <c r="C222" s="2" t="inlineStr">
        <is>
          <t>Cash flow, take-and-pay</t>
        </is>
      </c>
      <c r="D222" s="21" t="n">
        <v>26.7</v>
      </c>
      <c r="E222" s="21">
        <f>'SB_Ops'!$D$65</f>
        <v/>
      </c>
      <c r="F222" s="44" t="n">
        <v>0.050000001</v>
      </c>
      <c r="G222" s="3">
        <f>IF(ISNUMBER(E222),IF(ABS(E222-D222)&lt;=F222,"OK","ERROR"),"ERROR")</f>
        <v/>
      </c>
    </row>
    <row r="223">
      <c r="B223" s="5" t="inlineStr">
        <is>
          <t>sb_wet_year</t>
        </is>
      </c>
      <c r="C223" s="2" t="inlineStr">
        <is>
          <t>Cover, take-and-pay</t>
        </is>
      </c>
      <c r="D223" s="39" t="n">
        <v>0.8100000000000001</v>
      </c>
      <c r="E223" s="39">
        <f>'SB_Ops'!$D$68</f>
        <v/>
      </c>
      <c r="F223" s="44" t="n">
        <v>0.005000001</v>
      </c>
      <c r="G223" s="3">
        <f>IF(ISNUMBER(E223),IF(ABS(E223-D223)&lt;=F223,"OK","ERROR"),"ERROR")</f>
        <v/>
      </c>
    </row>
    <row r="224">
      <c r="B224" s="5" t="inlineStr">
        <is>
          <t>sb_wet_year</t>
        </is>
      </c>
      <c r="C224" s="2" t="inlineStr">
        <is>
          <t>Loss under take-and-pay</t>
        </is>
      </c>
      <c r="D224" s="21" t="n">
        <v>22.1</v>
      </c>
      <c r="E224" s="21">
        <f>'SB_Ops'!$D$70</f>
        <v/>
      </c>
      <c r="F224" s="44" t="n">
        <v>0.050000001</v>
      </c>
      <c r="G224" s="3">
        <f>IF(ISNUMBER(E224),IF(ABS(E224-D224)&lt;=F224,"OK","ERROR"),"ERROR")</f>
        <v/>
      </c>
    </row>
    <row r="225">
      <c r="B225" s="5" t="inlineStr">
        <is>
          <t>sb_debt</t>
        </is>
      </c>
      <c r="C225" s="2" t="inlineStr">
        <is>
          <t>Senior debt</t>
        </is>
      </c>
      <c r="D225" s="21" t="n">
        <v>412</v>
      </c>
      <c r="E225" s="21">
        <f>'SB_Finance'!$C$17</f>
        <v/>
      </c>
      <c r="F225" s="44" t="n">
        <v>0.500000001</v>
      </c>
      <c r="G225" s="3">
        <f>IF(ISNUMBER(E225),IF(ABS(E225-D225)&lt;=F225,"OK","ERROR"),"ERROR")</f>
        <v/>
      </c>
    </row>
    <row r="226">
      <c r="B226" s="5" t="inlineStr">
        <is>
          <t>sb_debt</t>
        </is>
      </c>
      <c r="C226" s="2" t="inlineStr">
        <is>
          <t>Gearing</t>
        </is>
      </c>
      <c r="D226" s="27" t="n">
        <v>0.75</v>
      </c>
      <c r="E226" s="27">
        <f>'SB_Finance'!$C$18</f>
        <v/>
      </c>
      <c r="F226" s="44" t="n">
        <v>0.005000001</v>
      </c>
      <c r="G226" s="3">
        <f>IF(ISNUMBER(E226),IF(ABS(E226-D226)&lt;=F226,"OK","ERROR"),"ERROR")</f>
        <v/>
      </c>
    </row>
    <row r="227">
      <c r="B227" s="5" t="inlineStr">
        <is>
          <t>sb_debt</t>
        </is>
      </c>
      <c r="C227" s="2" t="inlineStr">
        <is>
          <t>Debt service 2030</t>
        </is>
      </c>
      <c r="D227" s="21" t="n">
        <v>33</v>
      </c>
      <c r="E227" s="21">
        <f>'SB_Finance'!$C$20</f>
        <v/>
      </c>
      <c r="F227" s="44" t="n">
        <v>0.050000001</v>
      </c>
      <c r="G227" s="3">
        <f>IF(ISNUMBER(E227),IF(ABS(E227-D227)&lt;=F227,"OK","ERROR"),"ERROR")</f>
        <v/>
      </c>
    </row>
    <row r="228">
      <c r="B228" s="5" t="inlineStr">
        <is>
          <t>sb_debt</t>
        </is>
      </c>
      <c r="C228" s="2" t="inlineStr">
        <is>
          <t>Minimum cover</t>
        </is>
      </c>
      <c r="D228" s="39" t="n">
        <v>1.48</v>
      </c>
      <c r="E228" s="39">
        <f>'SB_Finance'!$C$21</f>
        <v/>
      </c>
      <c r="F228" s="44" t="n">
        <v>0.005000001</v>
      </c>
      <c r="G228" s="3">
        <f>IF(ISNUMBER(E228),IF(ABS(E228-D228)&lt;=F228,"OK","ERROR"),"ERROR")</f>
        <v/>
      </c>
    </row>
    <row r="229">
      <c r="B229" s="5" t="inlineStr">
        <is>
          <t>sb_debt</t>
        </is>
      </c>
      <c r="C229" s="2" t="inlineStr">
        <is>
          <t>Equity</t>
        </is>
      </c>
      <c r="D229" s="21" t="n">
        <v>138</v>
      </c>
      <c r="E229" s="21">
        <f>'SB_Finance'!$C$22</f>
        <v/>
      </c>
      <c r="F229" s="44" t="n">
        <v>0.500000001</v>
      </c>
      <c r="G229" s="3">
        <f>IF(ISNUMBER(E229),IF(ABS(E229-D229)&lt;=F229,"OK","ERROR"),"ERROR")</f>
        <v/>
      </c>
    </row>
    <row r="230">
      <c r="B230" s="5" t="inlineStr">
        <is>
          <t>sb_debt</t>
        </is>
      </c>
      <c r="C230" s="2" t="inlineStr">
        <is>
          <t>Brannock's equity</t>
        </is>
      </c>
      <c r="D230" s="21" t="n">
        <v>96.2</v>
      </c>
      <c r="E230" s="21">
        <f>'SB_Finance'!$C$23</f>
        <v/>
      </c>
      <c r="F230" s="44" t="n">
        <v>0.050000001</v>
      </c>
      <c r="G230" s="3">
        <f>IF(ISNUMBER(E230),IF(ABS(E230-D230)&lt;=F230,"OK","ERROR"),"ERROR")</f>
        <v/>
      </c>
    </row>
    <row r="231">
      <c r="B231" s="5" t="inlineStr">
        <is>
          <t>sb_debt</t>
        </is>
      </c>
      <c r="C231" s="2" t="inlineStr">
        <is>
          <t>Kestle's equity</t>
        </is>
      </c>
      <c r="D231" s="21" t="n">
        <v>41.3</v>
      </c>
      <c r="E231" s="21">
        <f>'SB_Finance'!$C$24</f>
        <v/>
      </c>
      <c r="F231" s="44" t="n">
        <v>0.050000001</v>
      </c>
      <c r="G231" s="3">
        <f>IF(ISNUMBER(E231),IF(ABS(E231-D231)&lt;=F231,"OK","ERROR"),"ERROR")</f>
        <v/>
      </c>
    </row>
    <row r="232">
      <c r="B232" s="5" t="inlineStr">
        <is>
          <t>sb_returns</t>
        </is>
      </c>
      <c r="C232" s="2" t="inlineStr">
        <is>
          <t>Project IRR</t>
        </is>
      </c>
      <c r="D232" s="45" t="n">
        <v>0.0745</v>
      </c>
      <c r="E232" s="45">
        <f>'SB_Finance'!$C$25</f>
        <v/>
      </c>
      <c r="F232" s="44" t="n">
        <v>5.0001e-05</v>
      </c>
      <c r="G232" s="3">
        <f>IF(ISNUMBER(E232),IF(ABS(E232-D232)&lt;=F232,"OK","ERROR"),"ERROR")</f>
        <v/>
      </c>
    </row>
    <row r="233">
      <c r="B233" s="5" t="inlineStr">
        <is>
          <t>sb_returns</t>
        </is>
      </c>
      <c r="C233" s="2" t="inlineStr">
        <is>
          <t>Equity IRR</t>
        </is>
      </c>
      <c r="D233" s="45" t="n">
        <v>0.11</v>
      </c>
      <c r="E233" s="45">
        <f>'SB_Finance'!$C$26</f>
        <v/>
      </c>
      <c r="F233" s="44" t="n">
        <v>5.0001e-05</v>
      </c>
      <c r="G233" s="3">
        <f>IF(ISNUMBER(E233),IF(ABS(E233-D233)&lt;=F233,"OK","ERROR"),"ERROR")</f>
        <v/>
      </c>
    </row>
    <row r="234">
      <c r="B234" s="5" t="inlineStr">
        <is>
          <t>sb_lcow</t>
        </is>
      </c>
      <c r="C234" s="2" t="inlineStr">
        <is>
          <t>Levelized cost per m3</t>
        </is>
      </c>
      <c r="D234" s="22" t="n">
        <v>1.92</v>
      </c>
      <c r="E234" s="22">
        <f>'SB_Authority'!$C$26</f>
        <v/>
      </c>
      <c r="F234" s="44" t="n">
        <v>0.005000001</v>
      </c>
      <c r="G234" s="3">
        <f>IF(ISNUMBER(E234),IF(ABS(E234-D234)&lt;=F234,"OK","ERROR"),"ERROR")</f>
        <v/>
      </c>
    </row>
    <row r="235">
      <c r="B235" s="5" t="inlineStr">
        <is>
          <t>sb_lcow</t>
        </is>
      </c>
      <c r="C235" s="2" t="inlineStr">
        <is>
          <t>Per acre-foot</t>
        </is>
      </c>
      <c r="D235" s="22" t="n">
        <v>2362</v>
      </c>
      <c r="E235" s="22">
        <f>'SB_Authority'!$C$27</f>
        <v/>
      </c>
      <c r="F235" s="44" t="n">
        <v>0.500000001</v>
      </c>
      <c r="G235" s="3">
        <f>IF(ISNUMBER(E235),IF(ABS(E235-D235)&lt;=F235,"OK","ERROR"),"ERROR")</f>
        <v/>
      </c>
    </row>
    <row r="236">
      <c r="B236" s="5" t="inlineStr">
        <is>
          <t>sb_public</t>
        </is>
      </c>
      <c r="C236" s="2" t="inlineStr">
        <is>
          <t>Amount to finance</t>
        </is>
      </c>
      <c r="D236" s="21" t="n">
        <v>526</v>
      </c>
      <c r="E236" s="21">
        <f>'SB_Authority'!$C$30</f>
        <v/>
      </c>
      <c r="F236" s="44" t="n">
        <v>0.500000001</v>
      </c>
      <c r="G236" s="3">
        <f>IF(ISNUMBER(E236),IF(ABS(E236-D236)&lt;=F236,"OK","ERROR"),"ERROR")</f>
        <v/>
      </c>
    </row>
    <row r="237">
      <c r="B237" s="5" t="inlineStr">
        <is>
          <t>sb_public</t>
        </is>
      </c>
      <c r="C237" s="2" t="inlineStr">
        <is>
          <t>Level debt service</t>
        </is>
      </c>
      <c r="D237" s="21" t="n">
        <v>31</v>
      </c>
      <c r="E237" s="21">
        <f>'SB_Authority'!$C$33</f>
        <v/>
      </c>
      <c r="F237" s="44" t="n">
        <v>0.050000001</v>
      </c>
      <c r="G237" s="3">
        <f>IF(ISNUMBER(E237),IF(ABS(E237-D237)&lt;=F237,"OK","ERROR"),"ERROR")</f>
        <v/>
      </c>
    </row>
    <row r="238">
      <c r="B238" s="5" t="inlineStr">
        <is>
          <t>sb_public</t>
        </is>
      </c>
      <c r="C238" s="2" t="inlineStr">
        <is>
          <t>Per m3</t>
        </is>
      </c>
      <c r="D238" s="22" t="n">
        <v>0.6899999999999999</v>
      </c>
      <c r="E238" s="22">
        <f>'SB_Authority'!$C$34</f>
        <v/>
      </c>
      <c r="F238" s="44" t="n">
        <v>0.005000001</v>
      </c>
      <c r="G238" s="3">
        <f>IF(ISNUMBER(E238),IF(ABS(E238-D238)&lt;=F238,"OK","ERROR"),"ERROR")</f>
        <v/>
      </c>
    </row>
    <row r="239">
      <c r="B239" s="5" t="inlineStr">
        <is>
          <t>sb_public</t>
        </is>
      </c>
      <c r="C239" s="2" t="inlineStr">
        <is>
          <t>Private capacity payments</t>
        </is>
      </c>
      <c r="D239" s="21" t="n">
        <v>48.8</v>
      </c>
      <c r="E239" s="21">
        <f>'SB_Authority'!$C$35</f>
        <v/>
      </c>
      <c r="F239" s="44" t="n">
        <v>0.050000001</v>
      </c>
      <c r="G239" s="3">
        <f>IF(ISNUMBER(E239),IF(ABS(E239-D239)&lt;=F239,"OK","ERROR"),"ERROR")</f>
        <v/>
      </c>
    </row>
    <row r="240">
      <c r="B240" s="5" t="inlineStr">
        <is>
          <t>sb_public</t>
        </is>
      </c>
      <c r="C240" s="2" t="inlineStr">
        <is>
          <t>Private per m3</t>
        </is>
      </c>
      <c r="D240" s="22" t="n">
        <v>1.09</v>
      </c>
      <c r="E240" s="22">
        <f>'SB_Authority'!$C$36</f>
        <v/>
      </c>
      <c r="F240" s="44" t="n">
        <v>0.005000001</v>
      </c>
      <c r="G240" s="3">
        <f>IF(ISNUMBER(E240),IF(ABS(E240-D240)&lt;=F240,"OK","ERROR"),"ERROR")</f>
        <v/>
      </c>
    </row>
    <row r="241">
      <c r="B241" s="5" t="inlineStr">
        <is>
          <t>sb_public</t>
        </is>
      </c>
      <c r="C241" s="2" t="inlineStr">
        <is>
          <t>Gap</t>
        </is>
      </c>
      <c r="D241" s="21" t="n">
        <v>17.8</v>
      </c>
      <c r="E241" s="21">
        <f>'SB_Authority'!$C$37</f>
        <v/>
      </c>
      <c r="F241" s="44" t="n">
        <v>0.050000001</v>
      </c>
      <c r="G241" s="3">
        <f>IF(ISNUMBER(E241),IF(ABS(E241-D241)&lt;=F241,"OK","ERROR"),"ERROR")</f>
        <v/>
      </c>
    </row>
    <row r="242">
      <c r="B242" s="5" t="inlineStr">
        <is>
          <t>sb_alternative</t>
        </is>
      </c>
      <c r="C242" s="2" t="inlineStr">
        <is>
          <t>Sorrel Bay per acre-foot 2030</t>
        </is>
      </c>
      <c r="D242" s="22" t="n">
        <v>2118</v>
      </c>
      <c r="E242" s="22">
        <f>'SB_Authority'!$C$40</f>
        <v/>
      </c>
      <c r="F242" s="44" t="n">
        <v>0.500000001</v>
      </c>
      <c r="G242" s="3">
        <f>IF(ISNUMBER(E242),IF(ABS(E242-D242)&lt;=F242,"OK","ERROR"),"ERROR")</f>
        <v/>
      </c>
    </row>
    <row r="243">
      <c r="B243" s="5" t="inlineStr">
        <is>
          <t>sb_alternative</t>
        </is>
      </c>
      <c r="C243" s="2" t="inlineStr">
        <is>
          <t>Sorrel Bay per acre-foot 2040</t>
        </is>
      </c>
      <c r="D243" s="22" t="n">
        <v>2315</v>
      </c>
      <c r="E243" s="22">
        <f>'SB_Authority'!$C$41</f>
        <v/>
      </c>
      <c r="F243" s="44" t="n">
        <v>0.500000001</v>
      </c>
      <c r="G243" s="3">
        <f>IF(ISNUMBER(E243),IF(ABS(E243-D243)&lt;=F243,"OK","ERROR"),"ERROR")</f>
        <v/>
      </c>
    </row>
    <row r="244">
      <c r="B244" s="5" t="inlineStr">
        <is>
          <t>sb_alternative</t>
        </is>
      </c>
      <c r="C244" s="2" t="inlineStr">
        <is>
          <t>Crossover year</t>
        </is>
      </c>
      <c r="D244" s="26" t="n">
        <v>2043</v>
      </c>
      <c r="E244" s="26">
        <f>'SB_Authority'!$C$42</f>
        <v/>
      </c>
      <c r="F244" s="44" t="n">
        <v>0.500000001</v>
      </c>
      <c r="G244" s="3">
        <f>IF(ISNUMBER(E244),IF(ABS(E244-D244)&lt;=F244,"OK","ERROR"),"ERROR")</f>
        <v/>
      </c>
    </row>
    <row r="245">
      <c r="B245" s="5" t="inlineStr">
        <is>
          <t>sb_sens</t>
        </is>
      </c>
      <c r="C245" s="2" t="inlineStr">
        <is>
          <t>C1 project IRR</t>
        </is>
      </c>
      <c r="D245" s="45" t="n">
        <v>0.0653</v>
      </c>
      <c r="E245" s="45">
        <f>Scenarios!$D$1531</f>
        <v/>
      </c>
      <c r="F245" s="44" t="n">
        <v>5.0001e-05</v>
      </c>
      <c r="G245" s="3">
        <f>IF(ISNUMBER(E245),IF(ABS(E245-D245)&lt;=F245,"OK","ERROR"),"ERROR")</f>
        <v/>
      </c>
    </row>
    <row r="246">
      <c r="B246" s="5" t="inlineStr">
        <is>
          <t>sb_sens</t>
        </is>
      </c>
      <c r="C246" s="2" t="inlineStr">
        <is>
          <t>C1 equity IRR</t>
        </is>
      </c>
      <c r="D246" s="45" t="n">
        <v>0.0815</v>
      </c>
      <c r="E246" s="45">
        <f>Scenarios!$D$1532</f>
        <v/>
      </c>
      <c r="F246" s="44" t="n">
        <v>5.0001e-05</v>
      </c>
      <c r="G246" s="3">
        <f>IF(ISNUMBER(E246),IF(ABS(E246-D246)&lt;=F246,"OK","ERROR"),"ERROR")</f>
        <v/>
      </c>
    </row>
    <row r="247">
      <c r="B247" s="5" t="inlineStr">
        <is>
          <t>sb_sens</t>
        </is>
      </c>
      <c r="C247" s="2" t="inlineStr">
        <is>
          <t>C2 project IRR</t>
        </is>
      </c>
      <c r="D247" s="45" t="n">
        <v>0.0733</v>
      </c>
      <c r="E247" s="45">
        <f>Scenarios!$D$1579</f>
        <v/>
      </c>
      <c r="F247" s="44" t="n">
        <v>5.0001e-05</v>
      </c>
      <c r="G247" s="3">
        <f>IF(ISNUMBER(E247),IF(ABS(E247-D247)&lt;=F247,"OK","ERROR"),"ERROR")</f>
        <v/>
      </c>
    </row>
    <row r="248">
      <c r="B248" s="5" t="inlineStr">
        <is>
          <t>sb_sens</t>
        </is>
      </c>
      <c r="C248" s="2" t="inlineStr">
        <is>
          <t>C2 equity IRR</t>
        </is>
      </c>
      <c r="D248" s="45" t="n">
        <v>0.1061</v>
      </c>
      <c r="E248" s="45">
        <f>Scenarios!$D$1580</f>
        <v/>
      </c>
      <c r="F248" s="44" t="n">
        <v>5.0001e-05</v>
      </c>
      <c r="G248" s="3">
        <f>IF(ISNUMBER(E248),IF(ABS(E248-D248)&lt;=F248,"OK","ERROR"),"ERROR")</f>
        <v/>
      </c>
    </row>
    <row r="249">
      <c r="B249" s="5" t="inlineStr">
        <is>
          <t>sb_sens</t>
        </is>
      </c>
      <c r="C249" s="2" t="inlineStr">
        <is>
          <t>C3 project IRR</t>
        </is>
      </c>
      <c r="D249" s="45" t="n">
        <v>0.06559999999999999</v>
      </c>
      <c r="E249" s="45">
        <f>Scenarios!$D$1627</f>
        <v/>
      </c>
      <c r="F249" s="44" t="n">
        <v>5.0001e-05</v>
      </c>
      <c r="G249" s="3">
        <f>IF(ISNUMBER(E249),IF(ABS(E249-D249)&lt;=F249,"OK","ERROR"),"ERROR")</f>
        <v/>
      </c>
    </row>
    <row r="250">
      <c r="B250" s="5" t="inlineStr">
        <is>
          <t>sb_sens</t>
        </is>
      </c>
      <c r="C250" s="2" t="inlineStr">
        <is>
          <t>C3 equity IRR</t>
        </is>
      </c>
      <c r="D250" s="45" t="n">
        <v>0.08259999999999999</v>
      </c>
      <c r="E250" s="45">
        <f>Scenarios!$D$1628</f>
        <v/>
      </c>
      <c r="F250" s="44" t="n">
        <v>5.0001e-05</v>
      </c>
      <c r="G250" s="3">
        <f>IF(ISNUMBER(E250),IF(ABS(E250-D250)&lt;=F250,"OK","ERROR"),"ERROR")</f>
        <v/>
      </c>
    </row>
    <row r="251">
      <c r="B251" s="5" t="inlineStr">
        <is>
          <t>sb_sens</t>
        </is>
      </c>
      <c r="C251" s="2" t="inlineStr">
        <is>
          <t>C4 project IRR</t>
        </is>
      </c>
      <c r="D251" s="45" t="n">
        <v>0.0745</v>
      </c>
      <c r="E251" s="45">
        <f>Scenarios!$D$1675</f>
        <v/>
      </c>
      <c r="F251" s="44" t="n">
        <v>5.0001e-05</v>
      </c>
      <c r="G251" s="3">
        <f>IF(ISNUMBER(E251),IF(ABS(E251-D251)&lt;=F251,"OK","ERROR"),"ERROR")</f>
        <v/>
      </c>
    </row>
    <row r="252">
      <c r="B252" s="5" t="inlineStr">
        <is>
          <t>sb_sens</t>
        </is>
      </c>
      <c r="C252" s="2" t="inlineStr">
        <is>
          <t>C4 equity IRR</t>
        </is>
      </c>
      <c r="D252" s="45" t="n">
        <v>0.11</v>
      </c>
      <c r="E252" s="45">
        <f>Scenarios!$D$1676</f>
        <v/>
      </c>
      <c r="F252" s="44" t="n">
        <v>5.0001e-05</v>
      </c>
      <c r="G252" s="3">
        <f>IF(ISNUMBER(E252),IF(ABS(E252-D252)&lt;=F252,"OK","ERROR"),"ERROR")</f>
        <v/>
      </c>
    </row>
    <row r="253">
      <c r="B253" s="5" t="inlineStr">
        <is>
          <t>sb_sens</t>
        </is>
      </c>
      <c r="C253" s="2" t="inlineStr">
        <is>
          <t>C5 project IRR</t>
        </is>
      </c>
      <c r="D253" s="45" t="n">
        <v>0.0677</v>
      </c>
      <c r="E253" s="45">
        <f>Scenarios!$D$1723</f>
        <v/>
      </c>
      <c r="F253" s="44" t="n">
        <v>5.0001e-05</v>
      </c>
      <c r="G253" s="3">
        <f>IF(ISNUMBER(E253),IF(ABS(E253-D253)&lt;=F253,"OK","ERROR"),"ERROR")</f>
        <v/>
      </c>
    </row>
    <row r="254">
      <c r="B254" s="5" t="inlineStr">
        <is>
          <t>sb_sens</t>
        </is>
      </c>
      <c r="C254" s="2" t="inlineStr">
        <is>
          <t>C5 equity IRR</t>
        </is>
      </c>
      <c r="D254" s="45" t="n">
        <v>0.08890000000000001</v>
      </c>
      <c r="E254" s="45">
        <f>Scenarios!$D$1724</f>
        <v/>
      </c>
      <c r="F254" s="44" t="n">
        <v>5.0001e-05</v>
      </c>
      <c r="G254" s="3">
        <f>IF(ISNUMBER(E254),IF(ABS(E254-D254)&lt;=F254,"OK","ERROR"),"ERROR")</f>
        <v/>
      </c>
    </row>
    <row r="255">
      <c r="B255" s="5" t="inlineStr">
        <is>
          <t>sb_sens</t>
        </is>
      </c>
      <c r="C255" s="2" t="inlineStr">
        <is>
          <t>C6 project IRR</t>
        </is>
      </c>
      <c r="D255" s="45" t="n">
        <v>0.0721</v>
      </c>
      <c r="E255" s="45">
        <f>Scenarios!$D$1771</f>
        <v/>
      </c>
      <c r="F255" s="44" t="n">
        <v>5.0001e-05</v>
      </c>
      <c r="G255" s="3">
        <f>IF(ISNUMBER(E255),IF(ABS(E255-D255)&lt;=F255,"OK","ERROR"),"ERROR")</f>
        <v/>
      </c>
    </row>
    <row r="256">
      <c r="B256" s="5" t="inlineStr">
        <is>
          <t>sb_sens</t>
        </is>
      </c>
      <c r="C256" s="2" t="inlineStr">
        <is>
          <t>C6 equity IRR</t>
        </is>
      </c>
      <c r="D256" s="45" t="n">
        <v>0.1026</v>
      </c>
      <c r="E256" s="45">
        <f>Scenarios!$D$1772</f>
        <v/>
      </c>
      <c r="F256" s="44" t="n">
        <v>5.0001e-05</v>
      </c>
      <c r="G256" s="3">
        <f>IF(ISNUMBER(E256),IF(ABS(E256-D256)&lt;=F256,"OK","ERROR"),"ERROR")</f>
        <v/>
      </c>
    </row>
    <row r="257">
      <c r="B257" s="5" t="inlineStr">
        <is>
          <t>sb_sens</t>
        </is>
      </c>
      <c r="C257" s="2" t="inlineStr">
        <is>
          <t>C7 project IRR</t>
        </is>
      </c>
      <c r="D257" s="45" t="n">
        <v>0.0745</v>
      </c>
      <c r="E257" s="45">
        <f>Scenarios!$D$1819</f>
        <v/>
      </c>
      <c r="F257" s="44" t="n">
        <v>5.0001e-05</v>
      </c>
      <c r="G257" s="3">
        <f>IF(ISNUMBER(E257),IF(ABS(E257-D257)&lt;=F257,"OK","ERROR"),"ERROR")</f>
        <v/>
      </c>
    </row>
    <row r="258">
      <c r="B258" s="5" t="inlineStr">
        <is>
          <t>sb_sens</t>
        </is>
      </c>
      <c r="C258" s="2" t="inlineStr">
        <is>
          <t>C7 equity IRR</t>
        </is>
      </c>
      <c r="D258" s="45" t="n">
        <v>0.11</v>
      </c>
      <c r="E258" s="45">
        <f>Scenarios!$D$1820</f>
        <v/>
      </c>
      <c r="F258" s="44" t="n">
        <v>5.0001e-05</v>
      </c>
      <c r="G258" s="3">
        <f>IF(ISNUMBER(E258),IF(ABS(E258-D258)&lt;=F258,"OK","ERROR"),"ERROR")</f>
        <v/>
      </c>
    </row>
    <row r="259">
      <c r="B259" s="5" t="inlineStr">
        <is>
          <t>sb_bid</t>
        </is>
      </c>
      <c r="C259" s="2" t="inlineStr">
        <is>
          <t>Capacity charge with debt one point dearer</t>
        </is>
      </c>
      <c r="D259" s="38" t="n">
        <v>0.9965000000000001</v>
      </c>
      <c r="E259" s="38">
        <f>'SB_Finance'!$C$31</f>
        <v/>
      </c>
      <c r="F259" s="44" t="n">
        <v>5.0001e-05</v>
      </c>
      <c r="G259" s="3">
        <f>IF(ISNUMBER(E259),IF(ABS(E259-D259)&lt;=F259,"OK","ERROR"),"ERROR")</f>
        <v/>
      </c>
    </row>
    <row r="260">
      <c r="B260" s="5" t="inlineStr">
        <is>
          <t>sb_bid</t>
        </is>
      </c>
      <c r="C260" s="2" t="inlineStr">
        <is>
          <t>Base capacity charge</t>
        </is>
      </c>
      <c r="D260" s="38" t="n">
        <v>0.9388</v>
      </c>
      <c r="E260" s="38">
        <f>'SB_Finance'!$C$6</f>
        <v/>
      </c>
      <c r="F260" s="44" t="n">
        <v>5.0001e-05</v>
      </c>
      <c r="G260" s="3">
        <f>IF(ISNUMBER(E260),IF(ABS(E260-D260)&lt;=F260,"OK","ERROR"),"ERROR")</f>
        <v/>
      </c>
    </row>
    <row r="261">
      <c r="B261" s="5" t="inlineStr">
        <is>
          <t>sb_bid</t>
        </is>
      </c>
      <c r="C261" s="2" t="inlineStr">
        <is>
          <t>Charge bid 5 percent lower</t>
        </is>
      </c>
      <c r="D261" s="38" t="n">
        <v>0.8919</v>
      </c>
      <c r="E261" s="38">
        <f>'SB_Finance'!$C$33</f>
        <v/>
      </c>
      <c r="F261" s="44" t="n">
        <v>5.0001e-05</v>
      </c>
      <c r="G261" s="3">
        <f>IF(ISNUMBER(E261),IF(ABS(E261-D261)&lt;=F261,"OK","ERROR"),"ERROR")</f>
        <v/>
      </c>
    </row>
    <row r="262">
      <c r="B262" s="5" t="inlineStr">
        <is>
          <t>sb_bid</t>
        </is>
      </c>
      <c r="C262" s="2" t="inlineStr">
        <is>
          <t>Equity IRR at the lower charge</t>
        </is>
      </c>
      <c r="D262" s="45" t="n">
        <v>0.094</v>
      </c>
      <c r="E262" s="45">
        <f>'SB_Finance'!$C$34</f>
        <v/>
      </c>
      <c r="F262" s="44" t="n">
        <v>5.0001e-05</v>
      </c>
      <c r="G262" s="3">
        <f>IF(ISNUMBER(E262),IF(ABS(E262-D262)&lt;=F262,"OK","ERROR"),"ERROR")</f>
        <v/>
      </c>
    </row>
    <row r="263">
      <c r="B263" s="5" t="inlineStr">
        <is>
          <t>sb_delay</t>
        </is>
      </c>
      <c r="C263" s="2" t="inlineStr">
        <is>
          <t>Capacity payments lost</t>
        </is>
      </c>
      <c r="D263" s="21" t="n">
        <v>24.4</v>
      </c>
      <c r="E263" s="21">
        <f>'SB_Finance'!$C$47</f>
        <v/>
      </c>
      <c r="F263" s="44" t="n">
        <v>0.050000001</v>
      </c>
      <c r="G263" s="3">
        <f>IF(ISNUMBER(E263),IF(ABS(E263-D263)&lt;=F263,"OK","ERROR"),"ERROR")</f>
        <v/>
      </c>
    </row>
    <row r="264">
      <c r="B264" s="5" t="inlineStr">
        <is>
          <t>sb_delay</t>
        </is>
      </c>
      <c r="C264" s="2" t="inlineStr">
        <is>
          <t>Absorbed by the project</t>
        </is>
      </c>
      <c r="D264" s="21" t="n">
        <v>7.3</v>
      </c>
      <c r="E264" s="21">
        <f>'SB_Finance'!$C$48</f>
        <v/>
      </c>
      <c r="F264" s="44" t="n">
        <v>0.050000001</v>
      </c>
      <c r="G264" s="3">
        <f>IF(ISNUMBER(E264),IF(ABS(E264-D264)&lt;=F264,"OK","ERROR"),"ERROR")</f>
        <v/>
      </c>
    </row>
    <row r="265">
      <c r="B265" s="5" t="inlineStr">
        <is>
          <t>sb_selldown</t>
        </is>
      </c>
      <c r="C265" s="2" t="inlineStr">
        <is>
          <t>100 percent of the equity</t>
        </is>
      </c>
      <c r="D265" s="21" t="n">
        <v>194</v>
      </c>
      <c r="E265" s="21">
        <f>'SB_Finance'!$C$37</f>
        <v/>
      </c>
      <c r="F265" s="44" t="n">
        <v>0.500000001</v>
      </c>
      <c r="G265" s="3">
        <f>IF(ISNUMBER(E265),IF(ABS(E265-D265)&lt;=F265,"OK","ERROR"),"ERROR")</f>
        <v/>
      </c>
    </row>
    <row r="266">
      <c r="B266" s="5" t="inlineStr">
        <is>
          <t>sb_selldown</t>
        </is>
      </c>
      <c r="C266" s="2" t="inlineStr">
        <is>
          <t>Price of the stake</t>
        </is>
      </c>
      <c r="D266" s="21" t="n">
        <v>67.90000000000001</v>
      </c>
      <c r="E266" s="21">
        <f>'SB_Finance'!$C$38</f>
        <v/>
      </c>
      <c r="F266" s="44" t="n">
        <v>0.050000001</v>
      </c>
      <c r="G266" s="3">
        <f>IF(ISNUMBER(E266),IF(ABS(E266-D266)&lt;=F266,"OK","ERROR"),"ERROR")</f>
        <v/>
      </c>
    </row>
    <row r="267">
      <c r="B267" s="5" t="inlineStr">
        <is>
          <t>sb_selldown</t>
        </is>
      </c>
      <c r="C267" s="2" t="inlineStr">
        <is>
          <t>Invested in it</t>
        </is>
      </c>
      <c r="D267" s="21" t="n">
        <v>48.1</v>
      </c>
      <c r="E267" s="21">
        <f>'SB_Finance'!$C$39</f>
        <v/>
      </c>
      <c r="F267" s="44" t="n">
        <v>0.050000001</v>
      </c>
      <c r="G267" s="3">
        <f>IF(ISNUMBER(E267),IF(ABS(E267-D267)&lt;=F267,"OK","ERROR"),"ERROR")</f>
        <v/>
      </c>
    </row>
    <row r="268">
      <c r="B268" s="5" t="inlineStr">
        <is>
          <t>sb_selldown</t>
        </is>
      </c>
      <c r="C268" s="2" t="inlineStr">
        <is>
          <t>Gain</t>
        </is>
      </c>
      <c r="D268" s="21" t="n">
        <v>19.8</v>
      </c>
      <c r="E268" s="21">
        <f>'SB_Finance'!$C$40</f>
        <v/>
      </c>
      <c r="F268" s="44" t="n">
        <v>0.050000001</v>
      </c>
      <c r="G268" s="3">
        <f>IF(ISNUMBER(E268),IF(ABS(E268-D268)&lt;=F268,"OK","ERROR"),"ERROR")</f>
        <v/>
      </c>
    </row>
    <row r="269">
      <c r="B269" s="5" t="inlineStr">
        <is>
          <t>sb_selldown</t>
        </is>
      </c>
      <c r="C269" s="2" t="inlineStr">
        <is>
          <t>Money multiple</t>
        </is>
      </c>
      <c r="D269" s="39" t="n">
        <v>1.41</v>
      </c>
      <c r="E269" s="39">
        <f>'SB_Finance'!$C$41</f>
        <v/>
      </c>
      <c r="F269" s="44" t="n">
        <v>0.005000001</v>
      </c>
      <c r="G269" s="3">
        <f>IF(ISNUMBER(E269),IF(ABS(E269-D269)&lt;=F269,"OK","ERROR"),"ERROR")</f>
        <v/>
      </c>
    </row>
    <row r="270">
      <c r="B270" s="5" t="inlineStr">
        <is>
          <t>hal_contract</t>
        </is>
      </c>
      <c r="C270" s="2" t="inlineStr">
        <is>
          <t>Capital cost</t>
        </is>
      </c>
      <c r="D270" s="21" t="n">
        <v>46</v>
      </c>
      <c r="E270" s="21">
        <f>'Halcyon'!$C$17</f>
        <v/>
      </c>
      <c r="F270" s="44" t="n">
        <v>0.050000001</v>
      </c>
      <c r="G270" s="3">
        <f>IF(ISNUMBER(E270),IF(ABS(E270-D270)&lt;=F270,"OK","ERROR"),"ERROR")</f>
        <v/>
      </c>
    </row>
    <row r="271">
      <c r="B271" s="5" t="inlineStr">
        <is>
          <t>hal_2030</t>
        </is>
      </c>
      <c r="C271" s="2" t="inlineStr">
        <is>
          <t>Million gallons a year</t>
        </is>
      </c>
      <c r="D271" s="22" t="n">
        <v>730</v>
      </c>
      <c r="E271" s="22">
        <f>'Halcyon'!$C$18</f>
        <v/>
      </c>
      <c r="F271" s="44" t="n">
        <v>0.500000001</v>
      </c>
      <c r="G271" s="3">
        <f>IF(ISNUMBER(E271),IF(ABS(E271-D271)&lt;=F271,"OK","ERROR"),"ERROR")</f>
        <v/>
      </c>
    </row>
    <row r="272">
      <c r="B272" s="5" t="inlineStr">
        <is>
          <t>hal_2030</t>
        </is>
      </c>
      <c r="C272" s="2" t="inlineStr">
        <is>
          <t>Revenue 2030</t>
        </is>
      </c>
      <c r="D272" s="22" t="n">
        <v>6.54</v>
      </c>
      <c r="E272" s="22">
        <f>'Halcyon'!$C$19</f>
        <v/>
      </c>
      <c r="F272" s="44" t="n">
        <v>0.005000001</v>
      </c>
      <c r="G272" s="3">
        <f>IF(ISNUMBER(E272),IF(ABS(E272-D272)&lt;=F272,"OK","ERROR"),"ERROR")</f>
        <v/>
      </c>
    </row>
    <row r="273">
      <c r="B273" s="5" t="inlineStr">
        <is>
          <t>hal_2030</t>
        </is>
      </c>
      <c r="C273" s="2" t="inlineStr">
        <is>
          <t>Operating cost 2030</t>
        </is>
      </c>
      <c r="D273" s="22" t="n">
        <v>1.7</v>
      </c>
      <c r="E273" s="22">
        <f>'Halcyon'!$C$20</f>
        <v/>
      </c>
      <c r="F273" s="44" t="n">
        <v>0.005000001</v>
      </c>
      <c r="G273" s="3">
        <f>IF(ISNUMBER(E273),IF(ABS(E273-D273)&lt;=F273,"OK","ERROR"),"ERROR")</f>
        <v/>
      </c>
    </row>
    <row r="274">
      <c r="B274" s="5" t="inlineStr">
        <is>
          <t>hal_2030</t>
        </is>
      </c>
      <c r="C274" s="2" t="inlineStr">
        <is>
          <t>Cash flow 2030</t>
        </is>
      </c>
      <c r="D274" s="22" t="n">
        <v>4.84</v>
      </c>
      <c r="E274" s="22">
        <f>'Halcyon'!$C$21</f>
        <v/>
      </c>
      <c r="F274" s="44" t="n">
        <v>0.005000001</v>
      </c>
      <c r="G274" s="3">
        <f>IF(ISNUMBER(E274),IF(ABS(E274-D274)&lt;=F274,"OK","ERROR"),"ERROR")</f>
        <v/>
      </c>
    </row>
    <row r="275">
      <c r="B275" s="5" t="inlineStr">
        <is>
          <t>hal_2030</t>
        </is>
      </c>
      <c r="C275" s="2" t="inlineStr">
        <is>
          <t>First-year yield</t>
        </is>
      </c>
      <c r="D275" s="46" t="n">
        <v>0.105</v>
      </c>
      <c r="E275" s="46">
        <f>'Halcyon'!$C$22</f>
        <v/>
      </c>
      <c r="F275" s="44" t="n">
        <v>0.000500001</v>
      </c>
      <c r="G275" s="3">
        <f>IF(ISNUMBER(E275),IF(ABS(E275-D275)&lt;=F275,"OK","ERROR"),"ERROR")</f>
        <v/>
      </c>
    </row>
    <row r="276">
      <c r="B276" s="5" t="inlineStr">
        <is>
          <t>hal_returns</t>
        </is>
      </c>
      <c r="C276" s="2" t="inlineStr">
        <is>
          <t>Unlevered IRR</t>
        </is>
      </c>
      <c r="D276" s="45" t="n">
        <v>0.0946</v>
      </c>
      <c r="E276" s="45">
        <f>'Halcyon'!$C$23</f>
        <v/>
      </c>
      <c r="F276" s="44" t="n">
        <v>5.0001e-05</v>
      </c>
      <c r="G276" s="3">
        <f>IF(ISNUMBER(E276),IF(ABS(E276-D276)&lt;=F276,"OK","ERROR"),"ERROR")</f>
        <v/>
      </c>
    </row>
    <row r="277">
      <c r="B277" s="5" t="inlineStr">
        <is>
          <t>hal_returns</t>
        </is>
      </c>
      <c r="C277" s="2" t="inlineStr">
        <is>
          <t>Value above cost</t>
        </is>
      </c>
      <c r="D277" s="21" t="n">
        <v>5.1</v>
      </c>
      <c r="E277" s="21">
        <f>'Halcyon'!$C$24</f>
        <v/>
      </c>
      <c r="F277" s="44" t="n">
        <v>0.050000001</v>
      </c>
      <c r="G277" s="3">
        <f>IF(ISNUMBER(E277),IF(ABS(E277-D277)&lt;=F277,"OK","ERROR"),"ERROR")</f>
        <v/>
      </c>
    </row>
    <row r="278">
      <c r="B278" s="5" t="inlineStr">
        <is>
          <t>hal_returns</t>
        </is>
      </c>
      <c r="C278" s="2" t="inlineStr">
        <is>
          <t>IRR at the minimum</t>
        </is>
      </c>
      <c r="D278" s="45" t="n">
        <v>0.0619</v>
      </c>
      <c r="E278" s="45">
        <f>'Halcyon'!$C$25</f>
        <v/>
      </c>
      <c r="F278" s="44" t="n">
        <v>5.0001e-05</v>
      </c>
      <c r="G278" s="3">
        <f>IF(ISNUMBER(E278),IF(ABS(E278-D278)&lt;=F278,"OK","ERROR"),"ERROR")</f>
        <v/>
      </c>
    </row>
    <row r="279">
      <c r="B279" s="5" t="inlineStr">
        <is>
          <t>hal_compare</t>
        </is>
      </c>
      <c r="C279" s="2" t="inlineStr">
        <is>
          <t>Share of 2030 billed water</t>
        </is>
      </c>
      <c r="D279" s="46" t="n">
        <v>0.032</v>
      </c>
      <c r="E279" s="46">
        <f>'Halcyon'!$C$26</f>
        <v/>
      </c>
      <c r="F279" s="44" t="n">
        <v>0.000500001</v>
      </c>
      <c r="G279" s="3">
        <f>IF(ISNUMBER(E279),IF(ABS(E279-D279)&lt;=F279,"OK","ERROR"),"ERROR")</f>
        <v/>
      </c>
    </row>
    <row r="280">
      <c r="B280" s="5" t="inlineStr">
        <is>
          <t>wr_need</t>
        </is>
      </c>
      <c r="C280" s="2" t="inlineStr">
        <is>
          <t>Paper rights (acre-feet)</t>
        </is>
      </c>
      <c r="D280" s="22" t="n">
        <v>8000</v>
      </c>
      <c r="E280" s="22">
        <f>'WaterRights'!$C$5</f>
        <v/>
      </c>
      <c r="F280" s="44" t="n">
        <v>0.500000001</v>
      </c>
      <c r="G280" s="3">
        <f>IF(ISNUMBER(E280),IF(ABS(E280-D280)&lt;=F280,"OK","ERROR"),"ERROR")</f>
        <v/>
      </c>
    </row>
    <row r="281">
      <c r="B281" s="5" t="inlineStr">
        <is>
          <t>wr_buy</t>
        </is>
      </c>
      <c r="C281" s="2" t="inlineStr">
        <is>
          <t>Purchase cost</t>
        </is>
      </c>
      <c r="D281" s="21" t="n">
        <v>112</v>
      </c>
      <c r="E281" s="21">
        <f>'WaterRights'!$C$6</f>
        <v/>
      </c>
      <c r="F281" s="44" t="n">
        <v>0.500000001</v>
      </c>
      <c r="G281" s="3">
        <f>IF(ISNUMBER(E281),IF(ABS(E281-D281)&lt;=F281,"OK","ERROR"),"ERROR")</f>
        <v/>
      </c>
    </row>
    <row r="282">
      <c r="B282" s="5" t="inlineStr">
        <is>
          <t>wr_buy</t>
        </is>
      </c>
      <c r="C282" s="2" t="inlineStr">
        <is>
          <t>Lease first year</t>
        </is>
      </c>
      <c r="D282" s="21" t="n">
        <v>3.9</v>
      </c>
      <c r="E282" s="21">
        <f>'WaterRights'!$C$7</f>
        <v/>
      </c>
      <c r="F282" s="44" t="n">
        <v>0.050000001</v>
      </c>
      <c r="G282" s="3">
        <f>IF(ISNUMBER(E282),IF(ABS(E282-D282)&lt;=F282,"OK","ERROR"),"ERROR")</f>
        <v/>
      </c>
    </row>
    <row r="283">
      <c r="B283" s="5" t="inlineStr">
        <is>
          <t>wr_buy</t>
        </is>
      </c>
      <c r="C283" s="2" t="inlineStr">
        <is>
          <t>Lease year 20</t>
        </is>
      </c>
      <c r="D283" s="21" t="n">
        <v>6.8</v>
      </c>
      <c r="E283" s="21">
        <f>'WaterRights'!$C$8</f>
        <v/>
      </c>
      <c r="F283" s="44" t="n">
        <v>0.050000001</v>
      </c>
      <c r="G283" s="3">
        <f>IF(ISNUMBER(E283),IF(ABS(E283-D283)&lt;=F283,"OK","ERROR"),"ERROR")</f>
        <v/>
      </c>
    </row>
    <row r="284">
      <c r="B284" s="5" t="inlineStr">
        <is>
          <t>wr_buy</t>
        </is>
      </c>
      <c r="C284" s="2" t="inlineStr">
        <is>
          <t>Lease total</t>
        </is>
      </c>
      <c r="D284" s="21" t="n">
        <v>105</v>
      </c>
      <c r="E284" s="21">
        <f>'WaterRights'!$C$9</f>
        <v/>
      </c>
      <c r="F284" s="44" t="n">
        <v>0.500000001</v>
      </c>
      <c r="G284" s="3">
        <f>IF(ISNUMBER(E284),IF(ABS(E284-D284)&lt;=F284,"OK","ERROR"),"ERROR")</f>
        <v/>
      </c>
    </row>
    <row r="285">
      <c r="B285" s="5" t="inlineStr">
        <is>
          <t>wr_buy</t>
        </is>
      </c>
      <c r="C285" s="2" t="inlineStr">
        <is>
          <t>Lease present value</t>
        </is>
      </c>
      <c r="D285" s="21" t="n">
        <v>54.3</v>
      </c>
      <c r="E285" s="21">
        <f>'WaterRights'!$C$10</f>
        <v/>
      </c>
      <c r="F285" s="44" t="n">
        <v>0.050000001</v>
      </c>
      <c r="G285" s="3">
        <f>IF(ISNUMBER(E285),IF(ABS(E285-D285)&lt;=F285,"OK","ERROR"),"ERROR")</f>
        <v/>
      </c>
    </row>
    <row r="286">
      <c r="B286" s="5" t="inlineStr">
        <is>
          <t>wr_yield</t>
        </is>
      </c>
      <c r="C286" s="2" t="inlineStr">
        <is>
          <t>Implied yield</t>
        </is>
      </c>
      <c r="D286" s="46" t="n">
        <v>0.035</v>
      </c>
      <c r="E286" s="46">
        <f>'WaterRights'!$C$11</f>
        <v/>
      </c>
      <c r="F286" s="44" t="n">
        <v>0.000500001</v>
      </c>
      <c r="G286" s="3">
        <f>IF(ISNUMBER(E286),IF(ABS(E286-D286)&lt;=F286,"OK","ERROR"),"ERROR")</f>
        <v/>
      </c>
    </row>
    <row r="287">
      <c r="B287" s="5" t="inlineStr">
        <is>
          <t>wr_bias</t>
        </is>
      </c>
      <c r="C287" s="2" t="inlineStr">
        <is>
          <t>Return and tax on a bought right</t>
        </is>
      </c>
      <c r="D287" s="21" t="n">
        <v>10.3</v>
      </c>
      <c r="E287" s="21">
        <f>'WaterRights'!$C$14</f>
        <v/>
      </c>
      <c r="F287" s="44" t="n">
        <v>0.050000001</v>
      </c>
      <c r="G287" s="3">
        <f>IF(ISNUMBER(E287),IF(ABS(E287-D287)&lt;=F287,"OK","ERROR"),"ERROR")</f>
        <v/>
      </c>
    </row>
    <row r="288">
      <c r="B288" s="5" t="inlineStr">
        <is>
          <t>wr_bias</t>
        </is>
      </c>
      <c r="C288" s="2" t="inlineStr">
        <is>
          <t>Of which return on equity</t>
        </is>
      </c>
      <c r="D288" s="21" t="n">
        <v>5.4</v>
      </c>
      <c r="E288" s="21">
        <f>'WaterRights'!$C$15</f>
        <v/>
      </c>
      <c r="F288" s="44" t="n">
        <v>0.050000001</v>
      </c>
      <c r="G288" s="3">
        <f>IF(ISNUMBER(E288),IF(ABS(E288-D288)&lt;=F288,"OK","ERROR"),"ERROR")</f>
        <v/>
      </c>
    </row>
    <row r="289">
      <c r="B289" s="5" t="inlineStr">
        <is>
          <t>bill_2028</t>
        </is>
      </c>
      <c r="C289" s="2" t="inlineStr">
        <is>
          <t>Water bill</t>
        </is>
      </c>
      <c r="D289" s="22" t="n">
        <v>58.4</v>
      </c>
      <c r="E289" s="22">
        <f>Bills!$E$8</f>
        <v/>
      </c>
      <c r="F289" s="44" t="n">
        <v>0.005000001</v>
      </c>
      <c r="G289" s="3">
        <f>IF(ISNUMBER(E289),IF(ABS(E289-D289)&lt;=F289,"OK","ERROR"),"ERROR")</f>
        <v/>
      </c>
    </row>
    <row r="290">
      <c r="B290" s="5" t="inlineStr">
        <is>
          <t>bill_2028</t>
        </is>
      </c>
      <c r="C290" s="2" t="inlineStr">
        <is>
          <t>Wastewater bill</t>
        </is>
      </c>
      <c r="D290" s="22" t="n">
        <v>49.1</v>
      </c>
      <c r="E290" s="22">
        <f>Bills!$E$9</f>
        <v/>
      </c>
      <c r="F290" s="44" t="n">
        <v>0.005000001</v>
      </c>
      <c r="G290" s="3">
        <f>IF(ISNUMBER(E290),IF(ABS(E290-D290)&lt;=F290,"OK","ERROR"),"ERROR")</f>
        <v/>
      </c>
    </row>
    <row r="291">
      <c r="B291" s="5" t="inlineStr">
        <is>
          <t>bill_2028</t>
        </is>
      </c>
      <c r="C291" s="2" t="inlineStr">
        <is>
          <t>Combined</t>
        </is>
      </c>
      <c r="D291" s="22" t="n">
        <v>107.5</v>
      </c>
      <c r="E291" s="22">
        <f>Bills!$E$10</f>
        <v/>
      </c>
      <c r="F291" s="44" t="n">
        <v>0.005000001</v>
      </c>
      <c r="G291" s="3">
        <f>IF(ISNUMBER(E291),IF(ABS(E291-D291)&lt;=F291,"OK","ERROR"),"ERROR")</f>
        <v/>
      </c>
    </row>
    <row r="292">
      <c r="B292" s="5" t="inlineStr">
        <is>
          <t>bill_2028</t>
        </is>
      </c>
      <c r="C292" s="2" t="inlineStr">
        <is>
          <t>A year</t>
        </is>
      </c>
      <c r="D292" s="22" t="n">
        <v>1290</v>
      </c>
      <c r="E292" s="22">
        <f>Bills!$E$11</f>
        <v/>
      </c>
      <c r="F292" s="44" t="n">
        <v>0.500000001</v>
      </c>
      <c r="G292" s="3">
        <f>IF(ISNUMBER(E292),IF(ABS(E292-D292)&lt;=F292,"OK","ERROR"),"ERROR")</f>
        <v/>
      </c>
    </row>
    <row r="293">
      <c r="B293" s="5" t="inlineStr">
        <is>
          <t>bill_2028</t>
        </is>
      </c>
      <c r="C293" s="2" t="inlineStr">
        <is>
          <t>Share of income</t>
        </is>
      </c>
      <c r="D293" s="45" t="n">
        <v>0.0174</v>
      </c>
      <c r="E293" s="45">
        <f>Bills!$E$14</f>
        <v/>
      </c>
      <c r="F293" s="44" t="n">
        <v>5.0001e-05</v>
      </c>
      <c r="G293" s="3">
        <f>IF(ISNUMBER(E293),IF(ABS(E293-D293)&lt;=F293,"OK","ERROR"),"ERROR")</f>
        <v/>
      </c>
    </row>
    <row r="294">
      <c r="B294" s="5" t="inlineStr">
        <is>
          <t>bill_2028</t>
        </is>
      </c>
      <c r="C294" s="2" t="inlineStr">
        <is>
          <t>Share, lowest-income tract</t>
        </is>
      </c>
      <c r="D294" s="45" t="n">
        <v>0.0335</v>
      </c>
      <c r="E294" s="45">
        <f>Bills!$E$15</f>
        <v/>
      </c>
      <c r="F294" s="44" t="n">
        <v>5.0001e-05</v>
      </c>
      <c r="G294" s="3">
        <f>IF(ISNUMBER(E294),IF(ABS(E294-D294)&lt;=F294,"OK","ERROR"),"ERROR")</f>
        <v/>
      </c>
    </row>
    <row r="295">
      <c r="B295" s="5" t="inlineStr">
        <is>
          <t>bill_path</t>
        </is>
      </c>
      <c r="C295" s="2" t="inlineStr">
        <is>
          <t>Combined bill 2028</t>
        </is>
      </c>
      <c r="D295" s="22" t="n">
        <v>107.5</v>
      </c>
      <c r="E295" s="22">
        <f>Bills!$E$10</f>
        <v/>
      </c>
      <c r="F295" s="44" t="n">
        <v>0.005000001</v>
      </c>
      <c r="G295" s="3">
        <f>IF(ISNUMBER(E295),IF(ABS(E295-D295)&lt;=F295,"OK","ERROR"),"ERROR")</f>
        <v/>
      </c>
    </row>
    <row r="296">
      <c r="B296" s="5" t="inlineStr">
        <is>
          <t>bill_path</t>
        </is>
      </c>
      <c r="C296" s="2" t="inlineStr">
        <is>
          <t>Combined bill 2029</t>
        </is>
      </c>
      <c r="D296" s="22" t="n">
        <v>115.19</v>
      </c>
      <c r="E296" s="22">
        <f>Bills!$F$10</f>
        <v/>
      </c>
      <c r="F296" s="44" t="n">
        <v>0.005000001</v>
      </c>
      <c r="G296" s="3">
        <f>IF(ISNUMBER(E296),IF(ABS(E296-D296)&lt;=F296,"OK","ERROR"),"ERROR")</f>
        <v/>
      </c>
    </row>
    <row r="297">
      <c r="B297" s="5" t="inlineStr">
        <is>
          <t>bill_path</t>
        </is>
      </c>
      <c r="C297" s="2" t="inlineStr">
        <is>
          <t>Combined bill 2031</t>
        </is>
      </c>
      <c r="D297" s="22" t="n">
        <v>127.73</v>
      </c>
      <c r="E297" s="22">
        <f>Bills!$H$10</f>
        <v/>
      </c>
      <c r="F297" s="44" t="n">
        <v>0.005000001</v>
      </c>
      <c r="G297" s="3">
        <f>IF(ISNUMBER(E297),IF(ABS(E297-D297)&lt;=F297,"OK","ERROR"),"ERROR")</f>
        <v/>
      </c>
    </row>
    <row r="298">
      <c r="B298" s="5" t="inlineStr">
        <is>
          <t>bill_path</t>
        </is>
      </c>
      <c r="C298" s="2" t="inlineStr">
        <is>
          <t>Combined bill 2033</t>
        </is>
      </c>
      <c r="D298" s="22" t="n">
        <v>137.69</v>
      </c>
      <c r="E298" s="22">
        <f>Bills!$J$10</f>
        <v/>
      </c>
      <c r="F298" s="44" t="n">
        <v>0.005000001</v>
      </c>
      <c r="G298" s="3">
        <f>IF(ISNUMBER(E298),IF(ABS(E298-D298)&lt;=F298,"OK","ERROR"),"ERROR")</f>
        <v/>
      </c>
    </row>
    <row r="299">
      <c r="B299" s="5" t="inlineStr">
        <is>
          <t>bill_path</t>
        </is>
      </c>
      <c r="C299" s="2" t="inlineStr">
        <is>
          <t>Combined bill 2035</t>
        </is>
      </c>
      <c r="D299" s="22" t="n">
        <v>147.87</v>
      </c>
      <c r="E299" s="22">
        <f>Bills!$L$10</f>
        <v/>
      </c>
      <c r="F299" s="44" t="n">
        <v>0.005000001</v>
      </c>
      <c r="G299" s="3">
        <f>IF(ISNUMBER(E299),IF(ABS(E299-D299)&lt;=F299,"OK","ERROR"),"ERROR")</f>
        <v/>
      </c>
    </row>
    <row r="300">
      <c r="B300" s="5" t="inlineStr">
        <is>
          <t>bill_path</t>
        </is>
      </c>
      <c r="C300" s="2" t="inlineStr">
        <is>
          <t>Combined bill 2037</t>
        </is>
      </c>
      <c r="D300" s="22" t="n">
        <v>158.32</v>
      </c>
      <c r="E300" s="22">
        <f>Bills!$N$10</f>
        <v/>
      </c>
      <c r="F300" s="44" t="n">
        <v>0.005000001</v>
      </c>
      <c r="G300" s="3">
        <f>IF(ISNUMBER(E300),IF(ABS(E300-D300)&lt;=F300,"OK","ERROR"),"ERROR")</f>
        <v/>
      </c>
    </row>
    <row r="301">
      <c r="B301" s="5" t="inlineStr">
        <is>
          <t>bill_path</t>
        </is>
      </c>
      <c r="C301" s="2" t="inlineStr">
        <is>
          <t>Up over nine years</t>
        </is>
      </c>
      <c r="D301" s="27" t="n">
        <v>0.47</v>
      </c>
      <c r="E301" s="27">
        <f>'Bills'!$C$19</f>
        <v/>
      </c>
      <c r="F301" s="44" t="n">
        <v>0.005000001</v>
      </c>
      <c r="G301" s="3">
        <f>IF(ISNUMBER(E301),IF(ABS(E301-D301)&lt;=F301,"OK","ERROR"),"ERROR")</f>
        <v/>
      </c>
    </row>
    <row r="302">
      <c r="B302" s="5" t="inlineStr">
        <is>
          <t>bill_path</t>
        </is>
      </c>
      <c r="C302" s="2" t="inlineStr">
        <is>
          <t>A year</t>
        </is>
      </c>
      <c r="D302" s="46" t="n">
        <v>0.044</v>
      </c>
      <c r="E302" s="46">
        <f>'Bills'!$C$20</f>
        <v/>
      </c>
      <c r="F302" s="44" t="n">
        <v>0.000500001</v>
      </c>
      <c r="G302" s="3">
        <f>IF(ISNUMBER(E302),IF(ABS(E302-D302)&lt;=F302,"OK","ERROR"),"ERROR")</f>
        <v/>
      </c>
    </row>
    <row r="303">
      <c r="B303" s="5" t="inlineStr">
        <is>
          <t>bill_share</t>
        </is>
      </c>
      <c r="C303" s="2" t="inlineStr">
        <is>
          <t>Share 2037</t>
        </is>
      </c>
      <c r="D303" s="45" t="n">
        <v>0.0197</v>
      </c>
      <c r="E303" s="45">
        <f>Bills!$N$14</f>
        <v/>
      </c>
      <c r="F303" s="44" t="n">
        <v>5.0001e-05</v>
      </c>
      <c r="G303" s="3">
        <f>IF(ISNUMBER(E303),IF(ABS(E303-D303)&lt;=F303,"OK","ERROR"),"ERROR")</f>
        <v/>
      </c>
    </row>
    <row r="304">
      <c r="B304" s="5" t="inlineStr">
        <is>
          <t>bill_share</t>
        </is>
      </c>
      <c r="C304" s="2" t="inlineStr">
        <is>
          <t>Share 2037, lowest-income tract</t>
        </is>
      </c>
      <c r="D304" s="45" t="n">
        <v>0.0378</v>
      </c>
      <c r="E304" s="45">
        <f>Bills!$N$15</f>
        <v/>
      </c>
      <c r="F304" s="44" t="n">
        <v>5.0001e-05</v>
      </c>
      <c r="G304" s="3">
        <f>IF(ISNUMBER(E304),IF(ABS(E304-D304)&lt;=F304,"OK","ERROR"),"ERROR")</f>
        <v/>
      </c>
    </row>
    <row r="305">
      <c r="B305" s="5" t="inlineStr">
        <is>
          <t>low_income</t>
        </is>
      </c>
      <c r="C305" s="2" t="inlineStr">
        <is>
          <t>Cost a year</t>
        </is>
      </c>
      <c r="D305" s="21" t="n">
        <v>4.3</v>
      </c>
      <c r="E305" s="21">
        <f>'Bills'!$C$22</f>
        <v/>
      </c>
      <c r="F305" s="44" t="n">
        <v>0.050000001</v>
      </c>
      <c r="G305" s="3">
        <f>IF(ISNUMBER(E305),IF(ABS(E305-D305)&lt;=F305,"OK","ERROR"),"ERROR")</f>
        <v/>
      </c>
    </row>
    <row r="306">
      <c r="B306" s="5" t="inlineStr">
        <is>
          <t>low_income</t>
        </is>
      </c>
      <c r="C306" s="2" t="inlineStr">
        <is>
          <t>Uplift</t>
        </is>
      </c>
      <c r="D306" s="46" t="n">
        <v>0.03</v>
      </c>
      <c r="E306" s="46">
        <f>'Bills'!$C$23</f>
        <v/>
      </c>
      <c r="F306" s="44" t="n">
        <v>0.000500001</v>
      </c>
      <c r="G306" s="3">
        <f>IF(ISNUMBER(E306),IF(ABS(E306-D306)&lt;=F306,"OK","ERROR"),"ERROR")</f>
        <v/>
      </c>
    </row>
    <row r="307">
      <c r="B307" s="5" t="inlineStr">
        <is>
          <t>demand</t>
        </is>
      </c>
      <c r="C307" s="2" t="inlineStr">
        <is>
          <t>Revenue lost a year without decoupling</t>
        </is>
      </c>
      <c r="D307" s="46" t="n">
        <v>0.006</v>
      </c>
      <c r="E307" s="46">
        <f>'Bills'!$C$24</f>
        <v/>
      </c>
      <c r="F307" s="44" t="n">
        <v>0.000500001</v>
      </c>
      <c r="G307" s="3">
        <f>IF(ISNUMBER(E307),IF(ABS(E307-D307)&lt;=F307,"OK","ERROR"),"ERROR")</f>
        <v/>
      </c>
    </row>
    <row r="308">
      <c r="B308" s="5" t="inlineStr">
        <is>
          <t>decoupling</t>
        </is>
      </c>
      <c r="C308" s="2" t="inlineStr">
        <is>
          <t>Average ROE, decoupling</t>
        </is>
      </c>
      <c r="D308" s="45" t="n">
        <v>0.09279999999999999</v>
      </c>
      <c r="E308" s="45">
        <f>Scenarios!$D$936</f>
        <v/>
      </c>
      <c r="F308" s="44" t="n">
        <v>5.0001e-05</v>
      </c>
      <c r="G308" s="3">
        <f>IF(ISNUMBER(E308),IF(ABS(E308-D308)&lt;=F308,"OK","ERROR"),"ERROR")</f>
        <v/>
      </c>
    </row>
    <row r="309">
      <c r="B309" s="5" t="inlineStr">
        <is>
          <t>decoupling</t>
        </is>
      </c>
      <c r="C309" s="2" t="inlineStr">
        <is>
          <t>IRR, decoupling</t>
        </is>
      </c>
      <c r="D309" s="45" t="n">
        <v>0.081</v>
      </c>
      <c r="E309" s="45">
        <f>Scenarios!$D$935</f>
        <v/>
      </c>
      <c r="F309" s="44" t="n">
        <v>5.0001e-05</v>
      </c>
      <c r="G309" s="3">
        <f>IF(ISNUMBER(E309),IF(ABS(E309-D309)&lt;=F309,"OK","ERROR"),"ERROR")</f>
        <v/>
      </c>
    </row>
    <row r="310">
      <c r="B310" s="5" t="inlineStr">
        <is>
          <t>decoupling</t>
        </is>
      </c>
      <c r="C310" s="2" t="inlineStr">
        <is>
          <t>Average ROE, use -2 percent</t>
        </is>
      </c>
      <c r="D310" s="45" t="n">
        <v>0.09140000000000001</v>
      </c>
      <c r="E310" s="45">
        <f>Scenarios!$D$1014</f>
        <v/>
      </c>
      <c r="F310" s="44" t="n">
        <v>5.0001e-05</v>
      </c>
      <c r="G310" s="3">
        <f>IF(ISNUMBER(E310),IF(ABS(E310-D310)&lt;=F310,"OK","ERROR"),"ERROR")</f>
        <v/>
      </c>
    </row>
    <row r="311">
      <c r="B311" s="5" t="inlineStr">
        <is>
          <t>decoupling</t>
        </is>
      </c>
      <c r="C311" s="2" t="inlineStr">
        <is>
          <t>IRR, use -2 percent</t>
        </is>
      </c>
      <c r="D311" s="45" t="n">
        <v>0.08019999999999999</v>
      </c>
      <c r="E311" s="45">
        <f>Scenarios!$D$1013</f>
        <v/>
      </c>
      <c r="F311" s="44" t="n">
        <v>5.0001e-05</v>
      </c>
      <c r="G311" s="3">
        <f>IF(ISNUMBER(E311),IF(ABS(E311-D311)&lt;=F311,"OK","ERROR"),"ERROR")</f>
        <v/>
      </c>
    </row>
    <row r="312">
      <c r="B312" s="5" t="inlineStr">
        <is>
          <t>rev_per_conn</t>
        </is>
      </c>
      <c r="C312" s="2" t="inlineStr">
        <is>
          <t>Revenue per connection 2028</t>
        </is>
      </c>
      <c r="D312" s="22" t="n">
        <v>893</v>
      </c>
      <c r="E312" s="22">
        <f>'Bills'!$C$25</f>
        <v/>
      </c>
      <c r="F312" s="44" t="n">
        <v>0.500000001</v>
      </c>
      <c r="G312" s="3">
        <f>IF(ISNUMBER(E312),IF(ABS(E312-D312)&lt;=F312,"OK","ERROR"),"ERROR")</f>
        <v/>
      </c>
    </row>
    <row r="313">
      <c r="B313" s="5" t="inlineStr">
        <is>
          <t>rev_per_conn</t>
        </is>
      </c>
      <c r="C313" s="2" t="inlineStr">
        <is>
          <t>Revenue per connection 2037</t>
        </is>
      </c>
      <c r="D313" s="22" t="n">
        <v>1315</v>
      </c>
      <c r="E313" s="22">
        <f>'Bills'!$C$26</f>
        <v/>
      </c>
      <c r="F313" s="44" t="n">
        <v>0.500000001</v>
      </c>
      <c r="G313" s="3">
        <f>IF(ISNUMBER(E313),IF(ABS(E313-D313)&lt;=F313,"OK","ERROR"),"ERROR")</f>
        <v/>
      </c>
    </row>
    <row r="314">
      <c r="B314" s="5" t="inlineStr">
        <is>
          <t>deal_price</t>
        </is>
      </c>
      <c r="C314" s="2" t="inlineStr">
        <is>
          <t>Enterprise value</t>
        </is>
      </c>
      <c r="D314" s="21" t="n">
        <v>1840</v>
      </c>
      <c r="E314" s="21">
        <f>Deal!$D$6</f>
        <v/>
      </c>
      <c r="F314" s="44" t="n">
        <v>0.500000001</v>
      </c>
      <c r="G314" s="3">
        <f>IF(ISNUMBER(E314),IF(ABS(E314-D314)&lt;=F314,"OK","ERROR"),"ERROR")</f>
        <v/>
      </c>
    </row>
    <row r="315">
      <c r="B315" s="5" t="inlineStr">
        <is>
          <t>deal_price</t>
        </is>
      </c>
      <c r="C315" s="2" t="inlineStr">
        <is>
          <t>Per connection ($)</t>
        </is>
      </c>
      <c r="D315" s="22" t="n">
        <v>6815</v>
      </c>
      <c r="E315" s="22">
        <f>Deal!$D$8</f>
        <v/>
      </c>
      <c r="F315" s="44" t="n">
        <v>0.500000001</v>
      </c>
      <c r="G315" s="3">
        <f>IF(ISNUMBER(E315),IF(ABS(E315-D315)&lt;=F315,"OK","ERROR"),"ERROR")</f>
        <v/>
      </c>
    </row>
    <row r="316">
      <c r="B316" s="5" t="inlineStr">
        <is>
          <t>deal_price</t>
        </is>
      </c>
      <c r="C316" s="2" t="inlineStr">
        <is>
          <t>Debt assumed</t>
        </is>
      </c>
      <c r="D316" s="21" t="n">
        <v>575</v>
      </c>
      <c r="E316" s="21">
        <f>Deal!$D$9</f>
        <v/>
      </c>
      <c r="F316" s="44" t="n">
        <v>0.500000001</v>
      </c>
      <c r="G316" s="3">
        <f>IF(ISNUMBER(E316),IF(ABS(E316-D316)&lt;=F316,"OK","ERROR"),"ERROR")</f>
        <v/>
      </c>
    </row>
    <row r="317">
      <c r="B317" s="5" t="inlineStr">
        <is>
          <t>deal_price</t>
        </is>
      </c>
      <c r="C317" s="2" t="inlineStr">
        <is>
          <t>Equity price</t>
        </is>
      </c>
      <c r="D317" s="21" t="n">
        <v>1265</v>
      </c>
      <c r="E317" s="21">
        <f>Deal!$D$10</f>
        <v/>
      </c>
      <c r="F317" s="44" t="n">
        <v>0.500000001</v>
      </c>
      <c r="G317" s="3">
        <f>IF(ISNUMBER(E317),IF(ABS(E317-D317)&lt;=F317,"OK","ERROR"),"ERROR")</f>
        <v/>
      </c>
    </row>
    <row r="318">
      <c r="B318" s="5" t="inlineStr">
        <is>
          <t>deal_price</t>
        </is>
      </c>
      <c r="C318" s="2" t="inlineStr">
        <is>
          <t>Deal costs</t>
        </is>
      </c>
      <c r="D318" s="21" t="n">
        <v>18</v>
      </c>
      <c r="E318" s="21">
        <f>Deal!$D$11</f>
        <v/>
      </c>
      <c r="F318" s="44" t="n">
        <v>0.050000001</v>
      </c>
      <c r="G318" s="3">
        <f>IF(ISNUMBER(E318),IF(ABS(E318-D318)&lt;=F318,"OK","ERROR"),"ERROR")</f>
        <v/>
      </c>
    </row>
    <row r="319">
      <c r="B319" s="5" t="inlineStr">
        <is>
          <t>deal_price</t>
        </is>
      </c>
      <c r="C319" s="2" t="inlineStr">
        <is>
          <t>Holding company loan</t>
        </is>
      </c>
      <c r="D319" s="21" t="n">
        <v>375</v>
      </c>
      <c r="E319" s="21">
        <f>Deal!$D$12</f>
        <v/>
      </c>
      <c r="F319" s="44" t="n">
        <v>0.500000001</v>
      </c>
      <c r="G319" s="3">
        <f>IF(ISNUMBER(E319),IF(ABS(E319-D319)&lt;=F319,"OK","ERROR"),"ERROR")</f>
        <v/>
      </c>
    </row>
    <row r="320">
      <c r="B320" s="5" t="inlineStr">
        <is>
          <t>deal_price</t>
        </is>
      </c>
      <c r="C320" s="2" t="inlineStr">
        <is>
          <t>Brannock's equity</t>
        </is>
      </c>
      <c r="D320" s="21" t="n">
        <v>908</v>
      </c>
      <c r="E320" s="21">
        <f>Deal!$D$13</f>
        <v/>
      </c>
      <c r="F320" s="44" t="n">
        <v>0.500000001</v>
      </c>
      <c r="G320" s="3">
        <f>IF(ISNUMBER(E320),IF(ABS(E320-D320)&lt;=F320,"OK","ERROR"),"ERROR")</f>
        <v/>
      </c>
    </row>
    <row r="321">
      <c r="B321" s="5" t="inlineStr">
        <is>
          <t>approval_conditions</t>
        </is>
      </c>
      <c r="C321" s="2" t="inlineStr">
        <is>
          <t>Acquisition premium</t>
        </is>
      </c>
      <c r="D321" s="21" t="n">
        <v>690</v>
      </c>
      <c r="E321" s="21">
        <f>Deal!$D$14</f>
        <v/>
      </c>
      <c r="F321" s="44" t="n">
        <v>0.500000001</v>
      </c>
      <c r="G321" s="3">
        <f>IF(ISNUMBER(E321),IF(ABS(E321-D321)&lt;=F321,"OK","ERROR"),"ERROR")</f>
        <v/>
      </c>
    </row>
    <row r="322">
      <c r="B322" s="5" t="inlineStr">
        <is>
          <t>approval_conditions</t>
        </is>
      </c>
      <c r="C322" s="2" t="inlineStr">
        <is>
          <t>Deal costs</t>
        </is>
      </c>
      <c r="D322" s="21" t="n">
        <v>18</v>
      </c>
      <c r="E322" s="21">
        <f>Deal!$D$11</f>
        <v/>
      </c>
      <c r="F322" s="44" t="n">
        <v>0.050000001</v>
      </c>
      <c r="G322" s="3">
        <f>IF(ISNUMBER(E322),IF(ABS(E322-D322)&lt;=F322,"OK","ERROR"),"ERROR")</f>
        <v/>
      </c>
    </row>
    <row r="323">
      <c r="B323" s="5" t="inlineStr">
        <is>
          <t>deal_fcfe</t>
        </is>
      </c>
      <c r="C323" s="2" t="inlineStr">
        <is>
          <t>FCFE 2028</t>
        </is>
      </c>
      <c r="D323" s="21" t="n">
        <v>7.9</v>
      </c>
      <c r="E323" s="21">
        <f>Utility!$E$71</f>
        <v/>
      </c>
      <c r="F323" s="44" t="n">
        <v>0.050000001</v>
      </c>
      <c r="G323" s="3">
        <f>IF(ISNUMBER(E323),IF(ABS(E323-D323)&lt;=F323,"OK","ERROR"),"ERROR")</f>
        <v/>
      </c>
    </row>
    <row r="324">
      <c r="B324" s="5" t="inlineStr">
        <is>
          <t>deal_fcfe</t>
        </is>
      </c>
      <c r="C324" s="2" t="inlineStr">
        <is>
          <t>FCFE 2029</t>
        </is>
      </c>
      <c r="D324" s="21" t="n">
        <v>-8.4</v>
      </c>
      <c r="E324" s="21">
        <f>Utility!$F$71</f>
        <v/>
      </c>
      <c r="F324" s="44" t="n">
        <v>0.050000001</v>
      </c>
      <c r="G324" s="3">
        <f>IF(ISNUMBER(E324),IF(ABS(E324-D324)&lt;=F324,"OK","ERROR"),"ERROR")</f>
        <v/>
      </c>
    </row>
    <row r="325">
      <c r="B325" s="5" t="inlineStr">
        <is>
          <t>deal_fcfe</t>
        </is>
      </c>
      <c r="C325" s="2" t="inlineStr">
        <is>
          <t>FCFE 2030</t>
        </is>
      </c>
      <c r="D325" s="21" t="n">
        <v>14.3</v>
      </c>
      <c r="E325" s="21">
        <f>Utility!$G$71</f>
        <v/>
      </c>
      <c r="F325" s="44" t="n">
        <v>0.050000001</v>
      </c>
      <c r="G325" s="3">
        <f>IF(ISNUMBER(E325),IF(ABS(E325-D325)&lt;=F325,"OK","ERROR"),"ERROR")</f>
        <v/>
      </c>
    </row>
    <row r="326">
      <c r="B326" s="5" t="inlineStr">
        <is>
          <t>deal_fcfe</t>
        </is>
      </c>
      <c r="C326" s="2" t="inlineStr">
        <is>
          <t>FCFE 2031</t>
        </is>
      </c>
      <c r="D326" s="21" t="n">
        <v>34.6</v>
      </c>
      <c r="E326" s="21">
        <f>Utility!$H$71</f>
        <v/>
      </c>
      <c r="F326" s="44" t="n">
        <v>0.050000001</v>
      </c>
      <c r="G326" s="3">
        <f>IF(ISNUMBER(E326),IF(ABS(E326-D326)&lt;=F326,"OK","ERROR"),"ERROR")</f>
        <v/>
      </c>
    </row>
    <row r="327">
      <c r="B327" s="5" t="inlineStr">
        <is>
          <t>deal_fcfe</t>
        </is>
      </c>
      <c r="C327" s="2" t="inlineStr">
        <is>
          <t>FCFE 2032</t>
        </is>
      </c>
      <c r="D327" s="21" t="n">
        <v>35</v>
      </c>
      <c r="E327" s="21">
        <f>Utility!$I$71</f>
        <v/>
      </c>
      <c r="F327" s="44" t="n">
        <v>0.050000001</v>
      </c>
      <c r="G327" s="3">
        <f>IF(ISNUMBER(E327),IF(ABS(E327-D327)&lt;=F327,"OK","ERROR"),"ERROR")</f>
        <v/>
      </c>
    </row>
    <row r="328">
      <c r="B328" s="5" t="inlineStr">
        <is>
          <t>deal_fcfe</t>
        </is>
      </c>
      <c r="C328" s="2" t="inlineStr">
        <is>
          <t>FCFE 2033</t>
        </is>
      </c>
      <c r="D328" s="21" t="n">
        <v>40.5</v>
      </c>
      <c r="E328" s="21">
        <f>Utility!$J$71</f>
        <v/>
      </c>
      <c r="F328" s="44" t="n">
        <v>0.050000001</v>
      </c>
      <c r="G328" s="3">
        <f>IF(ISNUMBER(E328),IF(ABS(E328-D328)&lt;=F328,"OK","ERROR"),"ERROR")</f>
        <v/>
      </c>
    </row>
    <row r="329">
      <c r="B329" s="5" t="inlineStr">
        <is>
          <t>deal_fcfe</t>
        </is>
      </c>
      <c r="C329" s="2" t="inlineStr">
        <is>
          <t>FCFE 2034</t>
        </is>
      </c>
      <c r="D329" s="21" t="n">
        <v>41</v>
      </c>
      <c r="E329" s="21">
        <f>Utility!$K$71</f>
        <v/>
      </c>
      <c r="F329" s="44" t="n">
        <v>0.050000001</v>
      </c>
      <c r="G329" s="3">
        <f>IF(ISNUMBER(E329),IF(ABS(E329-D329)&lt;=F329,"OK","ERROR"),"ERROR")</f>
        <v/>
      </c>
    </row>
    <row r="330">
      <c r="B330" s="5" t="inlineStr">
        <is>
          <t>deal_fcfe</t>
        </is>
      </c>
      <c r="C330" s="2" t="inlineStr">
        <is>
          <t>FCFE 2035</t>
        </is>
      </c>
      <c r="D330" s="21" t="n">
        <v>46.6</v>
      </c>
      <c r="E330" s="21">
        <f>Utility!$L$71</f>
        <v/>
      </c>
      <c r="F330" s="44" t="n">
        <v>0.050000001</v>
      </c>
      <c r="G330" s="3">
        <f>IF(ISNUMBER(E330),IF(ABS(E330-D330)&lt;=F330,"OK","ERROR"),"ERROR")</f>
        <v/>
      </c>
    </row>
    <row r="331">
      <c r="B331" s="5" t="inlineStr">
        <is>
          <t>deal_fcfe</t>
        </is>
      </c>
      <c r="C331" s="2" t="inlineStr">
        <is>
          <t>FCFE 2036</t>
        </is>
      </c>
      <c r="D331" s="21" t="n">
        <v>47.2</v>
      </c>
      <c r="E331" s="21">
        <f>Utility!$M$71</f>
        <v/>
      </c>
      <c r="F331" s="44" t="n">
        <v>0.050000001</v>
      </c>
      <c r="G331" s="3">
        <f>IF(ISNUMBER(E331),IF(ABS(E331-D331)&lt;=F331,"OK","ERROR"),"ERROR")</f>
        <v/>
      </c>
    </row>
    <row r="332">
      <c r="B332" s="5" t="inlineStr">
        <is>
          <t>deal_fcfe</t>
        </is>
      </c>
      <c r="C332" s="2" t="inlineStr">
        <is>
          <t>FCFE 2037</t>
        </is>
      </c>
      <c r="D332" s="21" t="n">
        <v>52.8</v>
      </c>
      <c r="E332" s="21">
        <f>Utility!$N$71</f>
        <v/>
      </c>
      <c r="F332" s="44" t="n">
        <v>0.050000001</v>
      </c>
      <c r="G332" s="3">
        <f>IF(ISNUMBER(E332),IF(ABS(E332-D332)&lt;=F332,"OK","ERROR"),"ERROR")</f>
        <v/>
      </c>
    </row>
    <row r="333">
      <c r="B333" s="5" t="inlineStr">
        <is>
          <t>deal_holdco</t>
        </is>
      </c>
      <c r="C333" s="2" t="inlineStr">
        <is>
          <t>Interest after tax</t>
        </is>
      </c>
      <c r="D333" s="21" t="n">
        <v>18</v>
      </c>
      <c r="E333" s="21">
        <f>Deal!$D$16</f>
        <v/>
      </c>
      <c r="F333" s="44" t="n">
        <v>0.050000001</v>
      </c>
      <c r="G333" s="3">
        <f>IF(ISNUMBER(E333),IF(ABS(E333-D333)&lt;=F333,"OK","ERROR"),"ERROR")</f>
        <v/>
      </c>
    </row>
    <row r="334">
      <c r="B334" s="5" t="inlineStr">
        <is>
          <t>deal_holdco</t>
        </is>
      </c>
      <c r="C334" s="2" t="inlineStr">
        <is>
          <t>Interest before tax</t>
        </is>
      </c>
      <c r="D334" s="21" t="n">
        <v>24</v>
      </c>
      <c r="E334" s="21">
        <f>Deal!$D$15</f>
        <v/>
      </c>
      <c r="F334" s="44" t="n">
        <v>0.050000001</v>
      </c>
      <c r="G334" s="3">
        <f>IF(ISNUMBER(E334),IF(ABS(E334-D334)&lt;=F334,"OK","ERROR"),"ERROR")</f>
        <v/>
      </c>
    </row>
    <row r="335">
      <c r="B335" s="5" t="inlineStr">
        <is>
          <t>deal_holdco</t>
        </is>
      </c>
      <c r="C335" s="2" t="inlineStr">
        <is>
          <t>Cover 2028</t>
        </is>
      </c>
      <c r="D335" s="39" t="n">
        <v>0.33</v>
      </c>
      <c r="E335" s="39">
        <f>Credit!$E$12</f>
        <v/>
      </c>
      <c r="F335" s="44" t="n">
        <v>0.005000001</v>
      </c>
      <c r="G335" s="3">
        <f>IF(ISNUMBER(E335),IF(ABS(E335-D335)&lt;=F335,"OK","ERROR"),"ERROR")</f>
        <v/>
      </c>
    </row>
    <row r="336">
      <c r="B336" s="5" t="inlineStr">
        <is>
          <t>deal_holdco</t>
        </is>
      </c>
      <c r="C336" s="2" t="inlineStr">
        <is>
          <t>Equity the utility needs in 2029</t>
        </is>
      </c>
      <c r="D336" s="21" t="n">
        <v>8.4</v>
      </c>
      <c r="E336" s="21">
        <f>-Utility!$F$71</f>
        <v/>
      </c>
      <c r="F336" s="44" t="n">
        <v>0.050000001</v>
      </c>
      <c r="G336" s="3">
        <f>IF(ISNUMBER(E336),IF(ABS(E336-D336)&lt;=F336,"OK","ERROR"),"ERROR")</f>
        <v/>
      </c>
    </row>
    <row r="337">
      <c r="B337" s="5" t="inlineStr">
        <is>
          <t>deal_holdco</t>
        </is>
      </c>
      <c r="C337" s="2" t="inlineStr">
        <is>
          <t>Injections over the hold</t>
        </is>
      </c>
      <c r="D337" s="21" t="n">
        <v>40.2</v>
      </c>
      <c r="E337" s="21">
        <f>Deal!$D$32</f>
        <v/>
      </c>
      <c r="F337" s="44" t="n">
        <v>0.050000001</v>
      </c>
      <c r="G337" s="3">
        <f>IF(ISNUMBER(E337),IF(ABS(E337-D337)&lt;=F337,"OK","ERROR"),"ERROR")</f>
        <v/>
      </c>
    </row>
    <row r="338">
      <c r="B338" s="5" t="inlineStr">
        <is>
          <t>deal_flows</t>
        </is>
      </c>
      <c r="C338" s="2" t="inlineStr">
        <is>
          <t>Net flow 2027</t>
        </is>
      </c>
      <c r="D338" s="21" t="n">
        <v>-908</v>
      </c>
      <c r="E338" s="21">
        <f>Deal!$D$23</f>
        <v/>
      </c>
      <c r="F338" s="44" t="n">
        <v>0.500000001</v>
      </c>
      <c r="G338" s="3">
        <f>IF(ISNUMBER(E338),IF(ABS(E338-D338)&lt;=F338,"OK","ERROR"),"ERROR")</f>
        <v/>
      </c>
    </row>
    <row r="339">
      <c r="B339" s="5" t="inlineStr">
        <is>
          <t>deal_flows</t>
        </is>
      </c>
      <c r="C339" s="2" t="inlineStr">
        <is>
          <t>Net flow 2028</t>
        </is>
      </c>
      <c r="D339" s="21" t="n">
        <v>-10.1</v>
      </c>
      <c r="E339" s="21">
        <f>Deal!$E$23</f>
        <v/>
      </c>
      <c r="F339" s="44" t="n">
        <v>0.050000001</v>
      </c>
      <c r="G339" s="3">
        <f>IF(ISNUMBER(E339),IF(ABS(E339-D339)&lt;=F339,"OK","ERROR"),"ERROR")</f>
        <v/>
      </c>
    </row>
    <row r="340">
      <c r="B340" s="5" t="inlineStr">
        <is>
          <t>deal_flows</t>
        </is>
      </c>
      <c r="C340" s="2" t="inlineStr">
        <is>
          <t>Net flow 2029</t>
        </is>
      </c>
      <c r="D340" s="21" t="n">
        <v>-26.4</v>
      </c>
      <c r="E340" s="21">
        <f>Deal!$F$23</f>
        <v/>
      </c>
      <c r="F340" s="44" t="n">
        <v>0.050000001</v>
      </c>
      <c r="G340" s="3">
        <f>IF(ISNUMBER(E340),IF(ABS(E340-D340)&lt;=F340,"OK","ERROR"),"ERROR")</f>
        <v/>
      </c>
    </row>
    <row r="341">
      <c r="B341" s="5" t="inlineStr">
        <is>
          <t>deal_flows</t>
        </is>
      </c>
      <c r="C341" s="2" t="inlineStr">
        <is>
          <t>Net flow 2030</t>
        </is>
      </c>
      <c r="D341" s="21" t="n">
        <v>-3.7</v>
      </c>
      <c r="E341" s="21">
        <f>Deal!$G$23</f>
        <v/>
      </c>
      <c r="F341" s="44" t="n">
        <v>0.050000001</v>
      </c>
      <c r="G341" s="3">
        <f>IF(ISNUMBER(E341),IF(ABS(E341-D341)&lt;=F341,"OK","ERROR"),"ERROR")</f>
        <v/>
      </c>
    </row>
    <row r="342">
      <c r="B342" s="5" t="inlineStr">
        <is>
          <t>deal_flows</t>
        </is>
      </c>
      <c r="C342" s="2" t="inlineStr">
        <is>
          <t>Net flow 2031</t>
        </is>
      </c>
      <c r="D342" s="21" t="n">
        <v>16.6</v>
      </c>
      <c r="E342" s="21">
        <f>Deal!$H$23</f>
        <v/>
      </c>
      <c r="F342" s="44" t="n">
        <v>0.050000001</v>
      </c>
      <c r="G342" s="3">
        <f>IF(ISNUMBER(E342),IF(ABS(E342-D342)&lt;=F342,"OK","ERROR"),"ERROR")</f>
        <v/>
      </c>
    </row>
    <row r="343">
      <c r="B343" s="5" t="inlineStr">
        <is>
          <t>deal_flows</t>
        </is>
      </c>
      <c r="C343" s="2" t="inlineStr">
        <is>
          <t>Net flow 2032</t>
        </is>
      </c>
      <c r="D343" s="21" t="n">
        <v>17</v>
      </c>
      <c r="E343" s="21">
        <f>Deal!$I$23</f>
        <v/>
      </c>
      <c r="F343" s="44" t="n">
        <v>0.050000001</v>
      </c>
      <c r="G343" s="3">
        <f>IF(ISNUMBER(E343),IF(ABS(E343-D343)&lt;=F343,"OK","ERROR"),"ERROR")</f>
        <v/>
      </c>
    </row>
    <row r="344">
      <c r="B344" s="5" t="inlineStr">
        <is>
          <t>deal_flows</t>
        </is>
      </c>
      <c r="C344" s="2" t="inlineStr">
        <is>
          <t>Net flow 2033</t>
        </is>
      </c>
      <c r="D344" s="21" t="n">
        <v>22.5</v>
      </c>
      <c r="E344" s="21">
        <f>Deal!$J$23</f>
        <v/>
      </c>
      <c r="F344" s="44" t="n">
        <v>0.050000001</v>
      </c>
      <c r="G344" s="3">
        <f>IF(ISNUMBER(E344),IF(ABS(E344-D344)&lt;=F344,"OK","ERROR"),"ERROR")</f>
        <v/>
      </c>
    </row>
    <row r="345">
      <c r="B345" s="5" t="inlineStr">
        <is>
          <t>deal_flows</t>
        </is>
      </c>
      <c r="C345" s="2" t="inlineStr">
        <is>
          <t>Net flow 2034</t>
        </is>
      </c>
      <c r="D345" s="21" t="n">
        <v>23</v>
      </c>
      <c r="E345" s="21">
        <f>Deal!$K$23</f>
        <v/>
      </c>
      <c r="F345" s="44" t="n">
        <v>0.050000001</v>
      </c>
      <c r="G345" s="3">
        <f>IF(ISNUMBER(E345),IF(ABS(E345-D345)&lt;=F345,"OK","ERROR"),"ERROR")</f>
        <v/>
      </c>
    </row>
    <row r="346">
      <c r="B346" s="5" t="inlineStr">
        <is>
          <t>deal_flows</t>
        </is>
      </c>
      <c r="C346" s="2" t="inlineStr">
        <is>
          <t>Net flow 2035</t>
        </is>
      </c>
      <c r="D346" s="21" t="n">
        <v>28.6</v>
      </c>
      <c r="E346" s="21">
        <f>Deal!$L$23</f>
        <v/>
      </c>
      <c r="F346" s="44" t="n">
        <v>0.050000001</v>
      </c>
      <c r="G346" s="3">
        <f>IF(ISNUMBER(E346),IF(ABS(E346-D346)&lt;=F346,"OK","ERROR"),"ERROR")</f>
        <v/>
      </c>
    </row>
    <row r="347">
      <c r="B347" s="5" t="inlineStr">
        <is>
          <t>deal_flows</t>
        </is>
      </c>
      <c r="C347" s="2" t="inlineStr">
        <is>
          <t>Net flow 2036</t>
        </is>
      </c>
      <c r="D347" s="21" t="n">
        <v>29.2</v>
      </c>
      <c r="E347" s="21">
        <f>Deal!$M$23</f>
        <v/>
      </c>
      <c r="F347" s="44" t="n">
        <v>0.050000001</v>
      </c>
      <c r="G347" s="3">
        <f>IF(ISNUMBER(E347),IF(ABS(E347-D347)&lt;=F347,"OK","ERROR"),"ERROR")</f>
        <v/>
      </c>
    </row>
    <row r="348">
      <c r="B348" s="5" t="inlineStr">
        <is>
          <t>deal_flows</t>
        </is>
      </c>
      <c r="C348" s="2" t="inlineStr">
        <is>
          <t>Net flow 2037</t>
        </is>
      </c>
      <c r="D348" s="21" t="n">
        <v>1871</v>
      </c>
      <c r="E348" s="21">
        <f>Deal!$N$23</f>
        <v/>
      </c>
      <c r="F348" s="44" t="n">
        <v>0.500000001</v>
      </c>
      <c r="G348" s="3">
        <f>IF(ISNUMBER(E348),IF(ABS(E348-D348)&lt;=F348,"OK","ERROR"),"ERROR")</f>
        <v/>
      </c>
    </row>
    <row r="349">
      <c r="B349" s="5" t="inlineStr">
        <is>
          <t>deal_exit</t>
        </is>
      </c>
      <c r="C349" s="2" t="inlineStr">
        <is>
          <t>Rate base at exit</t>
        </is>
      </c>
      <c r="D349" s="21" t="n">
        <v>2010</v>
      </c>
      <c r="E349" s="21">
        <f>Deal!$D$35</f>
        <v/>
      </c>
      <c r="F349" s="44" t="n">
        <v>0.500000001</v>
      </c>
      <c r="G349" s="3">
        <f>IF(ISNUMBER(E349),IF(ABS(E349-D349)&lt;=F349,"OK","ERROR"),"ERROR")</f>
        <v/>
      </c>
    </row>
    <row r="350">
      <c r="B350" s="5" t="inlineStr">
        <is>
          <t>deal_exit</t>
        </is>
      </c>
      <c r="C350" s="2" t="inlineStr">
        <is>
          <t>Enterprise value at exit</t>
        </is>
      </c>
      <c r="D350" s="21" t="n">
        <v>3216</v>
      </c>
      <c r="E350" s="21">
        <f>Deal!$D$36</f>
        <v/>
      </c>
      <c r="F350" s="44" t="n">
        <v>0.500000001</v>
      </c>
      <c r="G350" s="3">
        <f>IF(ISNUMBER(E350),IF(ABS(E350-D350)&lt;=F350,"OK","ERROR"),"ERROR")</f>
        <v/>
      </c>
    </row>
    <row r="351">
      <c r="B351" s="5" t="inlineStr">
        <is>
          <t>deal_exit</t>
        </is>
      </c>
      <c r="C351" s="2" t="inlineStr">
        <is>
          <t>Operating debt at exit</t>
        </is>
      </c>
      <c r="D351" s="21" t="n">
        <v>1005</v>
      </c>
      <c r="E351" s="21">
        <f>Deal!$D$37</f>
        <v/>
      </c>
      <c r="F351" s="44" t="n">
        <v>0.500000001</v>
      </c>
      <c r="G351" s="3">
        <f>IF(ISNUMBER(E351),IF(ABS(E351-D351)&lt;=F351,"OK","ERROR"),"ERROR")</f>
        <v/>
      </c>
    </row>
    <row r="352">
      <c r="B352" s="5" t="inlineStr">
        <is>
          <t>deal_exit</t>
        </is>
      </c>
      <c r="C352" s="2" t="inlineStr">
        <is>
          <t>Exit equity</t>
        </is>
      </c>
      <c r="D352" s="21" t="n">
        <v>1836</v>
      </c>
      <c r="E352" s="21">
        <f>Deal!$D$38</f>
        <v/>
      </c>
      <c r="F352" s="44" t="n">
        <v>0.500000001</v>
      </c>
      <c r="G352" s="3">
        <f>IF(ISNUMBER(E352),IF(ABS(E352-D352)&lt;=F352,"OK","ERROR"),"ERROR")</f>
        <v/>
      </c>
    </row>
    <row r="353">
      <c r="B353" s="5" t="inlineStr">
        <is>
          <t>deal_returns</t>
        </is>
      </c>
      <c r="C353" s="2" t="inlineStr">
        <is>
          <t>Levered IRR</t>
        </is>
      </c>
      <c r="D353" s="45" t="n">
        <v>0.0806</v>
      </c>
      <c r="E353" s="45">
        <f>Deal!$D$31</f>
        <v/>
      </c>
      <c r="F353" s="44" t="n">
        <v>5.0001e-05</v>
      </c>
      <c r="G353" s="3">
        <f>IF(ISNUMBER(E353),IF(ABS(E353-D353)&lt;=F353,"OK","ERROR"),"ERROR")</f>
        <v/>
      </c>
    </row>
    <row r="354">
      <c r="B354" s="5" t="inlineStr">
        <is>
          <t>deal_returns</t>
        </is>
      </c>
      <c r="C354" s="2" t="inlineStr">
        <is>
          <t>Money multiple</t>
        </is>
      </c>
      <c r="D354" s="39" t="n">
        <v>2.12</v>
      </c>
      <c r="E354" s="39">
        <f>Deal!$D$33</f>
        <v/>
      </c>
      <c r="F354" s="44" t="n">
        <v>0.005000001</v>
      </c>
      <c r="G354" s="3">
        <f>IF(ISNUMBER(E354),IF(ABS(E354-D354)&lt;=F354,"OK","ERROR"),"ERROR")</f>
        <v/>
      </c>
    </row>
    <row r="355">
      <c r="B355" s="5" t="inlineStr">
        <is>
          <t>deal_returns</t>
        </is>
      </c>
      <c r="C355" s="2" t="inlineStr">
        <is>
          <t>Unlevered IRR</t>
        </is>
      </c>
      <c r="D355" s="45" t="n">
        <v>0.0622</v>
      </c>
      <c r="E355" s="45">
        <f>Deal!$D$34</f>
        <v/>
      </c>
      <c r="F355" s="44" t="n">
        <v>5.0001e-05</v>
      </c>
      <c r="G355" s="3">
        <f>IF(ISNUMBER(E355),IF(ABS(E355-D355)&lt;=F355,"OK","ERROR"),"ERROR")</f>
        <v/>
      </c>
    </row>
    <row r="356">
      <c r="B356" s="5" t="inlineStr">
        <is>
          <t>deal_walkaway</t>
        </is>
      </c>
      <c r="C356" s="2" t="inlineStr">
        <is>
          <t>Price at the target</t>
        </is>
      </c>
      <c r="D356" s="21" t="n">
        <v>1845</v>
      </c>
      <c r="E356" s="21">
        <f>Deal!$D$39</f>
        <v/>
      </c>
      <c r="F356" s="44" t="n">
        <v>0.500000001</v>
      </c>
      <c r="G356" s="3">
        <f>IF(ISNUMBER(E356),IF(ABS(E356-D356)&lt;=F356,"OK","ERROR"),"ERROR")</f>
        <v/>
      </c>
    </row>
    <row r="357">
      <c r="B357" s="5" t="inlineStr">
        <is>
          <t>deal_walkaway</t>
        </is>
      </c>
      <c r="C357" s="2" t="inlineStr">
        <is>
          <t>Multiple at the target</t>
        </is>
      </c>
      <c r="D357" s="39" t="n">
        <v>1.6</v>
      </c>
      <c r="E357" s="39">
        <f>Deal!$D$40</f>
        <v/>
      </c>
      <c r="F357" s="44" t="n">
        <v>0.005000001</v>
      </c>
      <c r="G357" s="3">
        <f>IF(ISNUMBER(E357),IF(ABS(E357-D357)&lt;=F357,"OK","ERROR"),"ERROR")</f>
        <v/>
      </c>
    </row>
    <row r="358">
      <c r="B358" s="5" t="inlineStr">
        <is>
          <t>deal_walkaway</t>
        </is>
      </c>
      <c r="C358" s="2" t="inlineStr">
        <is>
          <t>Walk-away price</t>
        </is>
      </c>
      <c r="D358" s="21" t="n">
        <v>1888</v>
      </c>
      <c r="E358" s="21">
        <f>Deal!$D$41</f>
        <v/>
      </c>
      <c r="F358" s="44" t="n">
        <v>0.500000001</v>
      </c>
      <c r="G358" s="3">
        <f>IF(ISNUMBER(E358),IF(ABS(E358-D358)&lt;=F358,"OK","ERROR"),"ERROR")</f>
        <v/>
      </c>
    </row>
    <row r="359">
      <c r="B359" s="5" t="inlineStr">
        <is>
          <t>deal_walkaway</t>
        </is>
      </c>
      <c r="C359" s="2" t="inlineStr">
        <is>
          <t>Walk-away multiple</t>
        </is>
      </c>
      <c r="D359" s="39" t="n">
        <v>1.64</v>
      </c>
      <c r="E359" s="39">
        <f>Deal!$D$42</f>
        <v/>
      </c>
      <c r="F359" s="44" t="n">
        <v>0.005000001</v>
      </c>
      <c r="G359" s="3">
        <f>IF(ISNUMBER(E359),IF(ABS(E359-D359)&lt;=F359,"OK","ERROR"),"ERROR")</f>
        <v/>
      </c>
    </row>
    <row r="360">
      <c r="B360" s="5" t="inlineStr">
        <is>
          <t>dcf_check</t>
        </is>
      </c>
      <c r="C360" s="2" t="inlineStr">
        <is>
          <t>Equity value</t>
        </is>
      </c>
      <c r="D360" s="21" t="n">
        <v>1207</v>
      </c>
      <c r="E360" s="21">
        <f>Deal!$D$43</f>
        <v/>
      </c>
      <c r="F360" s="44" t="n">
        <v>0.500000001</v>
      </c>
      <c r="G360" s="3">
        <f>IF(ISNUMBER(E360),IF(ABS(E360-D360)&lt;=F360,"OK","ERROR"),"ERROR")</f>
        <v/>
      </c>
    </row>
    <row r="361">
      <c r="B361" s="5" t="inlineStr">
        <is>
          <t>dcf_check</t>
        </is>
      </c>
      <c r="C361" s="2" t="inlineStr">
        <is>
          <t>Enterprise value</t>
        </is>
      </c>
      <c r="D361" s="21" t="n">
        <v>1782</v>
      </c>
      <c r="E361" s="21">
        <f>Deal!$D$44</f>
        <v/>
      </c>
      <c r="F361" s="44" t="n">
        <v>0.500000001</v>
      </c>
      <c r="G361" s="3">
        <f>IF(ISNUMBER(E361),IF(ABS(E361-D361)&lt;=F361,"OK","ERROR"),"ERROR")</f>
        <v/>
      </c>
    </row>
    <row r="362">
      <c r="B362" s="5" t="inlineStr">
        <is>
          <t>dcf_check</t>
        </is>
      </c>
      <c r="C362" s="2" t="inlineStr">
        <is>
          <t>Multiple</t>
        </is>
      </c>
      <c r="D362" s="39" t="n">
        <v>1.55</v>
      </c>
      <c r="E362" s="39">
        <f>Deal!$D$45</f>
        <v/>
      </c>
      <c r="F362" s="44" t="n">
        <v>0.005000001</v>
      </c>
      <c r="G362" s="3">
        <f>IF(ISNUMBER(E362),IF(ABS(E362-D362)&lt;=F362,"OK","ERROR"),"ERROR")</f>
        <v/>
      </c>
    </row>
    <row r="363">
      <c r="B363" s="5" t="inlineStr">
        <is>
          <t>why_premium</t>
        </is>
      </c>
      <c r="C363" s="2" t="inlineStr">
        <is>
          <t>Rate base growth a year</t>
        </is>
      </c>
      <c r="D363" s="46" t="n">
        <v>0.057</v>
      </c>
      <c r="E363" s="46">
        <f>Deal!$D$48</f>
        <v/>
      </c>
      <c r="F363" s="44" t="n">
        <v>0.000500001</v>
      </c>
      <c r="G363" s="3">
        <f>IF(ISNUMBER(E363),IF(ABS(E363-D363)&lt;=F363,"OK","ERROR"),"ERROR")</f>
        <v/>
      </c>
    </row>
    <row r="364">
      <c r="B364" s="5" t="inlineStr">
        <is>
          <t>why_premium</t>
        </is>
      </c>
      <c r="C364" s="2" t="inlineStr">
        <is>
          <t>Earned on the equity share</t>
        </is>
      </c>
      <c r="D364" s="45" t="n">
        <v>0.048</v>
      </c>
      <c r="E364" s="45">
        <f>Deal!$D$49</f>
        <v/>
      </c>
      <c r="F364" s="44" t="n">
        <v>5.0001e-05</v>
      </c>
      <c r="G364" s="3">
        <f>IF(ISNUMBER(E364),IF(ABS(E364-D364)&lt;=F364,"OK","ERROR"),"ERROR")</f>
        <v/>
      </c>
    </row>
    <row r="365">
      <c r="B365" s="5" t="inlineStr">
        <is>
          <t>why_premium</t>
        </is>
      </c>
      <c r="C365" s="2" t="inlineStr">
        <is>
          <t>Required on the equity share</t>
        </is>
      </c>
      <c r="D365" s="45" t="n">
        <v>0.04</v>
      </c>
      <c r="E365" s="45">
        <f>Deal!$D$50</f>
        <v/>
      </c>
      <c r="F365" s="44" t="n">
        <v>5.0001e-05</v>
      </c>
      <c r="G365" s="3">
        <f>IF(ISNUMBER(E365),IF(ABS(E365-D365)&lt;=F365,"OK","ERROR"),"ERROR")</f>
        <v/>
      </c>
    </row>
    <row r="366">
      <c r="B366" s="5" t="inlineStr">
        <is>
          <t>exit_table</t>
        </is>
      </c>
      <c r="C366" s="2" t="inlineStr">
        <is>
          <t>IRR at 1.40x</t>
        </is>
      </c>
      <c r="D366" s="45" t="n">
        <v>0.0562</v>
      </c>
      <c r="E366" s="45">
        <f>Deal!$O$56</f>
        <v/>
      </c>
      <c r="F366" s="44" t="n">
        <v>5.0001e-05</v>
      </c>
      <c r="G366" s="3">
        <f>IF(ISNUMBER(E366),IF(ABS(E366-D366)&lt;=F366,"OK","ERROR"),"ERROR")</f>
        <v/>
      </c>
    </row>
    <row r="367">
      <c r="B367" s="5" t="inlineStr">
        <is>
          <t>exit_table</t>
        </is>
      </c>
      <c r="C367" s="2" t="inlineStr">
        <is>
          <t>Exit equity at 1.40x</t>
        </is>
      </c>
      <c r="D367" s="21" t="n">
        <v>1434</v>
      </c>
      <c r="E367" s="21">
        <f>Deal!$P$56</f>
        <v/>
      </c>
      <c r="F367" s="44" t="n">
        <v>0.500000001</v>
      </c>
      <c r="G367" s="3">
        <f>IF(ISNUMBER(E367),IF(ABS(E367-D367)&lt;=F367,"OK","ERROR"),"ERROR")</f>
        <v/>
      </c>
    </row>
    <row r="368">
      <c r="B368" s="5" t="inlineStr">
        <is>
          <t>exit_table</t>
        </is>
      </c>
      <c r="C368" s="2" t="inlineStr">
        <is>
          <t>IRR at 1.50x</t>
        </is>
      </c>
      <c r="D368" s="45" t="n">
        <v>0.06900000000000001</v>
      </c>
      <c r="E368" s="45">
        <f>Deal!$O$57</f>
        <v/>
      </c>
      <c r="F368" s="44" t="n">
        <v>5.0001e-05</v>
      </c>
      <c r="G368" s="3">
        <f>IF(ISNUMBER(E368),IF(ABS(E368-D368)&lt;=F368,"OK","ERROR"),"ERROR")</f>
        <v/>
      </c>
    </row>
    <row r="369">
      <c r="B369" s="5" t="inlineStr">
        <is>
          <t>exit_table</t>
        </is>
      </c>
      <c r="C369" s="2" t="inlineStr">
        <is>
          <t>Exit equity at 1.50x</t>
        </is>
      </c>
      <c r="D369" s="21" t="n">
        <v>1635</v>
      </c>
      <c r="E369" s="21">
        <f>Deal!$P$57</f>
        <v/>
      </c>
      <c r="F369" s="44" t="n">
        <v>0.500000001</v>
      </c>
      <c r="G369" s="3">
        <f>IF(ISNUMBER(E369),IF(ABS(E369-D369)&lt;=F369,"OK","ERROR"),"ERROR")</f>
        <v/>
      </c>
    </row>
    <row r="370">
      <c r="B370" s="5" t="inlineStr">
        <is>
          <t>exit_table</t>
        </is>
      </c>
      <c r="C370" s="2" t="inlineStr">
        <is>
          <t>IRR at 1.60x</t>
        </is>
      </c>
      <c r="D370" s="45" t="n">
        <v>0.0806</v>
      </c>
      <c r="E370" s="45">
        <f>Deal!$O$58</f>
        <v/>
      </c>
      <c r="F370" s="44" t="n">
        <v>5.0001e-05</v>
      </c>
      <c r="G370" s="3">
        <f>IF(ISNUMBER(E370),IF(ABS(E370-D370)&lt;=F370,"OK","ERROR"),"ERROR")</f>
        <v/>
      </c>
    </row>
    <row r="371">
      <c r="B371" s="5" t="inlineStr">
        <is>
          <t>exit_table</t>
        </is>
      </c>
      <c r="C371" s="2" t="inlineStr">
        <is>
          <t>Exit equity at 1.60x</t>
        </is>
      </c>
      <c r="D371" s="21" t="n">
        <v>1836</v>
      </c>
      <c r="E371" s="21">
        <f>Deal!$P$58</f>
        <v/>
      </c>
      <c r="F371" s="44" t="n">
        <v>0.500000001</v>
      </c>
      <c r="G371" s="3">
        <f>IF(ISNUMBER(E371),IF(ABS(E371-D371)&lt;=F371,"OK","ERROR"),"ERROR")</f>
        <v/>
      </c>
    </row>
    <row r="372">
      <c r="B372" s="5" t="inlineStr">
        <is>
          <t>exit_table</t>
        </is>
      </c>
      <c r="C372" s="2" t="inlineStr">
        <is>
          <t>IRR at 1.70x</t>
        </is>
      </c>
      <c r="D372" s="45" t="n">
        <v>0.0911</v>
      </c>
      <c r="E372" s="45">
        <f>Deal!$O$59</f>
        <v/>
      </c>
      <c r="F372" s="44" t="n">
        <v>5.0001e-05</v>
      </c>
      <c r="G372" s="3">
        <f>IF(ISNUMBER(E372),IF(ABS(E372-D372)&lt;=F372,"OK","ERROR"),"ERROR")</f>
        <v/>
      </c>
    </row>
    <row r="373">
      <c r="B373" s="5" t="inlineStr">
        <is>
          <t>exit_table</t>
        </is>
      </c>
      <c r="C373" s="2" t="inlineStr">
        <is>
          <t>Exit equity at 1.70x</t>
        </is>
      </c>
      <c r="D373" s="21" t="n">
        <v>2037</v>
      </c>
      <c r="E373" s="21">
        <f>Deal!$P$59</f>
        <v/>
      </c>
      <c r="F373" s="44" t="n">
        <v>0.500000001</v>
      </c>
      <c r="G373" s="3">
        <f>IF(ISNUMBER(E373),IF(ABS(E373-D373)&lt;=F373,"OK","ERROR"),"ERROR")</f>
        <v/>
      </c>
    </row>
    <row r="374">
      <c r="B374" s="5" t="inlineStr">
        <is>
          <t>exit_table</t>
        </is>
      </c>
      <c r="C374" s="2" t="inlineStr">
        <is>
          <t>IRR at 1.80x</t>
        </is>
      </c>
      <c r="D374" s="45" t="n">
        <v>0.1008</v>
      </c>
      <c r="E374" s="45">
        <f>Deal!$O$60</f>
        <v/>
      </c>
      <c r="F374" s="44" t="n">
        <v>5.0001e-05</v>
      </c>
      <c r="G374" s="3">
        <f>IF(ISNUMBER(E374),IF(ABS(E374-D374)&lt;=F374,"OK","ERROR"),"ERROR")</f>
        <v/>
      </c>
    </row>
    <row r="375">
      <c r="B375" s="5" t="inlineStr">
        <is>
          <t>exit_table</t>
        </is>
      </c>
      <c r="C375" s="2" t="inlineStr">
        <is>
          <t>Exit equity at 1.80x</t>
        </is>
      </c>
      <c r="D375" s="21" t="n">
        <v>2238</v>
      </c>
      <c r="E375" s="21">
        <f>Deal!$P$60</f>
        <v/>
      </c>
      <c r="F375" s="44" t="n">
        <v>0.500000001</v>
      </c>
      <c r="G375" s="3">
        <f>IF(ISNUMBER(E375),IF(ABS(E375-D375)&lt;=F375,"OK","ERROR"),"ERROR")</f>
        <v/>
      </c>
    </row>
    <row r="376">
      <c r="B376" s="5" t="inlineStr">
        <is>
          <t>sens_1</t>
        </is>
      </c>
      <c r="C376" s="2" t="inlineStr">
        <is>
          <t>Levered IRR</t>
        </is>
      </c>
      <c r="D376" s="45" t="n">
        <v>0.0779</v>
      </c>
      <c r="E376" s="45">
        <f>Sensitivities!$C$7</f>
        <v/>
      </c>
      <c r="F376" s="44" t="n">
        <v>5.0001e-05</v>
      </c>
      <c r="G376" s="3">
        <f>IF(ISNUMBER(E376),IF(ABS(E376-D376)&lt;=F376,"OK","ERROR"),"ERROR")</f>
        <v/>
      </c>
    </row>
    <row r="377">
      <c r="B377" s="5" t="inlineStr">
        <is>
          <t>sens_1</t>
        </is>
      </c>
      <c r="C377" s="2" t="inlineStr">
        <is>
          <t>Change in points</t>
        </is>
      </c>
      <c r="D377" s="48" t="n">
        <v>-0.27</v>
      </c>
      <c r="E377" s="48">
        <f>Sensitivities!$D$7</f>
        <v/>
      </c>
      <c r="F377" s="44" t="n">
        <v>0.005000001</v>
      </c>
      <c r="G377" s="3">
        <f>IF(ISNUMBER(E377),IF(ABS(E377-D377)&lt;=F377,"OK","ERROR"),"ERROR")</f>
        <v/>
      </c>
    </row>
    <row r="378">
      <c r="B378" s="5" t="inlineStr">
        <is>
          <t>sens_1</t>
        </is>
      </c>
      <c r="C378" s="2" t="inlineStr">
        <is>
          <t>Price at the target</t>
        </is>
      </c>
      <c r="D378" s="21" t="n">
        <v>1822</v>
      </c>
      <c r="E378" s="21">
        <f>Sensitivities!$E$7</f>
        <v/>
      </c>
      <c r="F378" s="44" t="n">
        <v>0.500000001</v>
      </c>
      <c r="G378" s="3">
        <f>IF(ISNUMBER(E378),IF(ABS(E378-D378)&lt;=F378,"OK","ERROR"),"ERROR")</f>
        <v/>
      </c>
    </row>
    <row r="379">
      <c r="B379" s="5" t="inlineStr">
        <is>
          <t>sens_2</t>
        </is>
      </c>
      <c r="C379" s="2" t="inlineStr">
        <is>
          <t>Levered IRR</t>
        </is>
      </c>
      <c r="D379" s="45" t="n">
        <v>0.0833</v>
      </c>
      <c r="E379" s="45">
        <f>Sensitivities!$C$8</f>
        <v/>
      </c>
      <c r="F379" s="44" t="n">
        <v>5.0001e-05</v>
      </c>
      <c r="G379" s="3">
        <f>IF(ISNUMBER(E379),IF(ABS(E379-D379)&lt;=F379,"OK","ERROR"),"ERROR")</f>
        <v/>
      </c>
    </row>
    <row r="380">
      <c r="B380" s="5" t="inlineStr">
        <is>
          <t>sens_2</t>
        </is>
      </c>
      <c r="C380" s="2" t="inlineStr">
        <is>
          <t>Change in points</t>
        </is>
      </c>
      <c r="D380" s="48" t="n">
        <v>0.27</v>
      </c>
      <c r="E380" s="48">
        <f>Sensitivities!$D$8</f>
        <v/>
      </c>
      <c r="F380" s="44" t="n">
        <v>0.005000001</v>
      </c>
      <c r="G380" s="3">
        <f>IF(ISNUMBER(E380),IF(ABS(E380-D380)&lt;=F380,"OK","ERROR"),"ERROR")</f>
        <v/>
      </c>
    </row>
    <row r="381">
      <c r="B381" s="5" t="inlineStr">
        <is>
          <t>sens_2</t>
        </is>
      </c>
      <c r="C381" s="2" t="inlineStr">
        <is>
          <t>Price at the target</t>
        </is>
      </c>
      <c r="D381" s="21" t="n">
        <v>1868</v>
      </c>
      <c r="E381" s="21">
        <f>Sensitivities!$E$8</f>
        <v/>
      </c>
      <c r="F381" s="44" t="n">
        <v>0.500000001</v>
      </c>
      <c r="G381" s="3">
        <f>IF(ISNUMBER(E381),IF(ABS(E381-D381)&lt;=F381,"OK","ERROR"),"ERROR")</f>
        <v/>
      </c>
    </row>
    <row r="382">
      <c r="B382" s="5" t="inlineStr">
        <is>
          <t>sens_3</t>
        </is>
      </c>
      <c r="C382" s="2" t="inlineStr">
        <is>
          <t>Levered IRR</t>
        </is>
      </c>
      <c r="D382" s="45" t="n">
        <v>0.0781</v>
      </c>
      <c r="E382" s="45">
        <f>Sensitivities!$C$9</f>
        <v/>
      </c>
      <c r="F382" s="44" t="n">
        <v>5.0001e-05</v>
      </c>
      <c r="G382" s="3">
        <f>IF(ISNUMBER(E382),IF(ABS(E382-D382)&lt;=F382,"OK","ERROR"),"ERROR")</f>
        <v/>
      </c>
    </row>
    <row r="383">
      <c r="B383" s="5" t="inlineStr">
        <is>
          <t>sens_3</t>
        </is>
      </c>
      <c r="C383" s="2" t="inlineStr">
        <is>
          <t>Change in points</t>
        </is>
      </c>
      <c r="D383" s="48" t="n">
        <v>-0.24</v>
      </c>
      <c r="E383" s="48">
        <f>Sensitivities!$D$9</f>
        <v/>
      </c>
      <c r="F383" s="44" t="n">
        <v>0.005000001</v>
      </c>
      <c r="G383" s="3">
        <f>IF(ISNUMBER(E383),IF(ABS(E383-D383)&lt;=F383,"OK","ERROR"),"ERROR")</f>
        <v/>
      </c>
    </row>
    <row r="384">
      <c r="B384" s="5" t="inlineStr">
        <is>
          <t>sens_3</t>
        </is>
      </c>
      <c r="C384" s="2" t="inlineStr">
        <is>
          <t>Price at the target</t>
        </is>
      </c>
      <c r="D384" s="21" t="n">
        <v>1824</v>
      </c>
      <c r="E384" s="21">
        <f>Sensitivities!$E$9</f>
        <v/>
      </c>
      <c r="F384" s="44" t="n">
        <v>0.500000001</v>
      </c>
      <c r="G384" s="3">
        <f>IF(ISNUMBER(E384),IF(ABS(E384-D384)&lt;=F384,"OK","ERROR"),"ERROR")</f>
        <v/>
      </c>
    </row>
    <row r="385">
      <c r="B385" s="5" t="inlineStr">
        <is>
          <t>sens_4</t>
        </is>
      </c>
      <c r="C385" s="2" t="inlineStr">
        <is>
          <t>Levered IRR</t>
        </is>
      </c>
      <c r="D385" s="45" t="n">
        <v>0.07480000000000001</v>
      </c>
      <c r="E385" s="45">
        <f>Sensitivities!$C$10</f>
        <v/>
      </c>
      <c r="F385" s="44" t="n">
        <v>5.0001e-05</v>
      </c>
      <c r="G385" s="3">
        <f>IF(ISNUMBER(E385),IF(ABS(E385-D385)&lt;=F385,"OK","ERROR"),"ERROR")</f>
        <v/>
      </c>
    </row>
    <row r="386">
      <c r="B386" s="5" t="inlineStr">
        <is>
          <t>sens_4</t>
        </is>
      </c>
      <c r="C386" s="2" t="inlineStr">
        <is>
          <t>Change in points</t>
        </is>
      </c>
      <c r="D386" s="48" t="n">
        <v>-0.58</v>
      </c>
      <c r="E386" s="48">
        <f>Sensitivities!$D$10</f>
        <v/>
      </c>
      <c r="F386" s="44" t="n">
        <v>0.005000001</v>
      </c>
      <c r="G386" s="3">
        <f>IF(ISNUMBER(E386),IF(ABS(E386-D386)&lt;=F386,"OK","ERROR"),"ERROR")</f>
        <v/>
      </c>
    </row>
    <row r="387">
      <c r="B387" s="5" t="inlineStr">
        <is>
          <t>sens_4</t>
        </is>
      </c>
      <c r="C387" s="2" t="inlineStr">
        <is>
          <t>Price at the target</t>
        </is>
      </c>
      <c r="D387" s="21" t="n">
        <v>1796</v>
      </c>
      <c r="E387" s="21">
        <f>Sensitivities!$E$10</f>
        <v/>
      </c>
      <c r="F387" s="44" t="n">
        <v>0.500000001</v>
      </c>
      <c r="G387" s="3">
        <f>IF(ISNUMBER(E387),IF(ABS(E387-D387)&lt;=F387,"OK","ERROR"),"ERROR")</f>
        <v/>
      </c>
    </row>
    <row r="388">
      <c r="B388" s="5" t="inlineStr">
        <is>
          <t>sens_5</t>
        </is>
      </c>
      <c r="C388" s="2" t="inlineStr">
        <is>
          <t>Levered IRR</t>
        </is>
      </c>
      <c r="D388" s="45" t="n">
        <v>0.0803</v>
      </c>
      <c r="E388" s="45">
        <f>Sensitivities!$C$11</f>
        <v/>
      </c>
      <c r="F388" s="44" t="n">
        <v>5.0001e-05</v>
      </c>
      <c r="G388" s="3">
        <f>IF(ISNUMBER(E388),IF(ABS(E388-D388)&lt;=F388,"OK","ERROR"),"ERROR")</f>
        <v/>
      </c>
    </row>
    <row r="389">
      <c r="B389" s="5" t="inlineStr">
        <is>
          <t>sens_5</t>
        </is>
      </c>
      <c r="C389" s="2" t="inlineStr">
        <is>
          <t>Change in points</t>
        </is>
      </c>
      <c r="D389" s="48" t="n">
        <v>-0.02</v>
      </c>
      <c r="E389" s="48">
        <f>Sensitivities!$D$11</f>
        <v/>
      </c>
      <c r="F389" s="44" t="n">
        <v>0.005000001</v>
      </c>
      <c r="G389" s="3">
        <f>IF(ISNUMBER(E389),IF(ABS(E389-D389)&lt;=F389,"OK","ERROR"),"ERROR")</f>
        <v/>
      </c>
    </row>
    <row r="390">
      <c r="B390" s="5" t="inlineStr">
        <is>
          <t>sens_5</t>
        </is>
      </c>
      <c r="C390" s="2" t="inlineStr">
        <is>
          <t>Price at the target</t>
        </is>
      </c>
      <c r="D390" s="21" t="n">
        <v>1843</v>
      </c>
      <c r="E390" s="21">
        <f>Sensitivities!$E$11</f>
        <v/>
      </c>
      <c r="F390" s="44" t="n">
        <v>0.500000001</v>
      </c>
      <c r="G390" s="3">
        <f>IF(ISNUMBER(E390),IF(ABS(E390-D390)&lt;=F390,"OK","ERROR"),"ERROR")</f>
        <v/>
      </c>
    </row>
    <row r="391">
      <c r="B391" s="5" t="inlineStr">
        <is>
          <t>sens_6</t>
        </is>
      </c>
      <c r="C391" s="2" t="inlineStr">
        <is>
          <t>Levered IRR</t>
        </is>
      </c>
      <c r="D391" s="45" t="n">
        <v>0.08779999999999999</v>
      </c>
      <c r="E391" s="45">
        <f>Sensitivities!$C$12</f>
        <v/>
      </c>
      <c r="F391" s="44" t="n">
        <v>5.0001e-05</v>
      </c>
      <c r="G391" s="3">
        <f>IF(ISNUMBER(E391),IF(ABS(E391-D391)&lt;=F391,"OK","ERROR"),"ERROR")</f>
        <v/>
      </c>
    </row>
    <row r="392">
      <c r="B392" s="5" t="inlineStr">
        <is>
          <t>sens_6</t>
        </is>
      </c>
      <c r="C392" s="2" t="inlineStr">
        <is>
          <t>Change in points</t>
        </is>
      </c>
      <c r="D392" s="48" t="n">
        <v>0.72</v>
      </c>
      <c r="E392" s="48">
        <f>Sensitivities!$D$12</f>
        <v/>
      </c>
      <c r="F392" s="44" t="n">
        <v>0.005000001</v>
      </c>
      <c r="G392" s="3">
        <f>IF(ISNUMBER(E392),IF(ABS(E392-D392)&lt;=F392,"OK","ERROR"),"ERROR")</f>
        <v/>
      </c>
    </row>
    <row r="393">
      <c r="B393" s="5" t="inlineStr">
        <is>
          <t>sens_6</t>
        </is>
      </c>
      <c r="C393" s="2" t="inlineStr">
        <is>
          <t>Price at the target</t>
        </is>
      </c>
      <c r="D393" s="21" t="n">
        <v>1910</v>
      </c>
      <c r="E393" s="21">
        <f>Sensitivities!$E$12</f>
        <v/>
      </c>
      <c r="F393" s="44" t="n">
        <v>0.500000001</v>
      </c>
      <c r="G393" s="3">
        <f>IF(ISNUMBER(E393),IF(ABS(E393-D393)&lt;=F393,"OK","ERROR"),"ERROR")</f>
        <v/>
      </c>
    </row>
    <row r="394">
      <c r="B394" s="5" t="inlineStr">
        <is>
          <t>sens_7</t>
        </is>
      </c>
      <c r="C394" s="2" t="inlineStr">
        <is>
          <t>Levered IRR</t>
        </is>
      </c>
      <c r="D394" s="45" t="n">
        <v>0.07820000000000001</v>
      </c>
      <c r="E394" s="45">
        <f>Sensitivities!$C$13</f>
        <v/>
      </c>
      <c r="F394" s="44" t="n">
        <v>5.0001e-05</v>
      </c>
      <c r="G394" s="3">
        <f>IF(ISNUMBER(E394),IF(ABS(E394-D394)&lt;=F394,"OK","ERROR"),"ERROR")</f>
        <v/>
      </c>
    </row>
    <row r="395">
      <c r="B395" s="5" t="inlineStr">
        <is>
          <t>sens_7</t>
        </is>
      </c>
      <c r="C395" s="2" t="inlineStr">
        <is>
          <t>Change in points</t>
        </is>
      </c>
      <c r="D395" s="48" t="n">
        <v>-0.24</v>
      </c>
      <c r="E395" s="48">
        <f>Sensitivities!$D$13</f>
        <v/>
      </c>
      <c r="F395" s="44" t="n">
        <v>0.005000001</v>
      </c>
      <c r="G395" s="3">
        <f>IF(ISNUMBER(E395),IF(ABS(E395-D395)&lt;=F395,"OK","ERROR"),"ERROR")</f>
        <v/>
      </c>
    </row>
    <row r="396">
      <c r="B396" s="5" t="inlineStr">
        <is>
          <t>sens_7</t>
        </is>
      </c>
      <c r="C396" s="2" t="inlineStr">
        <is>
          <t>Price at the target</t>
        </is>
      </c>
      <c r="D396" s="21" t="n">
        <v>1825</v>
      </c>
      <c r="E396" s="21">
        <f>Sensitivities!$E$13</f>
        <v/>
      </c>
      <c r="F396" s="44" t="n">
        <v>0.500000001</v>
      </c>
      <c r="G396" s="3">
        <f>IF(ISNUMBER(E396),IF(ABS(E396-D396)&lt;=F396,"OK","ERROR"),"ERROR")</f>
        <v/>
      </c>
    </row>
    <row r="397">
      <c r="B397" s="5" t="inlineStr">
        <is>
          <t>sens_8</t>
        </is>
      </c>
      <c r="C397" s="2" t="inlineStr">
        <is>
          <t>Levered IRR</t>
        </is>
      </c>
      <c r="D397" s="45" t="n">
        <v>0.0672</v>
      </c>
      <c r="E397" s="45">
        <f>Sensitivities!$C$14</f>
        <v/>
      </c>
      <c r="F397" s="44" t="n">
        <v>5.0001e-05</v>
      </c>
      <c r="G397" s="3">
        <f>IF(ISNUMBER(E397),IF(ABS(E397-D397)&lt;=F397,"OK","ERROR"),"ERROR")</f>
        <v/>
      </c>
    </row>
    <row r="398">
      <c r="B398" s="5" t="inlineStr">
        <is>
          <t>sens_8</t>
        </is>
      </c>
      <c r="C398" s="2" t="inlineStr">
        <is>
          <t>Change in points</t>
        </is>
      </c>
      <c r="D398" s="48" t="n">
        <v>-1.34</v>
      </c>
      <c r="E398" s="48">
        <f>Sensitivities!$D$14</f>
        <v/>
      </c>
      <c r="F398" s="44" t="n">
        <v>0.005000001</v>
      </c>
      <c r="G398" s="3">
        <f>IF(ISNUMBER(E398),IF(ABS(E398-D398)&lt;=F398,"OK","ERROR"),"ERROR")</f>
        <v/>
      </c>
    </row>
    <row r="399">
      <c r="B399" s="5" t="inlineStr">
        <is>
          <t>sens_8</t>
        </is>
      </c>
      <c r="C399" s="2" t="inlineStr">
        <is>
          <t>Price at the target</t>
        </is>
      </c>
      <c r="D399" s="21" t="n">
        <v>1734</v>
      </c>
      <c r="E399" s="21">
        <f>Sensitivities!$E$14</f>
        <v/>
      </c>
      <c r="F399" s="44" t="n">
        <v>0.500000001</v>
      </c>
      <c r="G399" s="3">
        <f>IF(ISNUMBER(E399),IF(ABS(E399-D399)&lt;=F399,"OK","ERROR"),"ERROR")</f>
        <v/>
      </c>
    </row>
    <row r="400">
      <c r="B400" s="5" t="inlineStr">
        <is>
          <t>sens_9</t>
        </is>
      </c>
      <c r="C400" s="2" t="inlineStr">
        <is>
          <t>Levered IRR</t>
        </is>
      </c>
      <c r="D400" s="45" t="n">
        <v>0.0803</v>
      </c>
      <c r="E400" s="45">
        <f>Sensitivities!$C$15</f>
        <v/>
      </c>
      <c r="F400" s="44" t="n">
        <v>5.0001e-05</v>
      </c>
      <c r="G400" s="3">
        <f>IF(ISNUMBER(E400),IF(ABS(E400-D400)&lt;=F400,"OK","ERROR"),"ERROR")</f>
        <v/>
      </c>
    </row>
    <row r="401">
      <c r="B401" s="5" t="inlineStr">
        <is>
          <t>sens_9</t>
        </is>
      </c>
      <c r="C401" s="2" t="inlineStr">
        <is>
          <t>Change in points</t>
        </is>
      </c>
      <c r="D401" s="48" t="n">
        <v>-0.03</v>
      </c>
      <c r="E401" s="48">
        <f>Sensitivities!$D$15</f>
        <v/>
      </c>
      <c r="F401" s="44" t="n">
        <v>0.005000001</v>
      </c>
      <c r="G401" s="3">
        <f>IF(ISNUMBER(E401),IF(ABS(E401-D401)&lt;=F401,"OK","ERROR"),"ERROR")</f>
        <v/>
      </c>
    </row>
    <row r="402">
      <c r="B402" s="5" t="inlineStr">
        <is>
          <t>sens_9</t>
        </is>
      </c>
      <c r="C402" s="2" t="inlineStr">
        <is>
          <t>Price at the target</t>
        </is>
      </c>
      <c r="D402" s="21" t="n">
        <v>1842</v>
      </c>
      <c r="E402" s="21">
        <f>Sensitivities!$E$15</f>
        <v/>
      </c>
      <c r="F402" s="44" t="n">
        <v>0.500000001</v>
      </c>
      <c r="G402" s="3">
        <f>IF(ISNUMBER(E402),IF(ABS(E402-D402)&lt;=F402,"OK","ERROR"),"ERROR")</f>
        <v/>
      </c>
    </row>
    <row r="403">
      <c r="B403" s="5" t="inlineStr">
        <is>
          <t>sens_10</t>
        </is>
      </c>
      <c r="C403" s="2" t="inlineStr">
        <is>
          <t>Levered IRR</t>
        </is>
      </c>
      <c r="D403" s="45" t="n">
        <v>0.0789</v>
      </c>
      <c r="E403" s="45">
        <f>Sensitivities!$C$16</f>
        <v/>
      </c>
      <c r="F403" s="44" t="n">
        <v>5.0001e-05</v>
      </c>
      <c r="G403" s="3">
        <f>IF(ISNUMBER(E403),IF(ABS(E403-D403)&lt;=F403,"OK","ERROR"),"ERROR")</f>
        <v/>
      </c>
    </row>
    <row r="404">
      <c r="B404" s="5" t="inlineStr">
        <is>
          <t>sens_10</t>
        </is>
      </c>
      <c r="C404" s="2" t="inlineStr">
        <is>
          <t>Change in points</t>
        </is>
      </c>
      <c r="D404" s="48" t="n">
        <v>-0.17</v>
      </c>
      <c r="E404" s="48">
        <f>Sensitivities!$D$16</f>
        <v/>
      </c>
      <c r="F404" s="44" t="n">
        <v>0.005000001</v>
      </c>
      <c r="G404" s="3">
        <f>IF(ISNUMBER(E404),IF(ABS(E404-D404)&lt;=F404,"OK","ERROR"),"ERROR")</f>
        <v/>
      </c>
    </row>
    <row r="405">
      <c r="B405" s="5" t="inlineStr">
        <is>
          <t>sens_10</t>
        </is>
      </c>
      <c r="C405" s="2" t="inlineStr">
        <is>
          <t>Price at the target</t>
        </is>
      </c>
      <c r="D405" s="21" t="n">
        <v>1831</v>
      </c>
      <c r="E405" s="21">
        <f>Sensitivities!$E$16</f>
        <v/>
      </c>
      <c r="F405" s="44" t="n">
        <v>0.500000001</v>
      </c>
      <c r="G405" s="3">
        <f>IF(ISNUMBER(E405),IF(ABS(E405-D405)&lt;=F405,"OK","ERROR"),"ERROR")</f>
        <v/>
      </c>
    </row>
    <row r="406">
      <c r="B406" s="5" t="inlineStr">
        <is>
          <t>sens_11</t>
        </is>
      </c>
      <c r="C406" s="2" t="inlineStr">
        <is>
          <t>Levered IRR</t>
        </is>
      </c>
      <c r="D406" s="45" t="n">
        <v>0.0562</v>
      </c>
      <c r="E406" s="45">
        <f>Sensitivities!$C$26</f>
        <v/>
      </c>
      <c r="F406" s="44" t="n">
        <v>5.0001e-05</v>
      </c>
      <c r="G406" s="3">
        <f>IF(ISNUMBER(E406),IF(ABS(E406-D406)&lt;=F406,"OK","ERROR"),"ERROR")</f>
        <v/>
      </c>
    </row>
    <row r="407">
      <c r="B407" s="5" t="inlineStr">
        <is>
          <t>sens_11</t>
        </is>
      </c>
      <c r="C407" s="2" t="inlineStr">
        <is>
          <t>Change in points</t>
        </is>
      </c>
      <c r="D407" s="48" t="n">
        <v>-2.44</v>
      </c>
      <c r="E407" s="48">
        <f>Sensitivities!$D$26</f>
        <v/>
      </c>
      <c r="F407" s="44" t="n">
        <v>0.005000001</v>
      </c>
      <c r="G407" s="3">
        <f>IF(ISNUMBER(E407),IF(ABS(E407-D407)&lt;=F407,"OK","ERROR"),"ERROR")</f>
        <v/>
      </c>
    </row>
    <row r="408">
      <c r="B408" s="5" t="inlineStr">
        <is>
          <t>sens_11</t>
        </is>
      </c>
      <c r="C408" s="2" t="inlineStr">
        <is>
          <t>Price at the target</t>
        </is>
      </c>
      <c r="D408" s="21" t="n">
        <v>1659</v>
      </c>
      <c r="E408" s="21">
        <f>Sensitivities!$E$26</f>
        <v/>
      </c>
      <c r="F408" s="44" t="n">
        <v>0.500000001</v>
      </c>
      <c r="G408" s="3">
        <f>IF(ISNUMBER(E408),IF(ABS(E408-D408)&lt;=F408,"OK","ERROR"),"ERROR")</f>
        <v/>
      </c>
    </row>
    <row r="409">
      <c r="B409" s="5" t="inlineStr">
        <is>
          <t>sens_12</t>
        </is>
      </c>
      <c r="C409" s="2" t="inlineStr">
        <is>
          <t>Levered IRR</t>
        </is>
      </c>
      <c r="D409" s="45" t="n">
        <v>0.1008</v>
      </c>
      <c r="E409" s="45">
        <f>Sensitivities!$C$30</f>
        <v/>
      </c>
      <c r="F409" s="44" t="n">
        <v>5.0001e-05</v>
      </c>
      <c r="G409" s="3">
        <f>IF(ISNUMBER(E409),IF(ABS(E409-D409)&lt;=F409,"OK","ERROR"),"ERROR")</f>
        <v/>
      </c>
    </row>
    <row r="410">
      <c r="B410" s="5" t="inlineStr">
        <is>
          <t>sens_12</t>
        </is>
      </c>
      <c r="C410" s="2" t="inlineStr">
        <is>
          <t>Change in points</t>
        </is>
      </c>
      <c r="D410" s="48" t="n">
        <v>2.02</v>
      </c>
      <c r="E410" s="48">
        <f>Sensitivities!$D$30</f>
        <v/>
      </c>
      <c r="F410" s="44" t="n">
        <v>0.005000001</v>
      </c>
      <c r="G410" s="3">
        <f>IF(ISNUMBER(E410),IF(ABS(E410-D410)&lt;=F410,"OK","ERROR"),"ERROR")</f>
        <v/>
      </c>
    </row>
    <row r="411">
      <c r="B411" s="5" t="inlineStr">
        <is>
          <t>sens_12</t>
        </is>
      </c>
      <c r="C411" s="2" t="inlineStr">
        <is>
          <t>Price at the target</t>
        </is>
      </c>
      <c r="D411" s="21" t="n">
        <v>2031</v>
      </c>
      <c r="E411" s="21">
        <f>Sensitivities!$E$30</f>
        <v/>
      </c>
      <c r="F411" s="44" t="n">
        <v>0.500000001</v>
      </c>
      <c r="G411" s="3">
        <f>IF(ISNUMBER(E411),IF(ABS(E411-D411)&lt;=F411,"OK","ERROR"),"ERROR")</f>
        <v/>
      </c>
    </row>
    <row r="412">
      <c r="B412" s="5" t="inlineStr">
        <is>
          <t>sens_note</t>
        </is>
      </c>
      <c r="C412" s="2" t="inlineStr">
        <is>
          <t>Base IRR</t>
        </is>
      </c>
      <c r="D412" s="45" t="n">
        <v>0.0806</v>
      </c>
      <c r="E412" s="45">
        <f>Sensitivities!$C$6</f>
        <v/>
      </c>
      <c r="F412" s="44" t="n">
        <v>5.0001e-05</v>
      </c>
      <c r="G412" s="3">
        <f>IF(ISNUMBER(E412),IF(ABS(E412-D412)&lt;=F412,"OK","ERROR"),"ERROR")</f>
        <v/>
      </c>
    </row>
    <row r="413">
      <c r="B413" s="5" t="inlineStr">
        <is>
          <t>sens_note</t>
        </is>
      </c>
      <c r="C413" s="2" t="inlineStr">
        <is>
          <t>Base price at the target</t>
        </is>
      </c>
      <c r="D413" s="21" t="n">
        <v>1845</v>
      </c>
      <c r="E413" s="21">
        <f>Sensitivities!$E$6</f>
        <v/>
      </c>
      <c r="F413" s="44" t="n">
        <v>0.500000001</v>
      </c>
      <c r="G413" s="3">
        <f>IF(ISNUMBER(E413),IF(ABS(E413-D413)&lt;=F413,"OK","ERROR"),"ERROR")</f>
        <v/>
      </c>
    </row>
    <row r="414">
      <c r="B414" s="5" t="inlineStr">
        <is>
          <t>credit_opco</t>
        </is>
      </c>
      <c r="C414" s="2" t="inlineStr">
        <is>
          <t>Operating company 2028</t>
        </is>
      </c>
      <c r="D414" s="46" t="n">
        <v>0.141</v>
      </c>
      <c r="E414" s="46">
        <f>Credit!$E$8</f>
        <v/>
      </c>
      <c r="F414" s="44" t="n">
        <v>0.000500001</v>
      </c>
      <c r="G414" s="3">
        <f>IF(ISNUMBER(E414),IF(ABS(E414-D414)&lt;=F414,"OK","ERROR"),"ERROR")</f>
        <v/>
      </c>
    </row>
    <row r="415">
      <c r="B415" s="5" t="inlineStr">
        <is>
          <t>credit_opco</t>
        </is>
      </c>
      <c r="C415" s="2" t="inlineStr">
        <is>
          <t>Operating company 2030</t>
        </is>
      </c>
      <c r="D415" s="46" t="n">
        <v>0.136</v>
      </c>
      <c r="E415" s="46">
        <f>Credit!$G$8</f>
        <v/>
      </c>
      <c r="F415" s="44" t="n">
        <v>0.000500001</v>
      </c>
      <c r="G415" s="3">
        <f>IF(ISNUMBER(E415),IF(ABS(E415-D415)&lt;=F415,"OK","ERROR"),"ERROR")</f>
        <v/>
      </c>
    </row>
    <row r="416">
      <c r="B416" s="5" t="inlineStr">
        <is>
          <t>credit_opco</t>
        </is>
      </c>
      <c r="C416" s="2" t="inlineStr">
        <is>
          <t>Operating company 2031</t>
        </is>
      </c>
      <c r="D416" s="46" t="n">
        <v>0.15</v>
      </c>
      <c r="E416" s="46">
        <f>Credit!$H$8</f>
        <v/>
      </c>
      <c r="F416" s="44" t="n">
        <v>0.000500001</v>
      </c>
      <c r="G416" s="3">
        <f>IF(ISNUMBER(E416),IF(ABS(E416-D416)&lt;=F416,"OK","ERROR"),"ERROR")</f>
        <v/>
      </c>
    </row>
    <row r="417">
      <c r="B417" s="5" t="inlineStr">
        <is>
          <t>credit_opco</t>
        </is>
      </c>
      <c r="C417" s="2" t="inlineStr">
        <is>
          <t>Operating company 2033</t>
        </is>
      </c>
      <c r="D417" s="46" t="n">
        <v>0.15</v>
      </c>
      <c r="E417" s="46">
        <f>Credit!$J$8</f>
        <v/>
      </c>
      <c r="F417" s="44" t="n">
        <v>0.000500001</v>
      </c>
      <c r="G417" s="3">
        <f>IF(ISNUMBER(E417),IF(ABS(E417-D417)&lt;=F417,"OK","ERROR"),"ERROR")</f>
        <v/>
      </c>
    </row>
    <row r="418">
      <c r="B418" s="5" t="inlineStr">
        <is>
          <t>credit_opco</t>
        </is>
      </c>
      <c r="C418" s="2" t="inlineStr">
        <is>
          <t>Operating company 2037</t>
        </is>
      </c>
      <c r="D418" s="46" t="n">
        <v>0.151</v>
      </c>
      <c r="E418" s="46">
        <f>Credit!$N$8</f>
        <v/>
      </c>
      <c r="F418" s="44" t="n">
        <v>0.000500001</v>
      </c>
      <c r="G418" s="3">
        <f>IF(ISNUMBER(E418),IF(ABS(E418-D418)&lt;=F418,"OK","ERROR"),"ERROR")</f>
        <v/>
      </c>
    </row>
    <row r="419">
      <c r="B419" s="5" t="inlineStr">
        <is>
          <t>credit_cons</t>
        </is>
      </c>
      <c r="C419" s="2" t="inlineStr">
        <is>
          <t>Consolidated 2028</t>
        </is>
      </c>
      <c r="D419" s="46" t="n">
        <v>0.07000000000000001</v>
      </c>
      <c r="E419" s="46">
        <f>Credit!$E$11</f>
        <v/>
      </c>
      <c r="F419" s="44" t="n">
        <v>0.000500001</v>
      </c>
      <c r="G419" s="3">
        <f>IF(ISNUMBER(E419),IF(ABS(E419-D419)&lt;=F419,"OK","ERROR"),"ERROR")</f>
        <v/>
      </c>
    </row>
    <row r="420">
      <c r="B420" s="5" t="inlineStr">
        <is>
          <t>credit_cons</t>
        </is>
      </c>
      <c r="C420" s="2" t="inlineStr">
        <is>
          <t>Consolidated 2029</t>
        </is>
      </c>
      <c r="D420" s="46" t="n">
        <v>0.07400000000000001</v>
      </c>
      <c r="E420" s="46">
        <f>Credit!$F$11</f>
        <v/>
      </c>
      <c r="F420" s="44" t="n">
        <v>0.000500001</v>
      </c>
      <c r="G420" s="3">
        <f>IF(ISNUMBER(E420),IF(ABS(E420-D420)&lt;=F420,"OK","ERROR"),"ERROR")</f>
        <v/>
      </c>
    </row>
    <row r="421">
      <c r="B421" s="5" t="inlineStr">
        <is>
          <t>credit_cons</t>
        </is>
      </c>
      <c r="C421" s="2" t="inlineStr">
        <is>
          <t>Consolidated 2030</t>
        </is>
      </c>
      <c r="D421" s="46" t="n">
        <v>0.07400000000000001</v>
      </c>
      <c r="E421" s="46">
        <f>Credit!$G$11</f>
        <v/>
      </c>
      <c r="F421" s="44" t="n">
        <v>0.000500001</v>
      </c>
      <c r="G421" s="3">
        <f>IF(ISNUMBER(E421),IF(ABS(E421-D421)&lt;=F421,"OK","ERROR"),"ERROR")</f>
        <v/>
      </c>
    </row>
    <row r="422">
      <c r="B422" s="5" t="inlineStr">
        <is>
          <t>credit_cons</t>
        </is>
      </c>
      <c r="C422" s="2" t="inlineStr">
        <is>
          <t>Consolidated 2031</t>
        </is>
      </c>
      <c r="D422" s="46" t="n">
        <v>0.08500000000000001</v>
      </c>
      <c r="E422" s="46">
        <f>Credit!$H$11</f>
        <v/>
      </c>
      <c r="F422" s="44" t="n">
        <v>0.000500001</v>
      </c>
      <c r="G422" s="3">
        <f>IF(ISNUMBER(E422),IF(ABS(E422-D422)&lt;=F422,"OK","ERROR"),"ERROR")</f>
        <v/>
      </c>
    </row>
    <row r="423">
      <c r="B423" s="5" t="inlineStr">
        <is>
          <t>credit_cons</t>
        </is>
      </c>
      <c r="C423" s="2" t="inlineStr">
        <is>
          <t>Consolidated 2033</t>
        </is>
      </c>
      <c r="D423" s="46" t="n">
        <v>0.08900000000000001</v>
      </c>
      <c r="E423" s="46">
        <f>Credit!$J$11</f>
        <v/>
      </c>
      <c r="F423" s="44" t="n">
        <v>0.000500001</v>
      </c>
      <c r="G423" s="3">
        <f>IF(ISNUMBER(E423),IF(ABS(E423-D423)&lt;=F423,"OK","ERROR"),"ERROR")</f>
        <v/>
      </c>
    </row>
    <row r="424">
      <c r="B424" s="5" t="inlineStr">
        <is>
          <t>credit_cons</t>
        </is>
      </c>
      <c r="C424" s="2" t="inlineStr">
        <is>
          <t>Consolidated 2037</t>
        </is>
      </c>
      <c r="D424" s="46" t="n">
        <v>0.09699999999999999</v>
      </c>
      <c r="E424" s="46">
        <f>Credit!$N$11</f>
        <v/>
      </c>
      <c r="F424" s="44" t="n">
        <v>0.000500001</v>
      </c>
      <c r="G424" s="3">
        <f>IF(ISNUMBER(E424),IF(ABS(E424-D424)&lt;=F424,"OK","ERROR"),"ERROR")</f>
        <v/>
      </c>
    </row>
    <row r="425">
      <c r="B425" s="5" t="inlineStr">
        <is>
          <t>credit_cons</t>
        </is>
      </c>
      <c r="C425" s="2" t="inlineStr">
        <is>
          <t>Years below the consolidated floor</t>
        </is>
      </c>
      <c r="D425" s="22" t="n">
        <v>3</v>
      </c>
      <c r="E425" s="22">
        <f>Credit!$C$17</f>
        <v/>
      </c>
      <c r="F425" s="44" t="n">
        <v>0.500000001</v>
      </c>
      <c r="G425" s="3">
        <f>IF(ISNUMBER(E425),IF(ABS(E425-D425)&lt;=F425,"OK","ERROR"),"ERROR")</f>
        <v/>
      </c>
    </row>
    <row r="426">
      <c r="B426" s="5" t="inlineStr">
        <is>
          <t>credit_holdco</t>
        </is>
      </c>
      <c r="C426" s="2" t="inlineStr">
        <is>
          <t>Cover 2028</t>
        </is>
      </c>
      <c r="D426" s="39" t="n">
        <v>0.33</v>
      </c>
      <c r="E426" s="39">
        <f>Credit!$E$12</f>
        <v/>
      </c>
      <c r="F426" s="44" t="n">
        <v>0.005000001</v>
      </c>
      <c r="G426" s="3">
        <f>IF(ISNUMBER(E426),IF(ABS(E426-D426)&lt;=F426,"OK","ERROR"),"ERROR")</f>
        <v/>
      </c>
    </row>
    <row r="427">
      <c r="B427" s="5" t="inlineStr">
        <is>
          <t>credit_holdco</t>
        </is>
      </c>
      <c r="C427" s="2" t="inlineStr">
        <is>
          <t>Cover 2030</t>
        </is>
      </c>
      <c r="D427" s="39" t="n">
        <v>0.6</v>
      </c>
      <c r="E427" s="39">
        <f>Credit!$G$12</f>
        <v/>
      </c>
      <c r="F427" s="44" t="n">
        <v>0.005000001</v>
      </c>
      <c r="G427" s="3">
        <f>IF(ISNUMBER(E427),IF(ABS(E427-D427)&lt;=F427,"OK","ERROR"),"ERROR")</f>
        <v/>
      </c>
    </row>
    <row r="428">
      <c r="B428" s="5" t="inlineStr">
        <is>
          <t>credit_holdco</t>
        </is>
      </c>
      <c r="C428" s="2" t="inlineStr">
        <is>
          <t>Cover 2031</t>
        </is>
      </c>
      <c r="D428" s="39" t="n">
        <v>1.44</v>
      </c>
      <c r="E428" s="39">
        <f>Credit!$H$12</f>
        <v/>
      </c>
      <c r="F428" s="44" t="n">
        <v>0.005000001</v>
      </c>
      <c r="G428" s="3">
        <f>IF(ISNUMBER(E428),IF(ABS(E428-D428)&lt;=F428,"OK","ERROR"),"ERROR")</f>
        <v/>
      </c>
    </row>
    <row r="429">
      <c r="B429" s="5" t="inlineStr">
        <is>
          <t>credit_holdco</t>
        </is>
      </c>
      <c r="C429" s="2" t="inlineStr">
        <is>
          <t>Cover 2033</t>
        </is>
      </c>
      <c r="D429" s="39" t="n">
        <v>1.69</v>
      </c>
      <c r="E429" s="39">
        <f>Credit!$J$12</f>
        <v/>
      </c>
      <c r="F429" s="44" t="n">
        <v>0.005000001</v>
      </c>
      <c r="G429" s="3">
        <f>IF(ISNUMBER(E429),IF(ABS(E429-D429)&lt;=F429,"OK","ERROR"),"ERROR")</f>
        <v/>
      </c>
    </row>
    <row r="430">
      <c r="B430" s="5" t="inlineStr">
        <is>
          <t>credit_holdco</t>
        </is>
      </c>
      <c r="C430" s="2" t="inlineStr">
        <is>
          <t>Cover 2037</t>
        </is>
      </c>
      <c r="D430" s="39" t="n">
        <v>2.2</v>
      </c>
      <c r="E430" s="39">
        <f>Credit!$N$12</f>
        <v/>
      </c>
      <c r="F430" s="44" t="n">
        <v>0.005000001</v>
      </c>
      <c r="G430" s="3">
        <f>IF(ISNUMBER(E430),IF(ABS(E430-D430)&lt;=F430,"OK","ERROR"),"ERROR")</f>
        <v/>
      </c>
    </row>
    <row r="431">
      <c r="B431" s="5" t="inlineStr">
        <is>
          <t>holdco_effect</t>
        </is>
      </c>
      <c r="C431" s="2" t="inlineStr">
        <is>
          <t>Equity without the loan</t>
        </is>
      </c>
      <c r="D431" s="21" t="n">
        <v>1283</v>
      </c>
      <c r="E431" s="21">
        <f>Deal!$D$46</f>
        <v/>
      </c>
      <c r="F431" s="44" t="n">
        <v>0.500000001</v>
      </c>
      <c r="G431" s="3">
        <f>IF(ISNUMBER(E431),IF(ABS(E431-D431)&lt;=F431,"OK","ERROR"),"ERROR")</f>
        <v/>
      </c>
    </row>
    <row r="432">
      <c r="B432" s="5" t="inlineStr">
        <is>
          <t>holdco_effect</t>
        </is>
      </c>
      <c r="C432" s="2" t="inlineStr">
        <is>
          <t>IRR without the loan</t>
        </is>
      </c>
      <c r="D432" s="45" t="n">
        <v>0.0731</v>
      </c>
      <c r="E432" s="45">
        <f>Deal!$D$47</f>
        <v/>
      </c>
      <c r="F432" s="44" t="n">
        <v>5.0001e-05</v>
      </c>
      <c r="G432" s="3">
        <f>IF(ISNUMBER(E432),IF(ABS(E432-D432)&lt;=F432,"OK","ERROR"),"ERROR")</f>
        <v/>
      </c>
    </row>
    <row r="433">
      <c r="B433" s="5" t="inlineStr">
        <is>
          <t>holdco_effect</t>
        </is>
      </c>
      <c r="C433" s="2" t="inlineStr">
        <is>
          <t>Equity with the loan</t>
        </is>
      </c>
      <c r="D433" s="21" t="n">
        <v>908</v>
      </c>
      <c r="E433" s="21">
        <f>Deal!$D$13</f>
        <v/>
      </c>
      <c r="F433" s="44" t="n">
        <v>0.500000001</v>
      </c>
      <c r="G433" s="3">
        <f>IF(ISNUMBER(E433),IF(ABS(E433-D433)&lt;=F433,"OK","ERROR"),"ERROR")</f>
        <v/>
      </c>
    </row>
    <row r="434">
      <c r="B434" s="5" t="inlineStr">
        <is>
          <t>holdco_effect</t>
        </is>
      </c>
      <c r="C434" s="2" t="inlineStr">
        <is>
          <t>IRR with the loan</t>
        </is>
      </c>
      <c r="D434" s="45" t="n">
        <v>0.0806</v>
      </c>
      <c r="E434" s="45">
        <f>Deal!$D$31</f>
        <v/>
      </c>
      <c r="F434" s="44" t="n">
        <v>5.0001e-05</v>
      </c>
      <c r="G434" s="3">
        <f>IF(ISNUMBER(E434),IF(ABS(E434-D434)&lt;=F434,"OK","ERROR"),"ERROR")</f>
        <v/>
      </c>
    </row>
    <row r="435">
      <c r="B435" s="5" t="inlineStr">
        <is>
          <t>muni_terms</t>
        </is>
      </c>
      <c r="C435" s="2" t="inlineStr">
        <is>
          <t>Tax-exempt rate</t>
        </is>
      </c>
      <c r="D435" s="46" t="n">
        <v>0.042</v>
      </c>
      <c r="E435" s="46">
        <f>mu_kd</f>
        <v/>
      </c>
      <c r="F435" s="44" t="n">
        <v>0.000500001</v>
      </c>
      <c r="G435" s="3">
        <f>IF(ISNUMBER(E435),IF(ABS(E435-D435)&lt;=F435,"OK","ERROR"),"ERROR")</f>
        <v/>
      </c>
    </row>
    <row r="436">
      <c r="B436" s="5" t="inlineStr">
        <is>
          <t>muni_terms</t>
        </is>
      </c>
      <c r="C436" s="2" t="inlineStr">
        <is>
          <t>Coverage covenant</t>
        </is>
      </c>
      <c r="D436" s="39" t="n">
        <v>1.25</v>
      </c>
      <c r="E436" s="39">
        <f>mu_cov</f>
        <v/>
      </c>
      <c r="F436" s="44" t="n">
        <v>0.005000001</v>
      </c>
      <c r="G436" s="3">
        <f>IF(ISNUMBER(E436),IF(ABS(E436-D436)&lt;=F436,"OK","ERROR"),"ERROR")</f>
        <v/>
      </c>
    </row>
    <row r="437">
      <c r="B437" s="5" t="inlineStr">
        <is>
          <t>muni_terms</t>
        </is>
      </c>
      <c r="C437" s="2" t="inlineStr">
        <is>
          <t>WIFIA rate</t>
        </is>
      </c>
      <c r="D437" s="46" t="n">
        <v>0.046</v>
      </c>
      <c r="E437" s="46">
        <f>'CostOfCapital'!$C$12</f>
        <v/>
      </c>
      <c r="F437" s="44" t="n">
        <v>0.000500001</v>
      </c>
      <c r="G437" s="3">
        <f>IF(ISNUMBER(E437),IF(ABS(E437-D437)&lt;=F437,"OK","ERROR"),"ERROR")</f>
        <v/>
      </c>
    </row>
    <row r="438">
      <c r="B438" s="5" t="inlineStr">
        <is>
          <t>esg_nrw</t>
        </is>
      </c>
      <c r="C438" s="2" t="inlineStr">
        <is>
          <t>Water saved 2033 (MGD)</t>
        </is>
      </c>
      <c r="D438" s="22" t="n">
        <v>4.7</v>
      </c>
      <c r="E438" s="22">
        <f>System!$J$12</f>
        <v/>
      </c>
      <c r="F438" s="44" t="n">
        <v>0.050000001</v>
      </c>
      <c r="G438" s="3">
        <f>IF(ISNUMBER(E438),IF(ABS(E438-D438)&lt;=F438,"OK","ERROR"),"ERROR")</f>
        <v/>
      </c>
    </row>
    <row r="439">
      <c r="B439" s="5" t="inlineStr">
        <is>
          <t>esg_nrw</t>
        </is>
      </c>
      <c r="C439" s="2" t="inlineStr">
        <is>
          <t>Value a year 2033</t>
        </is>
      </c>
      <c r="D439" s="21" t="n">
        <v>2.3</v>
      </c>
      <c r="E439" s="21">
        <f>System!$J$14</f>
        <v/>
      </c>
      <c r="F439" s="44" t="n">
        <v>0.050000001</v>
      </c>
      <c r="G439" s="3">
        <f>IF(ISNUMBER(E439),IF(ABS(E439-D439)&lt;=F439,"OK","ERROR"),"ERROR")</f>
        <v/>
      </c>
    </row>
    <row r="440">
      <c r="B440" s="5" t="inlineStr">
        <is>
          <t>esg_energy</t>
        </is>
      </c>
      <c r="C440" s="2" t="inlineStr">
        <is>
          <t>MWh 2028</t>
        </is>
      </c>
      <c r="D440" s="22" t="n">
        <v>65699</v>
      </c>
      <c r="E440" s="22">
        <f>System!$E$15</f>
        <v/>
      </c>
      <c r="F440" s="44" t="n">
        <v>0.500000001</v>
      </c>
      <c r="G440" s="3">
        <f>IF(ISNUMBER(E440),IF(ABS(E440-D440)&lt;=F440,"OK","ERROR"),"ERROR")</f>
        <v/>
      </c>
    </row>
    <row r="441">
      <c r="B441" s="5" t="inlineStr">
        <is>
          <t>esg_energy</t>
        </is>
      </c>
      <c r="C441" s="2" t="inlineStr">
        <is>
          <t>MWh 2033</t>
        </is>
      </c>
      <c r="D441" s="22" t="n">
        <v>61593</v>
      </c>
      <c r="E441" s="22">
        <f>System!$J$15</f>
        <v/>
      </c>
      <c r="F441" s="44" t="n">
        <v>0.500000001</v>
      </c>
      <c r="G441" s="3">
        <f>IF(ISNUMBER(E441),IF(ABS(E441-D441)&lt;=F441,"OK","ERROR"),"ERROR")</f>
        <v/>
      </c>
    </row>
    <row r="442">
      <c r="B442" s="5" t="inlineStr">
        <is>
          <t>esg_energy</t>
        </is>
      </c>
      <c r="C442" s="2" t="inlineStr">
        <is>
          <t>MWh avoided 2033</t>
        </is>
      </c>
      <c r="D442" s="22" t="n">
        <v>4157</v>
      </c>
      <c r="E442" s="22">
        <f>System!$J$17</f>
        <v/>
      </c>
      <c r="F442" s="44" t="n">
        <v>0.500000001</v>
      </c>
      <c r="G442" s="3">
        <f>IF(ISNUMBER(E442),IF(ABS(E442-D442)&lt;=F442,"OK","ERROR"),"ERROR")</f>
        <v/>
      </c>
    </row>
    <row r="443">
      <c r="B443" s="5" t="inlineStr">
        <is>
          <t>esg_energy</t>
        </is>
      </c>
      <c r="C443" s="2" t="inlineStr">
        <is>
          <t>CO2 avoided 2033</t>
        </is>
      </c>
      <c r="D443" s="22" t="n">
        <v>1538</v>
      </c>
      <c r="E443" s="22">
        <f>'System'!$C$27</f>
        <v/>
      </c>
      <c r="F443" s="44" t="n">
        <v>0.500000001</v>
      </c>
      <c r="G443" s="3">
        <f>IF(ISNUMBER(E443),IF(ABS(E443-D443)&lt;=F443,"OK","ERROR"),"ERROR")</f>
        <v/>
      </c>
    </row>
    <row r="444">
      <c r="B444" s="5" t="inlineStr">
        <is>
          <t>esg_quality</t>
        </is>
      </c>
      <c r="C444" s="2" t="inlineStr">
        <is>
          <t>Lead lines a year</t>
        </is>
      </c>
      <c r="D444" s="22" t="n">
        <v>1150</v>
      </c>
      <c r="E444" s="22">
        <f>'Capex'!$C$27</f>
        <v/>
      </c>
      <c r="F444" s="44" t="n">
        <v>0.500000001</v>
      </c>
      <c r="G444" s="3">
        <f>IF(ISNUMBER(E444),IF(ABS(E444-D444)&lt;=F444,"OK","ERROR"),"ERROR")</f>
        <v/>
      </c>
    </row>
    <row r="445">
      <c r="B445" s="5" t="inlineStr">
        <is>
          <t>esg_quality</t>
        </is>
      </c>
      <c r="C445" s="2" t="inlineStr">
        <is>
          <t>Miles renewed a year</t>
        </is>
      </c>
      <c r="D445" s="22" t="n">
        <v>36</v>
      </c>
      <c r="E445" s="22">
        <f>'System'!$C$21</f>
        <v/>
      </c>
      <c r="F445" s="44" t="n">
        <v>0.500000001</v>
      </c>
      <c r="G445" s="3">
        <f>IF(ISNUMBER(E445),IF(ABS(E445-D445)&lt;=F445,"OK","ERROR"),"ERROR")</f>
        <v/>
      </c>
    </row>
    <row r="446">
      <c r="B446" s="5" t="inlineStr">
        <is>
          <t>esg_desal</t>
        </is>
      </c>
      <c r="C446" s="2" t="inlineStr">
        <is>
          <t>kg of CO2 per m3</t>
        </is>
      </c>
      <c r="D446" s="22" t="n">
        <v>1.33</v>
      </c>
      <c r="E446" s="22">
        <f>'SB_Authority'!$C$20</f>
        <v/>
      </c>
      <c r="F446" s="44" t="n">
        <v>0.005000001</v>
      </c>
      <c r="G446" s="3">
        <f>IF(ISNUMBER(E446),IF(ABS(E446-D446)&lt;=F446,"OK","ERROR"),"ERROR")</f>
        <v/>
      </c>
    </row>
    <row r="447">
      <c r="B447" s="5" t="inlineStr">
        <is>
          <t>esg_desal</t>
        </is>
      </c>
      <c r="C447" s="2" t="inlineStr">
        <is>
          <t>Brine (m3 a day)</t>
        </is>
      </c>
      <c r="D447" s="22" t="n">
        <v>183333</v>
      </c>
      <c r="E447" s="22">
        <f>'SB_Capex'!$C$9</f>
        <v/>
      </c>
      <c r="F447" s="44" t="n">
        <v>0.500000001</v>
      </c>
      <c r="G447" s="3">
        <f>IF(ISNUMBER(E447),IF(ABS(E447-D447)&lt;=F447,"OK","ERROR"),"ERROR")</f>
        <v/>
      </c>
    </row>
    <row r="448">
      <c r="B448" s="5" t="inlineStr">
        <is>
          <t>esg_desal</t>
        </is>
      </c>
      <c r="C448" s="2" t="inlineStr">
        <is>
          <t>Pell River kWh per m3</t>
        </is>
      </c>
      <c r="D448" s="22" t="n">
        <v>0.63</v>
      </c>
      <c r="E448" s="22">
        <f>'System'!$C$26</f>
        <v/>
      </c>
      <c r="F448" s="44" t="n">
        <v>0.005000001</v>
      </c>
      <c r="G448" s="3">
        <f>IF(ISNUMBER(E448),IF(ABS(E448-D448)&lt;=F448,"OK","ERROR"),"ERROR")</f>
        <v/>
      </c>
    </row>
    <row r="449">
      <c r="B449" s="5" t="inlineStr">
        <is>
          <t>esg_afford</t>
        </is>
      </c>
      <c r="C449" s="2" t="inlineStr">
        <is>
          <t>Share 2028</t>
        </is>
      </c>
      <c r="D449" s="45" t="n">
        <v>0.0174</v>
      </c>
      <c r="E449" s="45">
        <f>Bills!$E$14</f>
        <v/>
      </c>
      <c r="F449" s="44" t="n">
        <v>5.0001e-05</v>
      </c>
      <c r="G449" s="3">
        <f>IF(ISNUMBER(E449),IF(ABS(E449-D449)&lt;=F449,"OK","ERROR"),"ERROR")</f>
        <v/>
      </c>
    </row>
    <row r="450">
      <c r="B450" s="5" t="inlineStr">
        <is>
          <t>esg_afford</t>
        </is>
      </c>
      <c r="C450" s="2" t="inlineStr">
        <is>
          <t>Share lowest-income tract 2028</t>
        </is>
      </c>
      <c r="D450" s="45" t="n">
        <v>0.0335</v>
      </c>
      <c r="E450" s="45">
        <f>Bills!$E$15</f>
        <v/>
      </c>
      <c r="F450" s="44" t="n">
        <v>5.0001e-05</v>
      </c>
      <c r="G450" s="3">
        <f>IF(ISNUMBER(E450),IF(ABS(E450-D450)&lt;=F450,"OK","ERROR"),"ERROR")</f>
        <v/>
      </c>
    </row>
    <row r="451">
      <c r="B451" s="5" t="inlineStr">
        <is>
          <t>esg_afford</t>
        </is>
      </c>
      <c r="C451" s="2" t="inlineStr">
        <is>
          <t>Share 2037</t>
        </is>
      </c>
      <c r="D451" s="45" t="n">
        <v>0.0197</v>
      </c>
      <c r="E451" s="45">
        <f>Bills!$N$14</f>
        <v/>
      </c>
      <c r="F451" s="44" t="n">
        <v>5.0001e-05</v>
      </c>
      <c r="G451" s="3">
        <f>IF(ISNUMBER(E451),IF(ABS(E451-D451)&lt;=F451,"OK","ERROR"),"ERROR")</f>
        <v/>
      </c>
    </row>
    <row r="452">
      <c r="B452" s="5" t="inlineStr">
        <is>
          <t>esg_afford</t>
        </is>
      </c>
      <c r="C452" s="2" t="inlineStr">
        <is>
          <t>Share lowest-income tract 2037</t>
        </is>
      </c>
      <c r="D452" s="45" t="n">
        <v>0.0378</v>
      </c>
      <c r="E452" s="45">
        <f>Bills!$N$15</f>
        <v/>
      </c>
      <c r="F452" s="44" t="n">
        <v>5.0001e-05</v>
      </c>
      <c r="G452" s="3">
        <f>IF(ISNUMBER(E452),IF(ABS(E452-D452)&lt;=F452,"OK","ERROR"),"ERROR")</f>
        <v/>
      </c>
    </row>
    <row r="453">
      <c r="B453" s="5" t="inlineStr">
        <is>
          <t>dd_bridge</t>
        </is>
      </c>
      <c r="C453" s="2" t="inlineStr">
        <is>
          <t>Value, step B1</t>
        </is>
      </c>
      <c r="D453" s="21" t="n">
        <v>1862</v>
      </c>
      <c r="E453" s="21">
        <f>DD!$C$6</f>
        <v/>
      </c>
      <c r="F453" s="44" t="n">
        <v>0.500000001</v>
      </c>
      <c r="G453" s="3">
        <f>IF(ISNUMBER(E453),IF(ABS(E453-D453)&lt;=F453,"OK","ERROR"),"ERROR")</f>
        <v/>
      </c>
    </row>
    <row r="454">
      <c r="B454" s="5" t="inlineStr">
        <is>
          <t>dd_bridge</t>
        </is>
      </c>
      <c r="C454" s="2" t="inlineStr">
        <is>
          <t>Value, step B2</t>
        </is>
      </c>
      <c r="D454" s="21" t="n">
        <v>1853</v>
      </c>
      <c r="E454" s="21">
        <f>DD!$C$7</f>
        <v/>
      </c>
      <c r="F454" s="44" t="n">
        <v>0.500000001</v>
      </c>
      <c r="G454" s="3">
        <f>IF(ISNUMBER(E454),IF(ABS(E454-D454)&lt;=F454,"OK","ERROR"),"ERROR")</f>
        <v/>
      </c>
    </row>
    <row r="455">
      <c r="B455" s="5" t="inlineStr">
        <is>
          <t>dd_bridge</t>
        </is>
      </c>
      <c r="C455" s="2" t="inlineStr">
        <is>
          <t>Change, step B2</t>
        </is>
      </c>
      <c r="D455" s="21" t="n">
        <v>-9.1</v>
      </c>
      <c r="E455" s="21">
        <f>DD!$D$7</f>
        <v/>
      </c>
      <c r="F455" s="44" t="n">
        <v>0.050000001</v>
      </c>
      <c r="G455" s="3">
        <f>IF(ISNUMBER(E455),IF(ABS(E455-D455)&lt;=F455,"OK","ERROR"),"ERROR")</f>
        <v/>
      </c>
    </row>
    <row r="456">
      <c r="B456" s="5" t="inlineStr">
        <is>
          <t>dd_bridge</t>
        </is>
      </c>
      <c r="C456" s="2" t="inlineStr">
        <is>
          <t>Value, step B3</t>
        </is>
      </c>
      <c r="D456" s="21" t="n">
        <v>1848</v>
      </c>
      <c r="E456" s="21">
        <f>DD!$C$8</f>
        <v/>
      </c>
      <c r="F456" s="44" t="n">
        <v>0.500000001</v>
      </c>
      <c r="G456" s="3">
        <f>IF(ISNUMBER(E456),IF(ABS(E456-D456)&lt;=F456,"OK","ERROR"),"ERROR")</f>
        <v/>
      </c>
    </row>
    <row r="457">
      <c r="B457" s="5" t="inlineStr">
        <is>
          <t>dd_bridge</t>
        </is>
      </c>
      <c r="C457" s="2" t="inlineStr">
        <is>
          <t>Change, step B3</t>
        </is>
      </c>
      <c r="D457" s="21" t="n">
        <v>-5.3</v>
      </c>
      <c r="E457" s="21">
        <f>DD!$D$8</f>
        <v/>
      </c>
      <c r="F457" s="44" t="n">
        <v>0.050000001</v>
      </c>
      <c r="G457" s="3">
        <f>IF(ISNUMBER(E457),IF(ABS(E457-D457)&lt;=F457,"OK","ERROR"),"ERROR")</f>
        <v/>
      </c>
    </row>
    <row r="458">
      <c r="B458" s="5" t="inlineStr">
        <is>
          <t>dd_bridge</t>
        </is>
      </c>
      <c r="C458" s="2" t="inlineStr">
        <is>
          <t>Value, step B4</t>
        </is>
      </c>
      <c r="D458" s="21" t="n">
        <v>1847</v>
      </c>
      <c r="E458" s="21">
        <f>DD!$C$9</f>
        <v/>
      </c>
      <c r="F458" s="44" t="n">
        <v>0.500000001</v>
      </c>
      <c r="G458" s="3">
        <f>IF(ISNUMBER(E458),IF(ABS(E458-D458)&lt;=F458,"OK","ERROR"),"ERROR")</f>
        <v/>
      </c>
    </row>
    <row r="459">
      <c r="B459" s="5" t="inlineStr">
        <is>
          <t>dd_bridge</t>
        </is>
      </c>
      <c r="C459" s="2" t="inlineStr">
        <is>
          <t>Change, step B4</t>
        </is>
      </c>
      <c r="D459" s="21" t="n">
        <v>-1</v>
      </c>
      <c r="E459" s="21">
        <f>DD!$D$9</f>
        <v/>
      </c>
      <c r="F459" s="44" t="n">
        <v>0.050000001</v>
      </c>
      <c r="G459" s="3">
        <f>IF(ISNUMBER(E459),IF(ABS(E459-D459)&lt;=F459,"OK","ERROR"),"ERROR")</f>
        <v/>
      </c>
    </row>
    <row r="460">
      <c r="B460" s="5" t="inlineStr">
        <is>
          <t>dd_bridge</t>
        </is>
      </c>
      <c r="C460" s="2" t="inlineStr">
        <is>
          <t>Value, step BASE</t>
        </is>
      </c>
      <c r="D460" s="21" t="n">
        <v>1845</v>
      </c>
      <c r="E460" s="21">
        <f>DD!$C$10</f>
        <v/>
      </c>
      <c r="F460" s="44" t="n">
        <v>0.500000001</v>
      </c>
      <c r="G460" s="3">
        <f>IF(ISNUMBER(E460),IF(ABS(E460-D460)&lt;=F460,"OK","ERROR"),"ERROR")</f>
        <v/>
      </c>
    </row>
    <row r="461">
      <c r="B461" s="5" t="inlineStr">
        <is>
          <t>dd_bridge</t>
        </is>
      </c>
      <c r="C461" s="2" t="inlineStr">
        <is>
          <t>Change, step BASE</t>
        </is>
      </c>
      <c r="D461" s="21" t="n">
        <v>-1.9</v>
      </c>
      <c r="E461" s="21">
        <f>DD!$D$10</f>
        <v/>
      </c>
      <c r="F461" s="44" t="n">
        <v>0.050000001</v>
      </c>
      <c r="G461" s="3">
        <f>IF(ISNUMBER(E461),IF(ABS(E461-D461)&lt;=F461,"OK","ERROR"),"ERROR")</f>
        <v/>
      </c>
    </row>
    <row r="462">
      <c r="B462" s="5" t="inlineStr">
        <is>
          <t>dd_bids</t>
        </is>
      </c>
      <c r="C462" s="2" t="inlineStr">
        <is>
          <t>First-round bid</t>
        </is>
      </c>
      <c r="D462" s="21" t="n">
        <v>1860</v>
      </c>
      <c r="E462" s="21">
        <f>'DD'!$C$13</f>
        <v/>
      </c>
      <c r="F462" s="44" t="n">
        <v>0.500000001</v>
      </c>
      <c r="G462" s="3">
        <f>IF(ISNUMBER(E462),IF(ABS(E462-D462)&lt;=F462,"OK","ERROR"),"ERROR")</f>
        <v/>
      </c>
    </row>
    <row r="463">
      <c r="B463" s="5" t="inlineStr">
        <is>
          <t>dd_bids</t>
        </is>
      </c>
      <c r="C463" s="2" t="inlineStr">
        <is>
          <t>First-round multiple</t>
        </is>
      </c>
      <c r="D463" s="39" t="n">
        <v>1.62</v>
      </c>
      <c r="E463" s="39">
        <f>'DD'!$C$14</f>
        <v/>
      </c>
      <c r="F463" s="44" t="n">
        <v>0.005000001</v>
      </c>
      <c r="G463" s="3">
        <f>IF(ISNUMBER(E463),IF(ABS(E463-D463)&lt;=F463,"OK","ERROR"),"ERROR")</f>
        <v/>
      </c>
    </row>
    <row r="464">
      <c r="B464" s="5" t="inlineStr">
        <is>
          <t>dd_bids</t>
        </is>
      </c>
      <c r="C464" s="2" t="inlineStr">
        <is>
          <t>Binding bid</t>
        </is>
      </c>
      <c r="D464" s="21" t="n">
        <v>1840</v>
      </c>
      <c r="E464" s="21">
        <f>'DD'!$C$15</f>
        <v/>
      </c>
      <c r="F464" s="44" t="n">
        <v>0.500000001</v>
      </c>
      <c r="G464" s="3">
        <f>IF(ISNUMBER(E464),IF(ABS(E464-D464)&lt;=F464,"OK","ERROR"),"ERROR")</f>
        <v/>
      </c>
    </row>
    <row r="465">
      <c r="B465" s="5" t="inlineStr">
        <is>
          <t>dd_mains</t>
        </is>
      </c>
      <c r="C465" s="2" t="inlineStr">
        <is>
          <t>IRR at 0.8 percent renewal</t>
        </is>
      </c>
      <c r="D465" s="45" t="n">
        <v>0.0756</v>
      </c>
      <c r="E465" s="45">
        <f>'DD'!$C$19</f>
        <v/>
      </c>
      <c r="F465" s="44" t="n">
        <v>5.0001e-05</v>
      </c>
      <c r="G465" s="3">
        <f>IF(ISNUMBER(E465),IF(ABS(E465-D465)&lt;=F465,"OK","ERROR"),"ERROR")</f>
        <v/>
      </c>
    </row>
    <row r="466">
      <c r="B466" s="5" t="inlineStr">
        <is>
          <t>dd_mains</t>
        </is>
      </c>
      <c r="C466" s="2" t="inlineStr">
        <is>
          <t>Price at the target</t>
        </is>
      </c>
      <c r="D466" s="21" t="n">
        <v>1804</v>
      </c>
      <c r="E466" s="21">
        <f>'DD'!$C$20</f>
        <v/>
      </c>
      <c r="F466" s="44" t="n">
        <v>0.500000001</v>
      </c>
      <c r="G466" s="3">
        <f>IF(ISNUMBER(E466),IF(ABS(E466-D466)&lt;=F466,"OK","ERROR"),"ERROR")</f>
        <v/>
      </c>
    </row>
    <row r="467">
      <c r="B467" s="5" t="inlineStr">
        <is>
          <t>dd_nrw</t>
        </is>
      </c>
      <c r="C467" s="2" t="inlineStr">
        <is>
          <t>Leakage gap cost a year</t>
        </is>
      </c>
      <c r="D467" s="22" t="n">
        <v>0.64</v>
      </c>
      <c r="E467" s="22">
        <f>'DD'!$C$21</f>
        <v/>
      </c>
      <c r="F467" s="44" t="n">
        <v>0.005000001</v>
      </c>
      <c r="G467" s="3">
        <f>IF(ISNUMBER(E467),IF(ABS(E467-D467)&lt;=F467,"OK","ERROR"),"ERROR")</f>
        <v/>
      </c>
    </row>
    <row r="468">
      <c r="B468" s="5" t="inlineStr">
        <is>
          <t>exit_minority</t>
        </is>
      </c>
      <c r="C468" s="2" t="inlineStr">
        <is>
          <t>Rate base 2032</t>
        </is>
      </c>
      <c r="D468" s="21" t="n">
        <v>1614</v>
      </c>
      <c r="E468" s="21">
        <f>'Exit'!$C$6</f>
        <v/>
      </c>
      <c r="F468" s="44" t="n">
        <v>0.500000001</v>
      </c>
      <c r="G468" s="3">
        <f>IF(ISNUMBER(E468),IF(ABS(E468-D468)&lt;=F468,"OK","ERROR"),"ERROR")</f>
        <v/>
      </c>
    </row>
    <row r="469">
      <c r="B469" s="5" t="inlineStr">
        <is>
          <t>exit_minority</t>
        </is>
      </c>
      <c r="C469" s="2" t="inlineStr">
        <is>
          <t>Enterprise value</t>
        </is>
      </c>
      <c r="D469" s="21" t="n">
        <v>2582</v>
      </c>
      <c r="E469" s="21">
        <f>'Exit'!$C$7</f>
        <v/>
      </c>
      <c r="F469" s="44" t="n">
        <v>0.500000001</v>
      </c>
      <c r="G469" s="3">
        <f>IF(ISNUMBER(E469),IF(ABS(E469-D469)&lt;=F469,"OK","ERROR"),"ERROR")</f>
        <v/>
      </c>
    </row>
    <row r="470">
      <c r="B470" s="5" t="inlineStr">
        <is>
          <t>exit_minority</t>
        </is>
      </c>
      <c r="C470" s="2" t="inlineStr">
        <is>
          <t>Equity after debt</t>
        </is>
      </c>
      <c r="D470" s="21" t="n">
        <v>1775</v>
      </c>
      <c r="E470" s="21">
        <f>'Exit'!$C$9</f>
        <v/>
      </c>
      <c r="F470" s="44" t="n">
        <v>0.500000001</v>
      </c>
      <c r="G470" s="3">
        <f>IF(ISNUMBER(E470),IF(ABS(E470-D470)&lt;=F470,"OK","ERROR"),"ERROR")</f>
        <v/>
      </c>
    </row>
    <row r="471">
      <c r="B471" s="5" t="inlineStr">
        <is>
          <t>exit_minority</t>
        </is>
      </c>
      <c r="C471" s="2" t="inlineStr">
        <is>
          <t>49 percent stake</t>
        </is>
      </c>
      <c r="D471" s="21" t="n">
        <v>870</v>
      </c>
      <c r="E471" s="21">
        <f>'Exit'!$C$10</f>
        <v/>
      </c>
      <c r="F471" s="44" t="n">
        <v>0.500000001</v>
      </c>
      <c r="G471" s="3">
        <f>IF(ISNUMBER(E471),IF(ABS(E471-D471)&lt;=F471,"OK","ERROR"),"ERROR")</f>
        <v/>
      </c>
    </row>
    <row r="472">
      <c r="B472" s="5" t="inlineStr">
        <is>
          <t>exit_minority</t>
        </is>
      </c>
      <c r="C472" s="2" t="inlineStr">
        <is>
          <t>Returned after the loan</t>
        </is>
      </c>
      <c r="D472" s="21" t="n">
        <v>495</v>
      </c>
      <c r="E472" s="21">
        <f>'Exit'!$C$11</f>
        <v/>
      </c>
      <c r="F472" s="44" t="n">
        <v>0.500000001</v>
      </c>
      <c r="G472" s="3">
        <f>IF(ISNUMBER(E472),IF(ABS(E472-D472)&lt;=F472,"OK","ERROR"),"ERROR")</f>
        <v/>
      </c>
    </row>
    <row r="473">
      <c r="B473" s="5" t="inlineStr">
        <is>
          <t>fen_contribution</t>
        </is>
      </c>
      <c r="C473" s="2" t="inlineStr">
        <is>
          <t>Rate base at exit without Fennick</t>
        </is>
      </c>
      <c r="D473" s="21" t="n">
        <v>1953</v>
      </c>
      <c r="E473" s="21">
        <f>Fennick!$I$26</f>
        <v/>
      </c>
      <c r="F473" s="44" t="n">
        <v>0.500000001</v>
      </c>
      <c r="G473" s="3">
        <f>IF(ISNUMBER(E473),IF(ABS(E473-D473)&lt;=F473,"OK","ERROR"),"ERROR")</f>
        <v/>
      </c>
    </row>
    <row r="474">
      <c r="B474" s="5" t="inlineStr">
        <is>
          <t>fen_contribution</t>
        </is>
      </c>
      <c r="C474" s="2" t="inlineStr">
        <is>
          <t>Exit equity without Fennick</t>
        </is>
      </c>
      <c r="D474" s="21" t="n">
        <v>1773</v>
      </c>
      <c r="E474" s="21">
        <f>Fennick!$I$28</f>
        <v/>
      </c>
      <c r="F474" s="44" t="n">
        <v>0.500000001</v>
      </c>
      <c r="G474" s="3">
        <f>IF(ISNUMBER(E474),IF(ABS(E474-D474)&lt;=F474,"OK","ERROR"),"ERROR")</f>
        <v/>
      </c>
    </row>
    <row r="475">
      <c r="B475" s="5" t="inlineStr">
        <is>
          <t>fen_contribution</t>
        </is>
      </c>
      <c r="C475" s="2" t="inlineStr">
        <is>
          <t>IRR without Fennick</t>
        </is>
      </c>
      <c r="D475" s="45" t="n">
        <v>0.0786</v>
      </c>
      <c r="E475" s="45">
        <f>Fennick!$I$30</f>
        <v/>
      </c>
      <c r="F475" s="44" t="n">
        <v>5.0001e-05</v>
      </c>
      <c r="G475" s="3">
        <f>IF(ISNUMBER(E475),IF(ABS(E475-D475)&lt;=F475,"OK","ERROR"),"ERROR")</f>
        <v/>
      </c>
    </row>
    <row r="476">
      <c r="B476" s="5" t="inlineStr">
        <is>
          <t>tuckin_logic</t>
        </is>
      </c>
      <c r="C476" s="2" t="inlineStr">
        <is>
          <t>Enterprise value per $1</t>
        </is>
      </c>
      <c r="D476" s="22" t="n">
        <v>1.6</v>
      </c>
      <c r="E476" s="22">
        <f>Fennick!$I$31</f>
        <v/>
      </c>
      <c r="F476" s="44" t="n">
        <v>0.005000001</v>
      </c>
      <c r="G476" s="3">
        <f>IF(ISNUMBER(E476),IF(ABS(E476-D476)&lt;=F476,"OK","ERROR"),"ERROR")</f>
        <v/>
      </c>
    </row>
    <row r="477">
      <c r="B477" s="5" t="inlineStr">
        <is>
          <t>tuckin_logic</t>
        </is>
      </c>
      <c r="C477" s="2" t="inlineStr">
        <is>
          <t>Debt per $1</t>
        </is>
      </c>
      <c r="D477" s="22" t="n">
        <v>0.5</v>
      </c>
      <c r="E477" s="22">
        <f>Fennick!$I$32</f>
        <v/>
      </c>
      <c r="F477" s="44" t="n">
        <v>0.005000001</v>
      </c>
      <c r="G477" s="3">
        <f>IF(ISNUMBER(E477),IF(ABS(E477-D477)&lt;=F477,"OK","ERROR"),"ERROR")</f>
        <v/>
      </c>
    </row>
    <row r="478">
      <c r="B478" s="5" t="inlineStr">
        <is>
          <t>tuckin_logic</t>
        </is>
      </c>
      <c r="C478" s="2" t="inlineStr">
        <is>
          <t>Equity per $1</t>
        </is>
      </c>
      <c r="D478" s="22" t="n">
        <v>0.5</v>
      </c>
      <c r="E478" s="22">
        <f>Fennick!$I$33</f>
        <v/>
      </c>
      <c r="F478" s="44" t="n">
        <v>0.005000001</v>
      </c>
      <c r="G478" s="3">
        <f>IF(ISNUMBER(E478),IF(ABS(E478-D478)&lt;=F478,"OK","ERROR"),"ERROR")</f>
        <v/>
      </c>
    </row>
    <row r="479">
      <c r="B479" s="5" t="inlineStr">
        <is>
          <t>entry_exit</t>
        </is>
      </c>
      <c r="C479" s="2" t="inlineStr">
        <is>
          <t>Rate base at exit</t>
        </is>
      </c>
      <c r="D479" s="21" t="n">
        <v>2010</v>
      </c>
      <c r="E479" s="21">
        <f>'Exit'!$C$17</f>
        <v/>
      </c>
      <c r="F479" s="44" t="n">
        <v>0.500000001</v>
      </c>
      <c r="G479" s="3">
        <f>IF(ISNUMBER(E479),IF(ABS(E479-D479)&lt;=F479,"OK","ERROR"),"ERROR")</f>
        <v/>
      </c>
    </row>
    <row r="480">
      <c r="B480" s="5" t="inlineStr">
        <is>
          <t>entry_exit</t>
        </is>
      </c>
      <c r="C480" s="2" t="inlineStr">
        <is>
          <t>Entry multiple</t>
        </is>
      </c>
      <c r="D480" s="39" t="n">
        <v>1.6</v>
      </c>
      <c r="E480" s="39">
        <f>'Exit'!$C$14</f>
        <v/>
      </c>
      <c r="F480" s="44" t="n">
        <v>0.005000001</v>
      </c>
      <c r="G480" s="3">
        <f>IF(ISNUMBER(E480),IF(ABS(E480-D480)&lt;=F480,"OK","ERROR"),"ERROR")</f>
        <v/>
      </c>
    </row>
    <row r="483">
      <c r="B483" s="6" t="inlineStr">
        <is>
          <t>Integrity tests (valid with any inputs)</t>
        </is>
      </c>
      <c r="C483" s="7" t="n"/>
      <c r="D483" s="7" t="n"/>
      <c r="E483" s="7" t="n"/>
      <c r="F483" s="7" t="n"/>
      <c r="G483" s="7" t="n"/>
    </row>
    <row r="484">
      <c r="C484" s="2" t="inlineStr">
        <is>
          <t>Rate base roll-forward ties every year</t>
        </is>
      </c>
      <c r="G484" s="3">
        <f>IF(SUMPRODUCT(ABS(Utility!$E$61:$N$61-(Utility!$E$57:$N$57+Utility!$E$15:$N$15-Utility!$E$47:$N$47-Utility!$E$58:$N$58+Utility!$E$59:$N$59-Utility!$E$50:$N$50-Utility!$E$60:$N$60)))&lt;0.000001,"OK","ERROR")</f>
        <v/>
      </c>
    </row>
    <row r="485">
      <c r="C485" s="2" t="inlineStr">
        <is>
          <t>Operating debt equals the debt share of rate base</t>
        </is>
      </c>
      <c r="G485" s="3">
        <f>IF(SUMPRODUCT(ABS(Utility!$E$63:$N$63-(1-pr_eq)*Utility!$E$61:$N$61))&lt;0.000001,"OK","ERROR")</f>
        <v/>
      </c>
    </row>
    <row r="486">
      <c r="C486" s="2" t="inlineStr">
        <is>
          <t>FCFE = net income - equity share of the change in rate base - expensed and disallowed spending</t>
        </is>
      </c>
      <c r="G486" s="3">
        <f>IF(SUMPRODUCT(ABS(Utility!$E$71:$N$71-(Utility!$E$54:$N$54-pr_eq*(Utility!$E$61:$N$61-Utility!$E$57:$N$57)-Utility!$E$47:$N$47-Utility!$E$58:$N$58)))&lt;0.000001,"OK","ERROR")</f>
        <v/>
      </c>
    </row>
    <row r="487">
      <c r="C487" s="2" t="inlineStr">
        <is>
          <t>Capital lines add up to the total</t>
        </is>
      </c>
      <c r="G487" s="3">
        <f>Capex!$O$15</f>
        <v/>
      </c>
    </row>
    <row r="488">
      <c r="C488" s="2" t="inlineStr">
        <is>
          <t>Pell River revenue = base + Fennick + DSIC</t>
        </is>
      </c>
      <c r="G488" s="3">
        <f>IF(SUMPRODUCT(ABS(Utility!$E$43:$N$43-Utility!$E$39:$N$39-Utility!$E$40:$N$40-Utility!$E$42:$N$42))&lt;0.000001,"OK","ERROR")</f>
        <v/>
      </c>
    </row>
    <row r="489">
      <c r="C489" s="2" t="inlineStr">
        <is>
          <t>Sorrel Bay revenue = its components less delay losses</t>
        </is>
      </c>
      <c r="G489" s="3">
        <f>IF(SUMPRODUCT(ABS('SB_Ops'!$D$28:AJ$28-'SB_Ops'!$D$22:AJ$22-'SB_Ops'!$D$23:AJ$23-'SB_Ops'!$D$24:AJ$24-'SB_Ops'!$D$25:AJ$25+'SB_Ops'!$D$27:AJ$27))&lt;0.000001,"OK","ERROR")</f>
        <v/>
      </c>
    </row>
    <row r="490">
      <c r="C490" s="2" t="inlineStr">
        <is>
          <t>Sorrel Bay debt + equity = capital cost</t>
        </is>
      </c>
      <c r="G490" s="3">
        <f>IF(ABS('SB_Finance'!$C$17+'SB_Finance'!$C$22-'SB_Capex'!$C$23)&lt;0.000001,"OK","ERROR")</f>
        <v/>
      </c>
    </row>
    <row r="491">
      <c r="C491" s="2" t="inlineStr">
        <is>
          <t>NPV of Brannock's flows at the IRR is zero</t>
        </is>
      </c>
      <c r="G491" s="3">
        <f>IF(ABS(NPV(Deal!$D$31,Deal!$E$23:$N$23)+Deal!$D$23)&lt;0.001,"OK","ERROR")</f>
        <v/>
      </c>
    </row>
    <row r="492">
      <c r="C492" s="2" t="inlineStr">
        <is>
          <t>NPV of Sorrel Bay equity flows at the equity IRR is zero</t>
        </is>
      </c>
      <c r="G492" s="3">
        <f>IF(ABS(NPV('SB_Finance'!$C$26,'SB_Ops'!$E$45:$AJ$45)+'SB_Ops'!$D$45)&lt;0.001,"OK","ERROR")</f>
        <v/>
      </c>
    </row>
    <row r="493">
      <c r="C493" s="2" t="inlineStr">
        <is>
          <t>Tariff components add up to the tariff per m3 delivered</t>
        </is>
      </c>
      <c r="G493" s="3">
        <f>IF(ABS('SB_Authority'!$C$10+'SB_Authority'!$C$11+'SB_Authority'!$C$8+'SB_Authority'!$C$9-'SB_Authority'!$C$12)&lt;0.000001,"OK","ERROR")</f>
        <v/>
      </c>
    </row>
    <row r="494">
      <c r="C494" s="2" t="inlineStr">
        <is>
          <t>Capacity charge bisection converged (high - low below $0.000001)</t>
        </is>
      </c>
      <c r="G494" s="3">
        <f>IF('SB_Finance'!$D$91-'SB_Finance'!$C$91&lt;0.000001,"OK","ERROR")</f>
        <v/>
      </c>
    </row>
    <row r="495">
      <c r="C495" s="2" t="inlineStr">
        <is>
          <t>Debt sizing: debt never above the gearing cap or the cover sizing</t>
        </is>
      </c>
      <c r="G495" s="3">
        <f>IF(AND('SB_Finance'!$C$17&lt;='SB_Finance'!$C$16+0.000001,'SB_Finance'!$C$17&lt;='SB_Finance'!$C$15+0.000001),"OK","ERROR")</f>
        <v/>
      </c>
    </row>
  </sheetData>
  <conditionalFormatting sqref="G7:G495">
    <cfRule type="cellIs" priority="1" operator="equal" dxfId="0">
      <formula>"ERROR"</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2026-10-10T01:04:34Z</dcterms:created>
  <dcterms:modified xmlns:dcterms="http://purl.org/dc/terms/" xmlns:xsi="http://www.w3.org/2001/XMLSchema-instance" xsi:type="dcterms:W3CDTF">2026-10-10T01:04:38Z</dcterms:modified>
</cp:coreProperties>
</file>