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Fund" sheetId="2" state="visible" r:id="rId4"/>
    <sheet name="2. Dilution Ladder" sheetId="3" state="visible" r:id="rId5"/>
    <sheet name="3. What the Pool Buys" sheetId="4" state="visible" r:id="rId6"/>
    <sheet name="4. Four Strategies" sheetId="5" state="visible" r:id="rId7"/>
    <sheet name="5. The Reserve Ratio"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<sst xmlns="http://schemas.openxmlformats.org/spreadsheetml/2006/main" count="249" uniqueCount="213">
  <si>
    <t xml:space="preserve">The Reserve Arithmetic</t>
  </si>
  <si>
    <t xml:space="preserve">A companion to Appendix E, and to Chapter 12</t>
  </si>
  <si>
    <t xml:space="preserve">Chapter 12 says: "Underneath every reserve decision sits arithmetic that you should be able to run in your head." It is the longest chapter in the book. It prints figures (a seed fund backing forty companies, a stake of twelve per cent that ends near five) but it never runs the arithmetic beneath them. This file runs it.</t>
  </si>
  <si>
    <t xml:space="preserve">What the file finds</t>
  </si>
  <si>
    <t xml:space="preserve">The chapter's claims hold, with one condition. A 10 per cent seed stake that never follows on ends at 3.70 per cent: the chapter's "double-digit ... to low single digits", exactly. Eight per cent of a two-billion outcome is worth 1.60x the fund and two per cent is worth 0.40x: the chapter's "difference between a fund returning its capital and a fund returning several times its capital" needs a landmark of at least fifty times the fund, where two per cent returns the fund once and eight per cent four times.</t>
  </si>
  <si>
    <t xml:space="preserve">But the chapter also states a convention it does not test, and that convention is wrong. It says funds reserve "a roughly even split, about half". On this fund shape a 50 per cent reserve returns 2.47x, while 25 per cent returns 3.14x. That is 67 million of difference on a 100 million fund, and at every level of selection skill tested, from perfect to poor, 50 per cent is too much.</t>
  </si>
  <si>
    <t xml:space="preserve">And one arithmetic fact reframes the whole chapter. Holding a 10 per cent stake through Series A to D costs 14.76 million in one company. A 40 million reserve pool therefore defends 2.71 companies out of forty. The chapter describes firms with "a policy of taking their full pro-rata in nearly every up round". At this fund shape that policy costs 14.8 times the pool. It is not a policy. It is an impossibility.</t>
  </si>
  <si>
    <t xml:space="preserve">The sheets</t>
  </si>
  <si>
    <t xml:space="preserve">1. The Fund — the fund, the rounds, the dilution. Every input is here.</t>
  </si>
  <si>
    <t xml:space="preserve">2. Dilution Ladder — what happens to a stake that never follows on, next to one that always does</t>
  </si>
  <si>
    <t xml:space="preserve">3. What the Pool Buys — the cost of defending one company, and how many the pool defends</t>
  </si>
  <si>
    <t xml:space="preserve">4. Four Strategies — the fund return under four ways of spending the same reserve</t>
  </si>
  <si>
    <t xml:space="preserve">5. The Reserve Ratio — the curve, and where it peaks, at four levels of selection skill</t>
  </si>
  <si>
    <t xml:space="preserve">6. Checks — every figure in Appendix E, recomputed and compared</t>
  </si>
  <si>
    <t xml:space="preserve">A warning about the figures</t>
  </si>
  <si>
    <t xml:space="preserve">Everything here is illustrative. The outcome set — one company at 2 billion, two at 300 million, four at 75 million, eight at 20 million, twenty-five at zero — is a power law of a particular steepness, and the optimal reserve ratio is sensitive to that steepness. Sheet 5 lets you change it. What is not sensitive, across everything tested, is the direction: the conventional half is more than the arithmetic supports.</t>
  </si>
  <si>
    <t xml:space="preserve">Blue on a pale fill is an input. Black on grey is a formula — do not overtype it.</t>
  </si>
  <si>
    <t xml:space="preserve">Revised 24 September 2026. Sheet 5 now does what its own row 6 says: at skill below one, the rest of the reserve lands at random (it used to land on companies that return nothing). At half skill the optimum is still a quarter, not a fifth; at a quarter it is nothing, not a twentieth; the gap against the conventional half runs from 59 to 71 million, not 63 to 82. The best ratio returns 3.14x, as Appendix E prints (the old check said 3.16). Sheet 4: the even-spread budget is computed, not typed; column G is renamed "Multiple of the fund", and column I adds TVPI on called capital; rows 34 to 38 show that the last reserve dollar returns 1.08, not 3.35. Tolerances now match the precision printed. Thirty-six checks.</t>
  </si>
  <si>
    <t xml:space="preserve">The fund, the rounds, and the dilution</t>
  </si>
  <si>
    <t xml:space="preserve">Chapter 12's world, given the figures the chapter does not give.</t>
  </si>
  <si>
    <t xml:space="preserve">The fund</t>
  </si>
  <si>
    <t xml:space="preserve">Fund size</t>
  </si>
  <si>
    <t xml:space="preserve">Management fee, per year</t>
  </si>
  <si>
    <t xml:space="preserve">Fund life (years)</t>
  </si>
  <si>
    <t xml:space="preserve">Investable capital</t>
  </si>
  <si>
    <t xml:space="preserve">Reserve ratio</t>
  </si>
  <si>
    <t xml:space="preserve">Initial pool</t>
  </si>
  <si>
    <t xml:space="preserve">Reserve pool</t>
  </si>
  <si>
    <t xml:space="preserve">Initial cheque</t>
  </si>
  <si>
    <t xml:space="preserve">Number of initial investments</t>
  </si>
  <si>
    <t xml:space="preserve">the pool divided by the cheque</t>
  </si>
  <si>
    <t xml:space="preserve">The company, and the rounds</t>
  </si>
  <si>
    <t xml:space="preserve">Seed post-money</t>
  </si>
  <si>
    <t xml:space="preserve">Ownership the initial cheque buys</t>
  </si>
  <si>
    <t xml:space="preserve">Share of the company sold in each round</t>
  </si>
  <si>
    <t xml:space="preserve">Each round below sells that share. The option-pool top-up dilutes everyone, including an investor taking its full pro-rata.</t>
  </si>
  <si>
    <t xml:space="preserve">Round</t>
  </si>
  <si>
    <t xml:space="preserve">Post-money</t>
  </si>
  <si>
    <t xml:space="preserve">Round size</t>
  </si>
  <si>
    <t xml:space="preserve">Option pool top-up</t>
  </si>
  <si>
    <t xml:space="preserve">Series A</t>
  </si>
  <si>
    <t xml:space="preserve">Series B</t>
  </si>
  <si>
    <t xml:space="preserve">Series C</t>
  </si>
  <si>
    <t xml:space="preserve">Series D</t>
  </si>
  <si>
    <t xml:space="preserve">The outcome set</t>
  </si>
  <si>
    <t xml:space="preserve">A power law. Change the steepness here and sheet 5 moves with it.</t>
  </si>
  <si>
    <t xml:space="preserve">Tier</t>
  </si>
  <si>
    <t xml:space="preserve">Exit value</t>
  </si>
  <si>
    <t xml:space="preserve">Companies per 40</t>
  </si>
  <si>
    <t xml:space="preserve">Rate</t>
  </si>
  <si>
    <t xml:space="preserve">The fund-returner</t>
  </si>
  <si>
    <t xml:space="preserve">Strong outcomes</t>
  </si>
  <si>
    <t xml:space="preserve">Decent outcomes</t>
  </si>
  <si>
    <t xml:space="preserve">Small outcomes</t>
  </si>
  <si>
    <t xml:space="preserve">Zeros</t>
  </si>
  <si>
    <t xml:space="preserve">Total</t>
  </si>
  <si>
    <t xml:space="preserve">The same stake, two policies</t>
  </si>
  <si>
    <t xml:space="preserve">Chapter 12: "An early investor who never follows on can see a double-digit ownership stake erode to low single digits by exit."</t>
  </si>
  <si>
    <t xml:space="preserve">NEVER FOLLOWS ON~own before</t>
  </si>
  <si>
    <t xml:space="preserve">own after</t>
  </si>
  <si>
    <t xml:space="preserve">ALWAYS FOLLOWS ON~own before</t>
  </si>
  <si>
    <t xml:space="preserve">pro-rata cost</t>
  </si>
  <si>
    <t xml:space="preserve">At exit</t>
  </si>
  <si>
    <t xml:space="preserve">Stake kept, never following on</t>
  </si>
  <si>
    <t xml:space="preserve">Stake kept, always following on</t>
  </si>
  <si>
    <t xml:space="preserve">the residue is the option pool, which no pro-rata right can offset</t>
  </si>
  <si>
    <t xml:space="preserve">Two things are worth noticing. The first is that following on does not hold ownership flat — the option-pool top-ups dilute everyone, and no pro-rata right covers them. The second is where the money goes: more than half the total pro-rata cost falls in the last round, because the cost of defending a position scales with the round size, and round sizes grow faster than anything else in venture.</t>
  </si>
  <si>
    <t xml:space="preserve">What the reserve pool actually buys</t>
  </si>
  <si>
    <t xml:space="preserve">Chapter 12: "some funds adopt a policy of taking their full pro-rata in nearly every up round".</t>
  </si>
  <si>
    <t xml:space="preserve">Amount</t>
  </si>
  <si>
    <t xml:space="preserve">What it means</t>
  </si>
  <si>
    <t xml:space="preserve">Cost of full pro-rata in ONE company</t>
  </si>
  <si>
    <t xml:space="preserve">Companies the pool can fully defend</t>
  </si>
  <si>
    <t xml:space="preserve">this is the number the chapter never gives</t>
  </si>
  <si>
    <t xml:space="preserve">Companies in the portfolio</t>
  </si>
  <si>
    <t xml:space="preserve">Share of the portfolio it can defend</t>
  </si>
  <si>
    <t xml:space="preserve">Cost of full pro-rata EVERYWHERE</t>
  </si>
  <si>
    <t xml:space="preserve">As a multiple of the pool</t>
  </si>
  <si>
    <t xml:space="preserve">This single line reframes the chapter. The follow-on question is not "which of our winners do we support?" — the pool answers that before any judgement is applied. It supports fewer than three companies out of forty. Everything the chapter says about ranking companies against one another is therefore not a counsel of rigour; it is a description of a binding constraint. An associate who recommends a follow-on is, arithmetically, recommending that two other companies get nothing.</t>
  </si>
  <si>
    <t xml:space="preserve">Where the cost falls</t>
  </si>
  <si>
    <t xml:space="preserve">Pro-rata cost</t>
  </si>
  <si>
    <t xml:space="preserve">Share of the total</t>
  </si>
  <si>
    <t xml:space="preserve">Note</t>
  </si>
  <si>
    <t xml:space="preserve">the last round alone</t>
  </si>
  <si>
    <t xml:space="preserve">Which is why reserve pools run dry late rather than early, and why a fund that took its pro-rata freely in Series A and B can find it has nothing left for the Series D of the one company that matters. The cheap rounds are the ones where discipline costs least and buys least.</t>
  </si>
  <si>
    <t xml:space="preserve">The same reserve, spent four ways</t>
  </si>
  <si>
    <t xml:space="preserve">Same fund, same companies, same outcomes. Only the allocation of the reserve pool changes.</t>
  </si>
  <si>
    <t xml:space="preserve">First: what a partial budget buys</t>
  </si>
  <si>
    <t xml:space="preserve">A budget smaller than the full pro-rata cost is spent in round order — the cheap early rounds first. This is not linear, and treating it as linear understates it badly.</t>
  </si>
  <si>
    <t xml:space="preserve">Budget per company</t>
  </si>
  <si>
    <t xml:space="preserve">Cost to hold</t>
  </si>
  <si>
    <t xml:space="preserve">Budget left</t>
  </si>
  <si>
    <t xml:space="preserve">Share taken</t>
  </si>
  <si>
    <t xml:space="preserve">Own after</t>
  </si>
  <si>
    <t xml:space="preserve">the even-spread budget: the pool divided by the number of companies followed</t>
  </si>
  <si>
    <t xml:space="preserve">Ownership a partial budget reaches</t>
  </si>
  <si>
    <t xml:space="preserve">compare with the full pro-rata result on sheet 2</t>
  </si>
  <si>
    <t xml:space="preserve">The four strategies</t>
  </si>
  <si>
    <t xml:space="preserve">Strategy</t>
  </si>
  <si>
    <t xml:space="preserve">Companies followed</t>
  </si>
  <si>
    <t xml:space="preserve">Reserve used</t>
  </si>
  <si>
    <t xml:space="preserve">Unused</t>
  </si>
  <si>
    <t xml:space="preserve">Own reached</t>
  </si>
  <si>
    <t xml:space="preserve">Proceeds</t>
  </si>
  <si>
    <t xml:space="preserve">Multiple of the fund</t>
  </si>
  <si>
    <t xml:space="preserve">Per reserve $</t>
  </si>
  <si>
    <t xml:space="preserve">TVPI, called capital</t>
  </si>
  <si>
    <t xml:space="preserve">No follow-on at all</t>
  </si>
  <si>
    <t xml:space="preserve">—</t>
  </si>
  <si>
    <t xml:space="preserve">Spread evenly</t>
  </si>
  <si>
    <t xml:space="preserve">Concentrate, best first</t>
  </si>
  <si>
    <t xml:space="preserve">All into the winner only</t>
  </si>
  <si>
    <t xml:space="preserve">The comparisons that matter</t>
  </si>
  <si>
    <t xml:space="preserve">Value</t>
  </si>
  <si>
    <t xml:space="preserve">Reading</t>
  </si>
  <si>
    <t xml:space="preserve">Concentrating beats spreading by</t>
  </si>
  <si>
    <t xml:space="preserve">the same pool, allocated differently</t>
  </si>
  <si>
    <t xml:space="preserve">Following on at all beats not, by</t>
  </si>
  <si>
    <t xml:space="preserve">A reserve dollar left unused returns</t>
  </si>
  <si>
    <t xml:space="preserve">it comes back at cost, having earned nothing</t>
  </si>
  <si>
    <t xml:space="preserve">A reserve dollar concentrated returns</t>
  </si>
  <si>
    <t xml:space="preserve">Opportunity cost per dollar left unused</t>
  </si>
  <si>
    <t xml:space="preserve">what "sitting on unused reserves" costs, per dollar</t>
  </si>
  <si>
    <t xml:space="preserve">The chapter says that sitting on unused reserves is a real and common failure, and that "that capital earned no return while it waited, and the LPs paid fees on it". Both halves are right, but the size of the second depends on which dollar is left. The fee is paid on committed capital whether the reserve is spent or not. What leaving a dollar unspent costs is the return that dollar would have earned, and that is rows 34 to 38, not row 26.</t>
  </si>
  <si>
    <t xml:space="preserve">Notice also how badly a linear intuition misleads. A budget of a fifth of the full pro-rata cost does not buy a fifth of the ownership benefit — it buys far more, because the early rounds are cheap and the last one is not. The first block on this sheet exists so that the partial case is computed rather than guessed. Column G is a multiple of the fund: an unspent reserve counts at cost. Column I is TVPI on the capital actually called, the glossary's definition, and it ranks the strategies differently.</t>
  </si>
  <si>
    <t xml:space="preserve">What the last reserve dollar returns</t>
  </si>
  <si>
    <t xml:space="preserve">The last dollar of the concentrated pool defends</t>
  </si>
  <si>
    <t xml:space="preserve">  and returns, per dollar</t>
  </si>
  <si>
    <t xml:space="preserve">the marginal dollar: this, not row 26, is what holding back costs</t>
  </si>
  <si>
    <t xml:space="preserve">Opportunity cost of that dollar, held back</t>
  </si>
  <si>
    <t xml:space="preserve">against 0.20 of fee on a committed dollar, paid either way</t>
  </si>
  <si>
    <t xml:space="preserve">Reserve that can be held back before the fund-returner loses its defence</t>
  </si>
  <si>
    <t xml:space="preserve">A dollar of the fund-returner's defence returns</t>
  </si>
  <si>
    <t xml:space="preserve">past row 37, each dollar held back costs this less one</t>
  </si>
  <si>
    <t xml:space="preserve">Row 26 is the average: every dollar of the pool, the fund-returner's defence included, divided into what the pool adds. It is not what holding a dollar back costs. The pool is spent best first, so the dollar a fund holds back "just in case" is the last one, and on this fund it would have gone to the second strong outcome: it returns 1.08, an opportunity cost of 0.08 a dollar, less than the fee. The first 25.2 million can be held back at that price. The 25.3rd million comes out of the fund-returner, and from there each dollar held back costs 6.22. The question is never whether to hold reserves back; it is whose defence the held-back dollar was going to pay for.</t>
  </si>
  <si>
    <t xml:space="preserve">How much should a fund reserve?</t>
  </si>
  <si>
    <t xml:space="preserve">Chapter 12: "A common convention is a roughly even split, where a fund earmarks about half its capital for initial investments and half for follow-ons."</t>
  </si>
  <si>
    <t xml:space="preserve">Fewer reserves buys more shots at finding a winner. More reserves buys a larger share of the winner you find. This sheet trades them off.</t>
  </si>
  <si>
    <t xml:space="preserve">Selection skill</t>
  </si>
  <si>
    <t xml:space="preserve">1.00 = your follow-ons land on the companies that actually become the winners. 0.00 = they land at random.</t>
  </si>
  <si>
    <t xml:space="preserve">Multiple of the fund at each level of skill (row 8): the table in rows 33 to 39 reads these columns.</t>
  </si>
  <si>
    <t xml:space="preserve">Companies</t>
  </si>
  <si>
    <t xml:space="preserve">Defends</t>
  </si>
  <si>
    <t xml:space="preserve">TVPI</t>
  </si>
  <si>
    <t xml:space="preserve">Proceeds, perfect</t>
  </si>
  <si>
    <t xml:space="preserve">Proceeds, at random</t>
  </si>
  <si>
    <t xml:space="preserve">Best ratio</t>
  </si>
  <si>
    <t xml:space="preserve">The chapter's 50%</t>
  </si>
  <si>
    <t xml:space="preserve">The gap, on this fund</t>
  </si>
  <si>
    <t xml:space="preserve">Run the sheet at each level of selection skill (rows 33 to 38). At perfect selection the optimum is a quarter, and still a quarter at three-quarters and at half; below about 0.37 it drops to nothing at all. It never rises to a half, and it never lands between: the curve is made of straight pieces, and the only corner is the ratio at which the pool defends every fund-returner. The intuition is worth keeping: reserves are only worth holding to the extent you can pick, and the worse you are at picking, the less you should hold back. A fund that reserves half and chooses follow-ons poorly has arranged to make its mistakes with the larger pile of money.</t>
  </si>
  <si>
    <t xml:space="preserve">The optimum at four levels of selection skill</t>
  </si>
  <si>
    <t xml:space="preserve">Skill</t>
  </si>
  <si>
    <t xml:space="preserve">Multiple at best</t>
  </si>
  <si>
    <t xml:space="preserve">Multiple at 50%</t>
  </si>
  <si>
    <t xml:space="preserve">Gap, millions</t>
  </si>
  <si>
    <t xml:space="preserve">Range of the gap across the four</t>
  </si>
  <si>
    <t xml:space="preserve">Every figure in Appendix E, recomputed here, and those revised on 24 September 2026</t>
  </si>
  <si>
    <t xml:space="preserve">Change an input on sheet 1 and these stop matching. That is the point.</t>
  </si>
  <si>
    <t xml:space="preserve">Figure</t>
  </si>
  <si>
    <t xml:space="preserve">Appendix E</t>
  </si>
  <si>
    <t xml:space="preserve">This file</t>
  </si>
  <si>
    <t xml:space="preserve">Status</t>
  </si>
  <si>
    <t xml:space="preserve">tol 500</t>
  </si>
  <si>
    <t xml:space="preserve">Initial ownership per cheque</t>
  </si>
  <si>
    <t xml:space="preserve">tol 5e-05</t>
  </si>
  <si>
    <t xml:space="preserve">tol 0.005</t>
  </si>
  <si>
    <t xml:space="preserve">Ownership at exit, never following on</t>
  </si>
  <si>
    <t xml:space="preserve">Ownership at exit, always following on</t>
  </si>
  <si>
    <t xml:space="preserve">tol 5.1e-05</t>
  </si>
  <si>
    <t xml:space="preserve">Cost of full pro-rata in one company</t>
  </si>
  <si>
    <t xml:space="preserve">tol 5000</t>
  </si>
  <si>
    <t xml:space="preserve">  of which the Series D alone</t>
  </si>
  <si>
    <t xml:space="preserve">Companies the pool defends</t>
  </si>
  <si>
    <t xml:space="preserve">Full pro-rata everywhere, as a multiple of the pool</t>
  </si>
  <si>
    <t xml:space="preserve">tol 0.0051</t>
  </si>
  <si>
    <t xml:space="preserve">Multiple of the fund — no follow-on at all</t>
  </si>
  <si>
    <t xml:space="preserve">Multiple of the fund — spread evenly over 12</t>
  </si>
  <si>
    <t xml:space="preserve">Multiple of the fund — concentrate, best first</t>
  </si>
  <si>
    <t xml:space="preserve">Return per reserve dollar, concentrated</t>
  </si>
  <si>
    <t xml:space="preserve">Best reserve ratio, perfect selection</t>
  </si>
  <si>
    <t xml:space="preserve">tol 0.0001</t>
  </si>
  <si>
    <t xml:space="preserve">Multiple of the fund at that ratio</t>
  </si>
  <si>
    <t xml:space="preserve">tol 0.005; revised, the first edition of this file checked 3.16 at a looser tolerance</t>
  </si>
  <si>
    <t xml:space="preserve">Multiple of the fund at the chapter's 50%</t>
  </si>
  <si>
    <t xml:space="preserve">Ownership after the A, never following on</t>
  </si>
  <si>
    <t xml:space="preserve">  after the B</t>
  </si>
  <si>
    <t xml:space="preserve">  after the C</t>
  </si>
  <si>
    <t xml:space="preserve">Share of the stake kept, never following on ("37 percent")</t>
  </si>
  <si>
    <t xml:space="preserve">Full pro-rata across the whole portfolio ("590 million")</t>
  </si>
  <si>
    <t xml:space="preserve">tol 500000</t>
  </si>
  <si>
    <t xml:space="preserve">Share of the cost in the Series D ("sixty-one percent")</t>
  </si>
  <si>
    <t xml:space="preserve">Multiple, all into the winner only</t>
  </si>
  <si>
    <t xml:space="preserve">  reserve left unspent ("25 million")</t>
  </si>
  <si>
    <t xml:space="preserve">Concentrating beats spreading by ("57 million")</t>
  </si>
  <si>
    <t xml:space="preserve">Return per reserve dollar, spread evenly</t>
  </si>
  <si>
    <t xml:space="preserve">Gap, best ratio against the half, perfect selection ("67 million")</t>
  </si>
  <si>
    <t xml:space="preserve">Best ratio at skill 0.75 ("still a quarter")</t>
  </si>
  <si>
    <t xml:space="preserve">Best ratio at skill 0.50</t>
  </si>
  <si>
    <t xml:space="preserve">revised: Appendix E printed a fifth</t>
  </si>
  <si>
    <t xml:space="preserve">Best ratio at skill 0.25</t>
  </si>
  <si>
    <t xml:space="preserve">revised: Appendix E printed a twentieth</t>
  </si>
  <si>
    <t xml:space="preserve">Smallest gap against the half, four skill levels</t>
  </si>
  <si>
    <t xml:space="preserve">revised: Appendix E printed 63 million</t>
  </si>
  <si>
    <t xml:space="preserve">Largest gap against the half, four skill levels</t>
  </si>
  <si>
    <t xml:space="preserve">revised: Appendix E printed 82 million</t>
  </si>
  <si>
    <t xml:space="preserve">The last dollar of the concentrated pool returns</t>
  </si>
  <si>
    <t xml:space="preserve">added: the dollar that is actually held back</t>
  </si>
  <si>
    <t xml:space="preserve">Eight per cent of the fund-returner, as a multiple of the fund</t>
  </si>
  <si>
    <t xml:space="preserve">the Read Me; the landmark must be 50x the fund for 2 per cent to return it</t>
  </si>
  <si>
    <t xml:space="preserve">Two per cent of the fund-returner</t>
  </si>
  <si>
    <t xml:space="preserve">Internal: the outcome set counts forty companies (the formulas scale per 40)</t>
  </si>
  <si>
    <t xml:space="preserve">tol 0</t>
  </si>
  <si>
    <t xml:space="preserve">Checks passing</t>
  </si>
</sst>
</file>

<file path=xl/styles.xml><?xml version="1.0" encoding="utf-8"?>
<styleSheet xmlns="http://schemas.openxmlformats.org/spreadsheetml/2006/main">
  <numFmts count="11">
    <numFmt numFmtId="164" formatCode="General"/>
    <numFmt numFmtId="165" formatCode="#,##0,,\M"/>
    <numFmt numFmtId="166" formatCode="0.0%"/>
    <numFmt numFmtId="167" formatCode="0"/>
    <numFmt numFmtId="168" formatCode="#,##0.00,,\M"/>
    <numFmt numFmtId="169" formatCode="0.0"/>
    <numFmt numFmtId="170" formatCode="0.00%"/>
    <numFmt numFmtId="171" formatCode="0.00"/>
    <numFmt numFmtId="172" formatCode="0.00\x"/>
    <numFmt numFmtId="173" formatCode="0%"/>
    <numFmt numFmtId="174" formatCode="#,##0.0,,\M"/>
  </numFmts>
  <fonts count="15">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1"/>
      <color rgb="FF1B4E8C"/>
      <name val="Cambria"/>
      <family val="0"/>
      <charset val="1"/>
    </font>
    <font>
      <sz val="11"/>
      <color rgb="FF1F2733"/>
      <name val="Cambria"/>
      <family val="0"/>
      <charset val="1"/>
    </font>
    <font>
      <b val="true"/>
      <sz val="10"/>
      <color rgb="FFFFFFFF"/>
      <name val="Cambria"/>
      <family val="0"/>
      <charset val="1"/>
    </font>
    <font>
      <b val="true"/>
      <sz val="10.5"/>
      <color rgb="FF1F2733"/>
      <name val="Cambria"/>
      <family val="0"/>
      <charset val="1"/>
    </font>
    <font>
      <b val="true"/>
      <sz val="11"/>
      <color rgb="FF1F2733"/>
      <name val="Cambria"/>
      <family val="0"/>
      <charset val="1"/>
    </font>
    <font>
      <i val="true"/>
      <sz val="10.5"/>
      <color rgb="FF1F2733"/>
      <name val="Cambria"/>
      <family val="0"/>
      <charset val="1"/>
    </font>
  </fonts>
  <fills count="6">
    <fill>
      <patternFill patternType="none"/>
    </fill>
    <fill>
      <patternFill patternType="gray125"/>
    </fill>
    <fill>
      <patternFill patternType="solid">
        <fgColor rgb="FFFDF3DC"/>
        <bgColor rgb="FFFBF0E4"/>
      </patternFill>
    </fill>
    <fill>
      <patternFill patternType="solid">
        <fgColor rgb="FFF1F3F5"/>
        <bgColor rgb="FFFBF0E4"/>
      </patternFill>
    </fill>
    <fill>
      <patternFill patternType="solid">
        <fgColor rgb="FF1F2733"/>
        <bgColor rgb="FF333300"/>
      </patternFill>
    </fill>
    <fill>
      <patternFill patternType="solid">
        <fgColor rgb="FFFBF0E4"/>
        <bgColor rgb="FFFDF3DC"/>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2" borderId="1" xfId="0" applyFont="true" applyBorder="true" applyAlignment="false" applyProtection="false">
      <alignment horizontal="general" vertical="bottom" textRotation="0" wrapText="false" indent="0" shrinkToFit="false"/>
      <protection locked="true" hidden="false"/>
    </xf>
    <xf numFmtId="166" fontId="9" fillId="2" borderId="1" xfId="0" applyFont="true" applyBorder="true" applyAlignment="false" applyProtection="false">
      <alignment horizontal="general" vertical="bottom" textRotation="0" wrapText="false" indent="0" shrinkToFit="false"/>
      <protection locked="true" hidden="false"/>
    </xf>
    <xf numFmtId="167" fontId="9" fillId="2"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8" fontId="9" fillId="2"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7" fontId="13" fillId="3" borderId="1" xfId="0" applyFont="true" applyBorder="true" applyAlignment="false" applyProtection="false">
      <alignment horizontal="general" vertical="bottom" textRotation="0" wrapText="false" indent="0" shrinkToFit="false"/>
      <protection locked="true" hidden="false"/>
    </xf>
    <xf numFmtId="170" fontId="13"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70" fontId="13" fillId="5" borderId="1" xfId="0" applyFont="true" applyBorder="true" applyAlignment="false" applyProtection="false">
      <alignment horizontal="general" vertical="bottom" textRotation="0" wrapText="false" indent="0" shrinkToFit="false"/>
      <protection locked="true" hidden="false"/>
    </xf>
    <xf numFmtId="168" fontId="13" fillId="5" borderId="1" xfId="0" applyFont="true" applyBorder="true" applyAlignment="false" applyProtection="false">
      <alignment horizontal="general" vertical="bottom" textRotation="0" wrapText="false" indent="0" shrinkToFit="false"/>
      <protection locked="true" hidden="false"/>
    </xf>
    <xf numFmtId="166" fontId="13"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71" fontId="13" fillId="5" borderId="1" xfId="0" applyFont="true" applyBorder="true" applyAlignment="false" applyProtection="false">
      <alignment horizontal="general" vertical="bottom" textRotation="0" wrapText="false" indent="0" shrinkToFit="false"/>
      <protection locked="true" hidden="false"/>
    </xf>
    <xf numFmtId="172" fontId="13" fillId="5" borderId="1" xfId="0" applyFont="true" applyBorder="true" applyAlignment="false" applyProtection="false">
      <alignment horizontal="general" vertical="bottom" textRotation="0" wrapText="false" indent="0" shrinkToFit="false"/>
      <protection locked="true" hidden="false"/>
    </xf>
    <xf numFmtId="168" fontId="13" fillId="3"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72" fontId="10" fillId="3" borderId="1" xfId="0" applyFont="true" applyBorder="true" applyAlignment="false" applyProtection="false">
      <alignment horizontal="general" vertical="bottom" textRotation="0" wrapText="false" indent="0" shrinkToFit="false"/>
      <protection locked="true" hidden="false"/>
    </xf>
    <xf numFmtId="171" fontId="10" fillId="3" borderId="1" xfId="0" applyFont="true" applyBorder="true" applyAlignment="false" applyProtection="false">
      <alignment horizontal="general" vertical="bottom" textRotation="0" wrapText="false" indent="0" shrinkToFit="false"/>
      <protection locked="true" hidden="false"/>
    </xf>
    <xf numFmtId="172" fontId="13" fillId="3" borderId="1" xfId="0" applyFont="true" applyBorder="tru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true" applyProtection="false">
      <alignment horizontal="center" vertical="center" textRotation="0" wrapText="tru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73" fontId="13" fillId="5"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bottom" textRotation="0" wrapText="false" indent="0" shrinkToFit="false"/>
      <protection locked="true" hidden="false"/>
    </xf>
    <xf numFmtId="173" fontId="10" fillId="3" borderId="1" xfId="0" applyFont="true" applyBorder="true" applyAlignment="false" applyProtection="false">
      <alignment horizontal="general" vertical="bottom" textRotation="0" wrapText="false" indent="0" shrinkToFit="false"/>
      <protection locked="true" hidden="false"/>
    </xf>
    <xf numFmtId="174" fontId="10"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8.55" hidden="false" customHeight="false" outlineLevel="0" collapsed="false">
      <c r="A1" s="1" t="s">
        <v>0</v>
      </c>
    </row>
    <row r="2" customFormat="false" ht="15" hidden="false" customHeight="false" outlineLevel="0" collapsed="false">
      <c r="A2" s="2" t="s">
        <v>1</v>
      </c>
    </row>
    <row r="4" customFormat="false" ht="45" hidden="false" customHeight="true" outlineLevel="0" collapsed="false">
      <c r="A4" s="3" t="s">
        <v>2</v>
      </c>
    </row>
    <row r="6" customFormat="false" ht="15" hidden="false" customHeight="false" outlineLevel="0" collapsed="false">
      <c r="A6" s="4" t="s">
        <v>3</v>
      </c>
    </row>
    <row r="7" customFormat="false" ht="75" hidden="false" customHeight="true" outlineLevel="0" collapsed="false">
      <c r="A7" s="3" t="s">
        <v>4</v>
      </c>
    </row>
    <row r="9" customFormat="false" ht="75" hidden="false" customHeight="true" outlineLevel="0" collapsed="false">
      <c r="A9" s="3" t="s">
        <v>5</v>
      </c>
    </row>
    <row r="11" customFormat="false" ht="75" hidden="false" customHeight="true" outlineLevel="0" collapsed="false">
      <c r="A11" s="3" t="s">
        <v>6</v>
      </c>
    </row>
    <row r="13" customFormat="false" ht="15" hidden="false" customHeight="false" outlineLevel="0" collapsed="false">
      <c r="A13" s="4" t="s">
        <v>7</v>
      </c>
    </row>
    <row r="14" customFormat="false" ht="15" hidden="false" customHeight="true" outlineLevel="0" collapsed="false">
      <c r="A14" s="3" t="s">
        <v>8</v>
      </c>
    </row>
    <row r="15" customFormat="false" ht="15" hidden="false" customHeight="true" outlineLevel="0" collapsed="false">
      <c r="A15" s="3" t="s">
        <v>9</v>
      </c>
    </row>
    <row r="16" customFormat="false" ht="15" hidden="false" customHeight="true" outlineLevel="0" collapsed="false">
      <c r="A16" s="3" t="s">
        <v>10</v>
      </c>
    </row>
    <row r="17" customFormat="false" ht="15" hidden="false" customHeight="true" outlineLevel="0" collapsed="false">
      <c r="A17" s="3" t="s">
        <v>11</v>
      </c>
    </row>
    <row r="18" customFormat="false" ht="15" hidden="false" customHeight="true" outlineLevel="0" collapsed="false">
      <c r="A18" s="3" t="s">
        <v>12</v>
      </c>
    </row>
    <row r="19" customFormat="false" ht="15" hidden="false" customHeight="true" outlineLevel="0" collapsed="false">
      <c r="A19" s="3" t="s">
        <v>13</v>
      </c>
    </row>
    <row r="21" customFormat="false" ht="15" hidden="false" customHeight="false" outlineLevel="0" collapsed="false">
      <c r="A21" s="4" t="s">
        <v>14</v>
      </c>
    </row>
    <row r="22" customFormat="false" ht="75" hidden="false" customHeight="true" outlineLevel="0" collapsed="false">
      <c r="A22" s="3" t="s">
        <v>15</v>
      </c>
    </row>
    <row r="24" customFormat="false" ht="15" hidden="false" customHeight="false" outlineLevel="0" collapsed="false">
      <c r="A24" s="2" t="s">
        <v>16</v>
      </c>
    </row>
    <row r="26" customFormat="false" ht="73.1" hidden="false" customHeight="false" outlineLevel="0" collapsed="false">
      <c r="A26" s="3"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6" min="2" style="0" width="15"/>
    <col collapsed="false" customWidth="true" hidden="false" outlineLevel="0" max="7" min="7" style="0" width="44"/>
  </cols>
  <sheetData>
    <row r="1" customFormat="false" ht="17.35" hidden="false" customHeight="false" outlineLevel="0" collapsed="false">
      <c r="A1" s="5" t="s">
        <v>18</v>
      </c>
    </row>
    <row r="2" customFormat="false" ht="15" hidden="false" customHeight="false" outlineLevel="0" collapsed="false">
      <c r="A2" s="2" t="s">
        <v>19</v>
      </c>
    </row>
    <row r="4" customFormat="false" ht="15" hidden="false" customHeight="false" outlineLevel="0" collapsed="false">
      <c r="A4" s="4" t="s">
        <v>20</v>
      </c>
    </row>
    <row r="5" customFormat="false" ht="15" hidden="false" customHeight="false" outlineLevel="0" collapsed="false">
      <c r="A5" s="6" t="s">
        <v>21</v>
      </c>
      <c r="B5" s="7" t="n">
        <v>100000000</v>
      </c>
    </row>
    <row r="6" customFormat="false" ht="15" hidden="false" customHeight="false" outlineLevel="0" collapsed="false">
      <c r="A6" s="6" t="s">
        <v>22</v>
      </c>
      <c r="B6" s="8" t="n">
        <v>0.02</v>
      </c>
    </row>
    <row r="7" customFormat="false" ht="15" hidden="false" customHeight="false" outlineLevel="0" collapsed="false">
      <c r="A7" s="6" t="s">
        <v>23</v>
      </c>
      <c r="B7" s="9" t="n">
        <v>10</v>
      </c>
    </row>
    <row r="8" customFormat="false" ht="15" hidden="false" customHeight="false" outlineLevel="0" collapsed="false">
      <c r="A8" s="6" t="s">
        <v>24</v>
      </c>
      <c r="B8" s="10" t="n">
        <f aca="false">B5*(1-B6*B7)</f>
        <v>80000000</v>
      </c>
    </row>
    <row r="9" customFormat="false" ht="15" hidden="false" customHeight="false" outlineLevel="0" collapsed="false">
      <c r="A9" s="6" t="s">
        <v>25</v>
      </c>
      <c r="B9" s="8" t="n">
        <v>0.5</v>
      </c>
    </row>
    <row r="10" customFormat="false" ht="15" hidden="false" customHeight="false" outlineLevel="0" collapsed="false">
      <c r="A10" s="6" t="s">
        <v>26</v>
      </c>
      <c r="B10" s="10" t="n">
        <f aca="false">B8*(1-B9)</f>
        <v>40000000</v>
      </c>
    </row>
    <row r="11" customFormat="false" ht="15" hidden="false" customHeight="false" outlineLevel="0" collapsed="false">
      <c r="A11" s="6" t="s">
        <v>27</v>
      </c>
      <c r="B11" s="10" t="n">
        <f aca="false">B8*B9</f>
        <v>40000000</v>
      </c>
    </row>
    <row r="12" customFormat="false" ht="15" hidden="false" customHeight="false" outlineLevel="0" collapsed="false">
      <c r="A12" s="6" t="s">
        <v>28</v>
      </c>
      <c r="B12" s="11" t="n">
        <v>1000000</v>
      </c>
    </row>
    <row r="13" customFormat="false" ht="15" hidden="false" customHeight="false" outlineLevel="0" collapsed="false">
      <c r="A13" s="6" t="s">
        <v>29</v>
      </c>
      <c r="B13" s="12" t="n">
        <f aca="false">IFERROR(B10/B12,"")</f>
        <v>40</v>
      </c>
      <c r="G13" s="13" t="s">
        <v>30</v>
      </c>
    </row>
    <row r="15" customFormat="false" ht="15" hidden="false" customHeight="false" outlineLevel="0" collapsed="false">
      <c r="A15" s="4" t="s">
        <v>31</v>
      </c>
    </row>
    <row r="16" customFormat="false" ht="15" hidden="false" customHeight="false" outlineLevel="0" collapsed="false">
      <c r="A16" s="6" t="s">
        <v>32</v>
      </c>
      <c r="B16" s="7" t="n">
        <v>10000000</v>
      </c>
    </row>
    <row r="17" customFormat="false" ht="15" hidden="false" customHeight="false" outlineLevel="0" collapsed="false">
      <c r="A17" s="6" t="s">
        <v>33</v>
      </c>
      <c r="B17" s="14" t="n">
        <f aca="false">IFERROR(B12/B16,"")</f>
        <v>0.1</v>
      </c>
    </row>
    <row r="18" customFormat="false" ht="15" hidden="false" customHeight="false" outlineLevel="0" collapsed="false">
      <c r="A18" s="6" t="s">
        <v>34</v>
      </c>
      <c r="B18" s="8" t="n">
        <v>0.2</v>
      </c>
    </row>
    <row r="19" customFormat="false" ht="15" hidden="false" customHeight="false" outlineLevel="0" collapsed="false">
      <c r="A19" s="2" t="s">
        <v>35</v>
      </c>
    </row>
    <row r="20" customFormat="false" ht="30" hidden="false" customHeight="true" outlineLevel="0" collapsed="false">
      <c r="A20" s="15" t="s">
        <v>36</v>
      </c>
      <c r="B20" s="15" t="s">
        <v>37</v>
      </c>
      <c r="C20" s="15" t="s">
        <v>38</v>
      </c>
      <c r="D20" s="15" t="s">
        <v>39</v>
      </c>
    </row>
    <row r="21" customFormat="false" ht="15" hidden="false" customHeight="false" outlineLevel="0" collapsed="false">
      <c r="A21" s="13" t="s">
        <v>40</v>
      </c>
      <c r="B21" s="7" t="n">
        <v>30000000</v>
      </c>
      <c r="C21" s="10" t="n">
        <f aca="false">B21*$B$18</f>
        <v>6000000</v>
      </c>
      <c r="D21" s="8" t="n">
        <v>0.05</v>
      </c>
    </row>
    <row r="22" customFormat="false" ht="15" hidden="false" customHeight="false" outlineLevel="0" collapsed="false">
      <c r="A22" s="13" t="s">
        <v>41</v>
      </c>
      <c r="B22" s="7" t="n">
        <v>80000000</v>
      </c>
      <c r="C22" s="10" t="n">
        <f aca="false">B22*$B$18</f>
        <v>16000000</v>
      </c>
      <c r="D22" s="8" t="n">
        <v>0.05</v>
      </c>
    </row>
    <row r="23" customFormat="false" ht="15" hidden="false" customHeight="false" outlineLevel="0" collapsed="false">
      <c r="A23" s="13" t="s">
        <v>42</v>
      </c>
      <c r="B23" s="7" t="n">
        <v>200000000</v>
      </c>
      <c r="C23" s="10" t="n">
        <f aca="false">B23*$B$18</f>
        <v>40000000</v>
      </c>
      <c r="D23" s="8" t="n">
        <v>0</v>
      </c>
    </row>
    <row r="24" customFormat="false" ht="15" hidden="false" customHeight="false" outlineLevel="0" collapsed="false">
      <c r="A24" s="13" t="s">
        <v>43</v>
      </c>
      <c r="B24" s="7" t="n">
        <v>500000000</v>
      </c>
      <c r="C24" s="10" t="n">
        <f aca="false">B24*$B$18</f>
        <v>100000000</v>
      </c>
      <c r="D24" s="8" t="n">
        <v>0</v>
      </c>
    </row>
    <row r="27" customFormat="false" ht="15" hidden="false" customHeight="false" outlineLevel="0" collapsed="false">
      <c r="A27" s="4" t="s">
        <v>44</v>
      </c>
    </row>
    <row r="28" customFormat="false" ht="15" hidden="false" customHeight="false" outlineLevel="0" collapsed="false">
      <c r="A28" s="2" t="s">
        <v>45</v>
      </c>
    </row>
    <row r="29" customFormat="false" ht="30" hidden="false" customHeight="true" outlineLevel="0" collapsed="false">
      <c r="A29" s="15" t="s">
        <v>46</v>
      </c>
      <c r="B29" s="15" t="s">
        <v>47</v>
      </c>
      <c r="C29" s="15" t="s">
        <v>48</v>
      </c>
      <c r="D29" s="15" t="s">
        <v>49</v>
      </c>
    </row>
    <row r="30" customFormat="false" ht="15" hidden="false" customHeight="false" outlineLevel="0" collapsed="false">
      <c r="A30" s="13" t="s">
        <v>50</v>
      </c>
      <c r="B30" s="7" t="n">
        <v>2000000000</v>
      </c>
      <c r="C30" s="9" t="n">
        <v>1</v>
      </c>
      <c r="D30" s="16" t="n">
        <f aca="false">C30/SUM($C$30:$C$34)</f>
        <v>0.025</v>
      </c>
    </row>
    <row r="31" customFormat="false" ht="15" hidden="false" customHeight="false" outlineLevel="0" collapsed="false">
      <c r="A31" s="13" t="s">
        <v>51</v>
      </c>
      <c r="B31" s="7" t="n">
        <v>300000000</v>
      </c>
      <c r="C31" s="9" t="n">
        <v>2</v>
      </c>
      <c r="D31" s="16" t="n">
        <f aca="false">C31/SUM($C$30:$C$34)</f>
        <v>0.05</v>
      </c>
    </row>
    <row r="32" customFormat="false" ht="15" hidden="false" customHeight="false" outlineLevel="0" collapsed="false">
      <c r="A32" s="13" t="s">
        <v>52</v>
      </c>
      <c r="B32" s="7" t="n">
        <v>75000000</v>
      </c>
      <c r="C32" s="9" t="n">
        <v>4</v>
      </c>
      <c r="D32" s="16" t="n">
        <f aca="false">C32/SUM($C$30:$C$34)</f>
        <v>0.1</v>
      </c>
    </row>
    <row r="33" customFormat="false" ht="15" hidden="false" customHeight="false" outlineLevel="0" collapsed="false">
      <c r="A33" s="13" t="s">
        <v>53</v>
      </c>
      <c r="B33" s="7" t="n">
        <v>20000000</v>
      </c>
      <c r="C33" s="9" t="n">
        <v>8</v>
      </c>
      <c r="D33" s="16" t="n">
        <f aca="false">C33/SUM($C$30:$C$34)</f>
        <v>0.2</v>
      </c>
    </row>
    <row r="34" customFormat="false" ht="15" hidden="false" customHeight="false" outlineLevel="0" collapsed="false">
      <c r="A34" s="13" t="s">
        <v>54</v>
      </c>
      <c r="B34" s="7" t="n">
        <v>0</v>
      </c>
      <c r="C34" s="9" t="n">
        <v>25</v>
      </c>
      <c r="D34" s="16" t="n">
        <f aca="false">C34/SUM($C$30:$C$34)</f>
        <v>0.625</v>
      </c>
    </row>
    <row r="35" customFormat="false" ht="15" hidden="false" customHeight="false" outlineLevel="0" collapsed="false">
      <c r="A35" s="17" t="s">
        <v>55</v>
      </c>
      <c r="C35" s="18" t="n">
        <f aca="false">SUM(C30:C34)</f>
        <v>40</v>
      </c>
      <c r="D35" s="19" t="n">
        <f aca="false">SUM(D30:D34)</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
    <col collapsed="false" customWidth="true" hidden="false" outlineLevel="0" max="9" min="2" style="0" width="16"/>
    <col collapsed="false" customWidth="true" hidden="false" outlineLevel="0" max="10" min="10" style="0" width="42"/>
  </cols>
  <sheetData>
    <row r="1" customFormat="false" ht="17.35" hidden="false" customHeight="false" outlineLevel="0" collapsed="false">
      <c r="A1" s="5" t="s">
        <v>56</v>
      </c>
    </row>
    <row r="2" customFormat="false" ht="15" hidden="false" customHeight="false" outlineLevel="0" collapsed="false">
      <c r="A2" s="2" t="s">
        <v>57</v>
      </c>
    </row>
    <row r="4" customFormat="false" ht="30" hidden="false" customHeight="true" outlineLevel="0" collapsed="false">
      <c r="A4" s="15" t="s">
        <v>36</v>
      </c>
      <c r="B4" s="15" t="s">
        <v>37</v>
      </c>
      <c r="C4" s="15" t="s">
        <v>38</v>
      </c>
      <c r="D4" s="15" t="s">
        <v>58</v>
      </c>
      <c r="E4" s="15" t="s">
        <v>59</v>
      </c>
      <c r="F4" s="15" t="s">
        <v>60</v>
      </c>
      <c r="G4" s="15" t="s">
        <v>61</v>
      </c>
      <c r="H4" s="15" t="s">
        <v>59</v>
      </c>
    </row>
    <row r="5" customFormat="false" ht="15" hidden="false" customHeight="false" outlineLevel="0" collapsed="false">
      <c r="A5" s="13" t="str">
        <f aca="false">'1. The Fund'!A21</f>
        <v>Series A</v>
      </c>
      <c r="B5" s="10" t="n">
        <f aca="false">'1. The Fund'!B21</f>
        <v>30000000</v>
      </c>
      <c r="C5" s="10" t="n">
        <f aca="false">'1. The Fund'!C21</f>
        <v>6000000</v>
      </c>
      <c r="D5" s="16" t="n">
        <f aca="false">'1. The Fund'!B17</f>
        <v>0.1</v>
      </c>
      <c r="E5" s="16" t="n">
        <f aca="false">D5*(1-'1. The Fund'!$B$18)*(1-'1. The Fund'!D21)</f>
        <v>0.076</v>
      </c>
      <c r="F5" s="16" t="n">
        <f aca="false">'1. The Fund'!B17</f>
        <v>0.1</v>
      </c>
      <c r="G5" s="20" t="n">
        <f aca="false">F5*C5</f>
        <v>600000</v>
      </c>
      <c r="H5" s="16" t="n">
        <f aca="false">F5*(1-'1. The Fund'!D21)</f>
        <v>0.095</v>
      </c>
    </row>
    <row r="6" customFormat="false" ht="15" hidden="false" customHeight="false" outlineLevel="0" collapsed="false">
      <c r="A6" s="13" t="str">
        <f aca="false">'1. The Fund'!A22</f>
        <v>Series B</v>
      </c>
      <c r="B6" s="10" t="n">
        <f aca="false">'1. The Fund'!B22</f>
        <v>80000000</v>
      </c>
      <c r="C6" s="10" t="n">
        <f aca="false">'1. The Fund'!C22</f>
        <v>16000000</v>
      </c>
      <c r="D6" s="16" t="n">
        <f aca="false">E5</f>
        <v>0.076</v>
      </c>
      <c r="E6" s="16" t="n">
        <f aca="false">D6*(1-'1. The Fund'!$B$18)*(1-'1. The Fund'!D22)</f>
        <v>0.05776</v>
      </c>
      <c r="F6" s="16" t="n">
        <f aca="false">H5</f>
        <v>0.095</v>
      </c>
      <c r="G6" s="20" t="n">
        <f aca="false">F6*C6</f>
        <v>1520000</v>
      </c>
      <c r="H6" s="16" t="n">
        <f aca="false">F6*(1-'1. The Fund'!D22)</f>
        <v>0.09025</v>
      </c>
    </row>
    <row r="7" customFormat="false" ht="15" hidden="false" customHeight="false" outlineLevel="0" collapsed="false">
      <c r="A7" s="13" t="str">
        <f aca="false">'1. The Fund'!A23</f>
        <v>Series C</v>
      </c>
      <c r="B7" s="10" t="n">
        <f aca="false">'1. The Fund'!B23</f>
        <v>200000000</v>
      </c>
      <c r="C7" s="10" t="n">
        <f aca="false">'1. The Fund'!C23</f>
        <v>40000000</v>
      </c>
      <c r="D7" s="16" t="n">
        <f aca="false">E6</f>
        <v>0.05776</v>
      </c>
      <c r="E7" s="16" t="n">
        <f aca="false">D7*(1-'1. The Fund'!$B$18)*(1-'1. The Fund'!D23)</f>
        <v>0.046208</v>
      </c>
      <c r="F7" s="16" t="n">
        <f aca="false">H6</f>
        <v>0.09025</v>
      </c>
      <c r="G7" s="20" t="n">
        <f aca="false">F7*C7</f>
        <v>3610000</v>
      </c>
      <c r="H7" s="16" t="n">
        <f aca="false">F7*(1-'1. The Fund'!D23)</f>
        <v>0.09025</v>
      </c>
    </row>
    <row r="8" customFormat="false" ht="15" hidden="false" customHeight="false" outlineLevel="0" collapsed="false">
      <c r="A8" s="13" t="str">
        <f aca="false">'1. The Fund'!A24</f>
        <v>Series D</v>
      </c>
      <c r="B8" s="10" t="n">
        <f aca="false">'1. The Fund'!B24</f>
        <v>500000000</v>
      </c>
      <c r="C8" s="10" t="n">
        <f aca="false">'1. The Fund'!C24</f>
        <v>100000000</v>
      </c>
      <c r="D8" s="16" t="n">
        <f aca="false">E7</f>
        <v>0.046208</v>
      </c>
      <c r="E8" s="16" t="n">
        <f aca="false">D8*(1-'1. The Fund'!$B$18)*(1-'1. The Fund'!D24)</f>
        <v>0.0369664</v>
      </c>
      <c r="F8" s="16" t="n">
        <f aca="false">H7</f>
        <v>0.09025</v>
      </c>
      <c r="G8" s="20" t="n">
        <f aca="false">F8*C8</f>
        <v>9025000</v>
      </c>
      <c r="H8" s="16" t="n">
        <f aca="false">F8*(1-'1. The Fund'!D24)</f>
        <v>0.09025</v>
      </c>
    </row>
    <row r="9" customFormat="false" ht="15" hidden="false" customHeight="false" outlineLevel="0" collapsed="false">
      <c r="A9" s="17" t="s">
        <v>62</v>
      </c>
      <c r="E9" s="21" t="n">
        <f aca="false">E8</f>
        <v>0.0369664</v>
      </c>
      <c r="G9" s="22" t="n">
        <f aca="false">SUM(G5:G8)</f>
        <v>14755000</v>
      </c>
      <c r="H9" s="21" t="n">
        <f aca="false">H8</f>
        <v>0.09025</v>
      </c>
    </row>
    <row r="11" customFormat="false" ht="15" hidden="false" customHeight="false" outlineLevel="0" collapsed="false">
      <c r="A11" s="17" t="s">
        <v>63</v>
      </c>
      <c r="E11" s="23" t="n">
        <f aca="false">IFERROR(E9/'1. The Fund'!B17,"")</f>
        <v>0.369664</v>
      </c>
      <c r="J11" s="13" t="str">
        <f aca="false">IF(E11="","",IF(AND(E9&lt;0.05,'1. The Fund'!B17&gt;=0.1),"double-digit at seed, low single digits at exit — the chapter is right",""))</f>
        <v>double-digit at seed, low single digits at exit — the chapter is right</v>
      </c>
    </row>
    <row r="12" customFormat="false" ht="15" hidden="false" customHeight="false" outlineLevel="0" collapsed="false">
      <c r="A12" s="17" t="s">
        <v>64</v>
      </c>
      <c r="H12" s="23" t="n">
        <f aca="false">IFERROR(H9/'1. The Fund'!B17,"")</f>
        <v>0.9025</v>
      </c>
      <c r="J12" s="13" t="s">
        <v>65</v>
      </c>
    </row>
    <row r="14" customFormat="false" ht="48" hidden="false" customHeight="true" outlineLevel="0" collapsed="false">
      <c r="A14" s="24" t="s">
        <v>66</v>
      </c>
      <c r="B14" s="24"/>
      <c r="C14" s="24"/>
      <c r="D14" s="24"/>
      <c r="E14" s="24"/>
      <c r="F14" s="24"/>
      <c r="G14" s="24"/>
      <c r="H14" s="24"/>
      <c r="I14" s="24"/>
    </row>
  </sheetData>
  <mergeCells count="1">
    <mergeCell ref="A14:I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4" min="2" style="0" width="17"/>
    <col collapsed="false" customWidth="true" hidden="false" outlineLevel="0" max="5" min="5" style="0" width="46"/>
  </cols>
  <sheetData>
    <row r="1" customFormat="false" ht="17.35" hidden="false" customHeight="false" outlineLevel="0" collapsed="false">
      <c r="A1" s="5" t="s">
        <v>67</v>
      </c>
    </row>
    <row r="2" customFormat="false" ht="15" hidden="false" customHeight="false" outlineLevel="0" collapsed="false">
      <c r="A2" s="2" t="s">
        <v>68</v>
      </c>
    </row>
    <row r="4" customFormat="false" ht="30" hidden="false" customHeight="true" outlineLevel="0" collapsed="false">
      <c r="A4" s="15"/>
      <c r="B4" s="15" t="s">
        <v>69</v>
      </c>
      <c r="C4" s="15"/>
      <c r="D4" s="15"/>
      <c r="E4" s="15" t="s">
        <v>70</v>
      </c>
    </row>
    <row r="5" customFormat="false" ht="15" hidden="false" customHeight="false" outlineLevel="0" collapsed="false">
      <c r="A5" s="6" t="s">
        <v>27</v>
      </c>
      <c r="B5" s="10" t="n">
        <f aca="false">'1. The Fund'!B11</f>
        <v>40000000</v>
      </c>
    </row>
    <row r="6" customFormat="false" ht="15" hidden="false" customHeight="false" outlineLevel="0" collapsed="false">
      <c r="A6" s="6" t="s">
        <v>71</v>
      </c>
      <c r="B6" s="20" t="n">
        <f aca="false">'2. Dilution Ladder'!G9</f>
        <v>14755000</v>
      </c>
    </row>
    <row r="7" customFormat="false" ht="15" hidden="false" customHeight="false" outlineLevel="0" collapsed="false">
      <c r="A7" s="17" t="s">
        <v>72</v>
      </c>
      <c r="B7" s="25" t="n">
        <f aca="false">IFERROR(B5/B6,"")</f>
        <v>2.71094544222298</v>
      </c>
      <c r="E7" s="13" t="s">
        <v>73</v>
      </c>
    </row>
    <row r="8" customFormat="false" ht="15" hidden="false" customHeight="false" outlineLevel="0" collapsed="false">
      <c r="A8" s="6" t="s">
        <v>74</v>
      </c>
      <c r="B8" s="12" t="n">
        <f aca="false">'1. The Fund'!B13</f>
        <v>40</v>
      </c>
    </row>
    <row r="9" customFormat="false" ht="15" hidden="false" customHeight="false" outlineLevel="0" collapsed="false">
      <c r="A9" s="6" t="s">
        <v>75</v>
      </c>
      <c r="B9" s="14" t="n">
        <f aca="false">IFERROR(B7/B8,"")</f>
        <v>0.0677736360555744</v>
      </c>
    </row>
    <row r="10" customFormat="false" ht="15" hidden="false" customHeight="false" outlineLevel="0" collapsed="false">
      <c r="A10" s="6" t="s">
        <v>76</v>
      </c>
      <c r="B10" s="10" t="n">
        <f aca="false">IFERROR(B6*B8,"")</f>
        <v>590200000</v>
      </c>
    </row>
    <row r="11" customFormat="false" ht="15" hidden="false" customHeight="false" outlineLevel="0" collapsed="false">
      <c r="A11" s="17" t="s">
        <v>77</v>
      </c>
      <c r="B11" s="26" t="n">
        <f aca="false">IFERROR(B10/B5,"")</f>
        <v>14.755</v>
      </c>
      <c r="E11" s="13" t="str">
        <f aca="false">IF(B11="","",IF(B11&gt;1,"The 'full pro-rata everywhere' policy is arithmetically impossible at this fund shape","affordable"))</f>
        <v>The 'full pro-rata everywhere' policy is arithmetically impossible at this fund shape</v>
      </c>
    </row>
    <row r="13" customFormat="false" ht="51.75" hidden="false" customHeight="true" outlineLevel="0" collapsed="false">
      <c r="A13" s="24" t="s">
        <v>78</v>
      </c>
      <c r="B13" s="24"/>
      <c r="C13" s="24"/>
      <c r="D13" s="24"/>
      <c r="E13" s="24"/>
    </row>
    <row r="16" customFormat="false" ht="15" hidden="false" customHeight="false" outlineLevel="0" collapsed="false">
      <c r="A16" s="4" t="s">
        <v>79</v>
      </c>
    </row>
    <row r="17" customFormat="false" ht="30" hidden="false" customHeight="true" outlineLevel="0" collapsed="false">
      <c r="A17" s="15" t="s">
        <v>36</v>
      </c>
      <c r="B17" s="15" t="s">
        <v>80</v>
      </c>
      <c r="C17" s="15" t="s">
        <v>81</v>
      </c>
      <c r="D17" s="15"/>
      <c r="E17" s="15" t="s">
        <v>82</v>
      </c>
    </row>
    <row r="18" customFormat="false" ht="15" hidden="false" customHeight="false" outlineLevel="0" collapsed="false">
      <c r="A18" s="13" t="str">
        <f aca="false">'2. Dilution Ladder'!A5</f>
        <v>Series A</v>
      </c>
      <c r="B18" s="20" t="n">
        <f aca="false">'2. Dilution Ladder'!G5</f>
        <v>600000</v>
      </c>
      <c r="C18" s="14" t="n">
        <f aca="false">IFERROR(B18/'2. Dilution Ladder'!$G$9,"")</f>
        <v>0.0406641816333446</v>
      </c>
    </row>
    <row r="19" customFormat="false" ht="15" hidden="false" customHeight="false" outlineLevel="0" collapsed="false">
      <c r="A19" s="13" t="str">
        <f aca="false">'2. Dilution Ladder'!A6</f>
        <v>Series B</v>
      </c>
      <c r="B19" s="20" t="n">
        <f aca="false">'2. Dilution Ladder'!G6</f>
        <v>1520000</v>
      </c>
      <c r="C19" s="14" t="n">
        <f aca="false">IFERROR(B19/'2. Dilution Ladder'!$G$9,"")</f>
        <v>0.103015926804473</v>
      </c>
    </row>
    <row r="20" customFormat="false" ht="15" hidden="false" customHeight="false" outlineLevel="0" collapsed="false">
      <c r="A20" s="13" t="str">
        <f aca="false">'2. Dilution Ladder'!A7</f>
        <v>Series C</v>
      </c>
      <c r="B20" s="20" t="n">
        <f aca="false">'2. Dilution Ladder'!G7</f>
        <v>3610000</v>
      </c>
      <c r="C20" s="14" t="n">
        <f aca="false">IFERROR(B20/'2. Dilution Ladder'!$G$9,"")</f>
        <v>0.244662826160624</v>
      </c>
    </row>
    <row r="21" customFormat="false" ht="15" hidden="false" customHeight="false" outlineLevel="0" collapsed="false">
      <c r="A21" s="13" t="str">
        <f aca="false">'2. Dilution Ladder'!A8</f>
        <v>Series D</v>
      </c>
      <c r="B21" s="20" t="n">
        <f aca="false">'2. Dilution Ladder'!G8</f>
        <v>9025000</v>
      </c>
      <c r="C21" s="14" t="n">
        <f aca="false">IFERROR(B21/'2. Dilution Ladder'!$G$9,"")</f>
        <v>0.611657065401559</v>
      </c>
      <c r="E21" s="13" t="s">
        <v>83</v>
      </c>
    </row>
    <row r="22" customFormat="false" ht="15" hidden="false" customHeight="false" outlineLevel="0" collapsed="false">
      <c r="A22" s="17" t="s">
        <v>55</v>
      </c>
      <c r="B22" s="27" t="n">
        <f aca="false">'2. Dilution Ladder'!G9</f>
        <v>14755000</v>
      </c>
      <c r="C22" s="23" t="n">
        <f aca="false">SUM(C18:C21)</f>
        <v>1</v>
      </c>
    </row>
    <row r="24" customFormat="false" ht="33.75" hidden="false" customHeight="true" outlineLevel="0" collapsed="false">
      <c r="A24" s="24" t="s">
        <v>84</v>
      </c>
      <c r="B24" s="24"/>
      <c r="C24" s="24"/>
      <c r="D24" s="24"/>
      <c r="E24" s="24"/>
    </row>
  </sheetData>
  <mergeCells count="2">
    <mergeCell ref="A13:E13"/>
    <mergeCell ref="A24:E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9" min="2" style="0" width="15"/>
    <col collapsed="false" customWidth="true" hidden="false" outlineLevel="0" max="10" min="10" style="0" width="40"/>
  </cols>
  <sheetData>
    <row r="1" customFormat="false" ht="17.35" hidden="false" customHeight="false" outlineLevel="0" collapsed="false">
      <c r="A1" s="5" t="s">
        <v>85</v>
      </c>
    </row>
    <row r="2" customFormat="false" ht="15" hidden="false" customHeight="false" outlineLevel="0" collapsed="false">
      <c r="A2" s="2" t="s">
        <v>86</v>
      </c>
    </row>
    <row r="4" customFormat="false" ht="15" hidden="false" customHeight="false" outlineLevel="0" collapsed="false">
      <c r="A4" s="4" t="s">
        <v>87</v>
      </c>
    </row>
    <row r="5" customFormat="false" ht="15" hidden="false" customHeight="false" outlineLevel="0" collapsed="false">
      <c r="A5" s="2" t="s">
        <v>88</v>
      </c>
    </row>
    <row r="6" customFormat="false" ht="30" hidden="false" customHeight="true" outlineLevel="0" collapsed="false">
      <c r="A6" s="15" t="s">
        <v>89</v>
      </c>
      <c r="B6" s="15" t="s">
        <v>36</v>
      </c>
      <c r="C6" s="15" t="s">
        <v>90</v>
      </c>
      <c r="D6" s="15" t="s">
        <v>91</v>
      </c>
      <c r="E6" s="15" t="s">
        <v>92</v>
      </c>
      <c r="F6" s="15" t="s">
        <v>93</v>
      </c>
    </row>
    <row r="7" customFormat="false" ht="15" hidden="false" customHeight="false" outlineLevel="0" collapsed="false">
      <c r="A7" s="11" t="n">
        <f aca="false">'1. The Fund'!B11/B17</f>
        <v>3333333.33333333</v>
      </c>
      <c r="J7" s="28" t="s">
        <v>94</v>
      </c>
    </row>
    <row r="8" customFormat="false" ht="15" hidden="false" customHeight="false" outlineLevel="0" collapsed="false">
      <c r="B8" s="13" t="str">
        <f aca="false">'1. The Fund'!A21</f>
        <v>Series A</v>
      </c>
      <c r="C8" s="20" t="n">
        <f aca="false">'1. The Fund'!$B$17*'1. The Fund'!C21</f>
        <v>600000</v>
      </c>
      <c r="D8" s="20" t="n">
        <f aca="false">MAX(0,$A$7-MIN($A$7,C8))</f>
        <v>2733333.33333333</v>
      </c>
      <c r="E8" s="14" t="n">
        <f aca="false">IFERROR(MIN(1,$A$7/C8),0)</f>
        <v>1</v>
      </c>
      <c r="F8" s="16" t="n">
        <f aca="false">'1. The Fund'!$B$17*(1-(1-E8)*'1. The Fund'!$B$18)*(1-'1. The Fund'!D21)</f>
        <v>0.095</v>
      </c>
    </row>
    <row r="9" customFormat="false" ht="15" hidden="false" customHeight="false" outlineLevel="0" collapsed="false">
      <c r="B9" s="13" t="str">
        <f aca="false">'1. The Fund'!A22</f>
        <v>Series B</v>
      </c>
      <c r="C9" s="20" t="n">
        <f aca="false">F8*'1. The Fund'!C22</f>
        <v>1520000</v>
      </c>
      <c r="D9" s="20" t="n">
        <f aca="false">MAX(0,D8-MIN(D8,C9))</f>
        <v>1213333.33333333</v>
      </c>
      <c r="E9" s="14" t="n">
        <f aca="false">IFERROR(MIN(1,D8/C9),0)</f>
        <v>1</v>
      </c>
      <c r="F9" s="16" t="n">
        <f aca="false">F8*(1-(1-E9)*'1. The Fund'!$B$18)*(1-'1. The Fund'!D22)</f>
        <v>0.09025</v>
      </c>
    </row>
    <row r="10" customFormat="false" ht="15" hidden="false" customHeight="false" outlineLevel="0" collapsed="false">
      <c r="B10" s="13" t="str">
        <f aca="false">'1. The Fund'!A23</f>
        <v>Series C</v>
      </c>
      <c r="C10" s="20" t="n">
        <f aca="false">F9*'1. The Fund'!C23</f>
        <v>3610000</v>
      </c>
      <c r="D10" s="20" t="n">
        <f aca="false">MAX(0,D9-MIN(D9,C10))</f>
        <v>0</v>
      </c>
      <c r="E10" s="14" t="n">
        <f aca="false">IFERROR(MIN(1,D9/C10),0)</f>
        <v>0.336103416435827</v>
      </c>
      <c r="F10" s="16" t="n">
        <f aca="false">F9*(1-(1-E10)*'1. The Fund'!$B$18)*(1-'1. The Fund'!D23)</f>
        <v>0.0782666666666667</v>
      </c>
    </row>
    <row r="11" customFormat="false" ht="15" hidden="false" customHeight="false" outlineLevel="0" collapsed="false">
      <c r="B11" s="13" t="str">
        <f aca="false">'1. The Fund'!A24</f>
        <v>Series D</v>
      </c>
      <c r="C11" s="20" t="n">
        <f aca="false">F10*'1. The Fund'!C24</f>
        <v>7826666.66666667</v>
      </c>
      <c r="D11" s="20" t="n">
        <f aca="false">MAX(0,D10-MIN(D10,C11))</f>
        <v>0</v>
      </c>
      <c r="E11" s="14" t="n">
        <f aca="false">IFERROR(MIN(1,D10/C11),0)</f>
        <v>0</v>
      </c>
      <c r="F11" s="16" t="n">
        <f aca="false">F10*(1-(1-E11)*'1. The Fund'!$B$18)*(1-'1. The Fund'!D24)</f>
        <v>0.0626133333333333</v>
      </c>
    </row>
    <row r="12" customFormat="false" ht="15" hidden="false" customHeight="false" outlineLevel="0" collapsed="false">
      <c r="A12" s="17" t="s">
        <v>95</v>
      </c>
      <c r="F12" s="21" t="n">
        <f aca="false">F11</f>
        <v>0.0626133333333333</v>
      </c>
      <c r="J12" s="13" t="s">
        <v>96</v>
      </c>
    </row>
    <row r="14" customFormat="false" ht="15" hidden="false" customHeight="false" outlineLevel="0" collapsed="false">
      <c r="A14" s="4" t="s">
        <v>97</v>
      </c>
    </row>
    <row r="15" customFormat="false" ht="30" hidden="false" customHeight="true" outlineLevel="0" collapsed="false">
      <c r="A15" s="15" t="s">
        <v>98</v>
      </c>
      <c r="B15" s="15" t="s">
        <v>99</v>
      </c>
      <c r="C15" s="15" t="s">
        <v>100</v>
      </c>
      <c r="D15" s="15" t="s">
        <v>101</v>
      </c>
      <c r="E15" s="15" t="s">
        <v>102</v>
      </c>
      <c r="F15" s="15" t="s">
        <v>103</v>
      </c>
      <c r="G15" s="15" t="s">
        <v>104</v>
      </c>
      <c r="H15" s="15" t="s">
        <v>105</v>
      </c>
      <c r="I15" s="15" t="s">
        <v>106</v>
      </c>
    </row>
    <row r="16" customFormat="false" ht="15" hidden="false" customHeight="false" outlineLevel="0" collapsed="false">
      <c r="A16" s="6" t="s">
        <v>107</v>
      </c>
      <c r="B16" s="29" t="n">
        <v>0</v>
      </c>
      <c r="C16" s="10" t="n">
        <v>0</v>
      </c>
      <c r="D16" s="10" t="n">
        <f aca="false">'1. The Fund'!B11</f>
        <v>40000000</v>
      </c>
      <c r="E16" s="16" t="n">
        <f aca="false">'2. Dilution Ladder'!$E$9</f>
        <v>0.0369664</v>
      </c>
      <c r="F16" s="10" t="n">
        <f aca="false">'1. The Fund'!$B$30*(MIN('1. The Fund'!$C$30/40*'1. The Fund'!$B$13,MAX(0,0-(0)))*'2. Dilution Ladder'!$E$9+('1. The Fund'!$C$30/40*'1. The Fund'!$B$13-MIN('1. The Fund'!$C$30/40*'1. The Fund'!$B$13,MAX(0,0-(0))))*'2. Dilution Ladder'!$E$9)+'1. The Fund'!$B$31*(MIN('1. The Fund'!$C$31/40*'1. The Fund'!$B$13,MAX(0,0-('1. The Fund'!$C$30/40*'1. The Fund'!$B$13)))*'2. Dilution Ladder'!$E$9+('1. The Fund'!$C$31/40*'1. The Fund'!$B$13-MIN('1. The Fund'!$C$31/40*'1. The Fund'!$B$13,MAX(0,0-('1. The Fund'!$C$30/40*'1. The Fund'!$B$13))))*'2. Dilution Ladder'!$E$9)+'1. The Fund'!$B$32*(MIN('1. The Fund'!$C$32/40*'1. The Fund'!$B$13,MAX(0,0-('1. The Fund'!$C$30/40*'1. The Fund'!$B$13+'1. The Fund'!$C$31/40*'1. The Fund'!$B$13)))*'2. Dilution Ladder'!$E$9+('1. The Fund'!$C$32/40*'1. The Fund'!$B$13-MIN('1. The Fund'!$C$32/40*'1. The Fund'!$B$13,MAX(0,0-('1. The Fund'!$C$30/40*'1. The Fund'!$B$13+'1. The Fund'!$C$31/40*'1. The Fund'!$B$13))))*'2. Dilution Ladder'!$E$9)+'1. The Fund'!$B$33*(MIN('1. The Fund'!$C$33/40*'1. The Fund'!$B$13,MAX(0,0-('1. The Fund'!$C$30/40*'1. The Fund'!$B$13+'1. The Fund'!$C$31/40*'1. The Fund'!$B$13+'1. The Fund'!$C$32/40*'1. The Fund'!$B$13)))*'2. Dilution Ladder'!$E$9+('1. The Fund'!$C$33/40*'1. The Fund'!$B$13-MIN('1. The Fund'!$C$33/40*'1. The Fund'!$B$13,MAX(0,0-('1. The Fund'!$C$30/40*'1. The Fund'!$B$13+'1. The Fund'!$C$31/40*'1. The Fund'!$B$13+'1. The Fund'!$C$32/40*'1. The Fund'!$B$13))))*'2. Dilution Ladder'!$E$9)</f>
        <v>113117184</v>
      </c>
      <c r="G16" s="30" t="n">
        <f aca="false">IFERROR((F16+D16)/'1. The Fund'!B5,"")</f>
        <v>1.53117184</v>
      </c>
      <c r="H16" s="13" t="s">
        <v>108</v>
      </c>
      <c r="I16" s="30" t="n">
        <f aca="false">IFERROR(F16/('1. The Fund'!$B$5-D16),"")</f>
        <v>1.8852864</v>
      </c>
    </row>
    <row r="17" customFormat="false" ht="15" hidden="false" customHeight="false" outlineLevel="0" collapsed="false">
      <c r="A17" s="6" t="s">
        <v>109</v>
      </c>
      <c r="B17" s="9" t="n">
        <v>12</v>
      </c>
      <c r="C17" s="10" t="n">
        <f aca="false">MIN('1. The Fund'!B11,B17*$A$7)</f>
        <v>40000000</v>
      </c>
      <c r="D17" s="10" t="n">
        <f aca="false">MAX(0,'1. The Fund'!B11-C17)</f>
        <v>0</v>
      </c>
      <c r="E17" s="16" t="n">
        <f aca="false">$F$12</f>
        <v>0.0626133333333333</v>
      </c>
      <c r="F17" s="10" t="n">
        <f aca="false">'1. The Fund'!$B$30*(MIN('1. The Fund'!$C$30/40*'1. The Fund'!$B$13,MAX(0,B17-(0)))*$F$12+('1. The Fund'!$C$30/40*'1. The Fund'!$B$13-MIN('1. The Fund'!$C$30/40*'1. The Fund'!$B$13,MAX(0,B17-(0))))*'2. Dilution Ladder'!$E$9)+'1. The Fund'!$B$31*(MIN('1. The Fund'!$C$31/40*'1. The Fund'!$B$13,MAX(0,B17-('1. The Fund'!$C$30/40*'1. The Fund'!$B$13)))*$F$12+('1. The Fund'!$C$31/40*'1. The Fund'!$B$13-MIN('1. The Fund'!$C$31/40*'1. The Fund'!$B$13,MAX(0,B17-('1. The Fund'!$C$30/40*'1. The Fund'!$B$13))))*'2. Dilution Ladder'!$E$9)+'1. The Fund'!$B$32*(MIN('1. The Fund'!$C$32/40*'1. The Fund'!$B$13,MAX(0,B17-('1. The Fund'!$C$30/40*'1. The Fund'!$B$13+'1. The Fund'!$C$31/40*'1. The Fund'!$B$13)))*$F$12+('1. The Fund'!$C$32/40*'1. The Fund'!$B$13-MIN('1. The Fund'!$C$32/40*'1. The Fund'!$B$13,MAX(0,B17-('1. The Fund'!$C$30/40*'1. The Fund'!$B$13+'1. The Fund'!$C$31/40*'1. The Fund'!$B$13))))*'2. Dilution Ladder'!$E$9)+'1. The Fund'!$B$33*(MIN('1. The Fund'!$C$33/40*'1. The Fund'!$B$13,MAX(0,B17-('1. The Fund'!$C$30/40*'1. The Fund'!$B$13+'1. The Fund'!$C$31/40*'1. The Fund'!$B$13+'1. The Fund'!$C$32/40*'1. The Fund'!$B$13)))*$F$12+('1. The Fund'!$C$33/40*'1. The Fund'!$B$13-MIN('1. The Fund'!$C$33/40*'1. The Fund'!$B$13,MAX(0,B17-('1. The Fund'!$C$30/40*'1. The Fund'!$B$13+'1. The Fund'!$C$31/40*'1. The Fund'!$B$13+'1. The Fund'!$C$32/40*'1. The Fund'!$B$13))))*'2. Dilution Ladder'!$E$9)</f>
        <v>190057984</v>
      </c>
      <c r="G17" s="30" t="n">
        <f aca="false">IFERROR((F17+D17)/'1. The Fund'!B5,"")</f>
        <v>1.90057984</v>
      </c>
      <c r="H17" s="30" t="n">
        <f aca="false">IFERROR((F17-F16)/C17,"")</f>
        <v>1.92352</v>
      </c>
      <c r="I17" s="30" t="n">
        <f aca="false">IFERROR(F17/('1. The Fund'!$B$5-D17),"")</f>
        <v>1.90057984</v>
      </c>
    </row>
    <row r="18" customFormat="false" ht="15" hidden="false" customHeight="false" outlineLevel="0" collapsed="false">
      <c r="A18" s="6" t="s">
        <v>110</v>
      </c>
      <c r="B18" s="31" t="n">
        <f aca="false">'3. What the Pool Buys'!B7</f>
        <v>2.71094544222298</v>
      </c>
      <c r="C18" s="10" t="n">
        <f aca="false">MIN('1. The Fund'!B11,B18*'2. Dilution Ladder'!$G$9)</f>
        <v>40000000</v>
      </c>
      <c r="D18" s="10" t="n">
        <f aca="false">MAX(0,'1. The Fund'!B11-C18)</f>
        <v>0</v>
      </c>
      <c r="E18" s="16" t="n">
        <f aca="false">'2. Dilution Ladder'!$H$9</f>
        <v>0.09025</v>
      </c>
      <c r="F18" s="10" t="n">
        <f aca="false">'1. The Fund'!$B$30*(MIN('1. The Fund'!$C$30/40*'1. The Fund'!$B$13,MAX(0,B18-(0)))*'2. Dilution Ladder'!$H$9+('1. The Fund'!$C$30/40*'1. The Fund'!$B$13-MIN('1. The Fund'!$C$30/40*'1. The Fund'!$B$13,MAX(0,B18-(0))))*'2. Dilution Ladder'!$E$9)+'1. The Fund'!$B$31*(MIN('1. The Fund'!$C$31/40*'1. The Fund'!$B$13,MAX(0,B18-('1. The Fund'!$C$30/40*'1. The Fund'!$B$13)))*'2. Dilution Ladder'!$H$9+('1. The Fund'!$C$31/40*'1. The Fund'!$B$13-MIN('1. The Fund'!$C$31/40*'1. The Fund'!$B$13,MAX(0,B18-('1. The Fund'!$C$30/40*'1. The Fund'!$B$13))))*'2. Dilution Ladder'!$E$9)+'1. The Fund'!$B$32*(MIN('1. The Fund'!$C$32/40*'1. The Fund'!$B$13,MAX(0,B18-('1. The Fund'!$C$30/40*'1. The Fund'!$B$13+'1. The Fund'!$C$31/40*'1. The Fund'!$B$13)))*'2. Dilution Ladder'!$H$9+('1. The Fund'!$C$32/40*'1. The Fund'!$B$13-MIN('1. The Fund'!$C$32/40*'1. The Fund'!$B$13,MAX(0,B18-('1. The Fund'!$C$30/40*'1. The Fund'!$B$13+'1. The Fund'!$C$31/40*'1. The Fund'!$B$13))))*'2. Dilution Ladder'!$E$9)+'1. The Fund'!$B$33*(MIN('1. The Fund'!$C$33/40*'1. The Fund'!$B$13,MAX(0,B18-('1. The Fund'!$C$30/40*'1. The Fund'!$B$13+'1. The Fund'!$C$31/40*'1. The Fund'!$B$13+'1. The Fund'!$C$32/40*'1. The Fund'!$B$13)))*'2. Dilution Ladder'!$H$9+('1. The Fund'!$C$33/40*'1. The Fund'!$B$13-MIN('1. The Fund'!$C$33/40*'1. The Fund'!$B$13,MAX(0,B18-('1. The Fund'!$C$30/40*'1. The Fund'!$B$13+'1. The Fund'!$C$31/40*'1. The Fund'!$B$13+'1. The Fund'!$C$32/40*'1. The Fund'!$B$13))))*'2. Dilution Ladder'!$E$9)</f>
        <v>247033983.76957</v>
      </c>
      <c r="G18" s="26" t="n">
        <f aca="false">IFERROR((F18+D18)/'1. The Fund'!B5,"")</f>
        <v>2.4703398376957</v>
      </c>
      <c r="H18" s="32" t="n">
        <f aca="false">IFERROR((F18-F16)/C18,"")</f>
        <v>3.34791999423924</v>
      </c>
      <c r="I18" s="30" t="n">
        <f aca="false">IFERROR(F18/('1. The Fund'!$B$5-D18),"")</f>
        <v>2.4703398376957</v>
      </c>
    </row>
    <row r="19" customFormat="false" ht="15" hidden="false" customHeight="false" outlineLevel="0" collapsed="false">
      <c r="A19" s="6" t="s">
        <v>111</v>
      </c>
      <c r="B19" s="31" t="n">
        <f aca="false">'1. The Fund'!$C$30/40*'1. The Fund'!$B$13</f>
        <v>1</v>
      </c>
      <c r="C19" s="10" t="n">
        <f aca="false">MIN('1. The Fund'!B11,B19*'2. Dilution Ladder'!$G$9)</f>
        <v>14755000</v>
      </c>
      <c r="D19" s="10" t="n">
        <f aca="false">MAX(0,'1. The Fund'!B11-C19)</f>
        <v>25245000</v>
      </c>
      <c r="E19" s="16" t="n">
        <f aca="false">'2. Dilution Ladder'!$H$9</f>
        <v>0.09025</v>
      </c>
      <c r="F19" s="10" t="n">
        <f aca="false">'1. The Fund'!$B$30*(MIN('1. The Fund'!$C$30/40*'1. The Fund'!$B$13,MAX(0,B19-(0)))*'2. Dilution Ladder'!$H$9+('1. The Fund'!$C$30/40*'1. The Fund'!$B$13-MIN('1. The Fund'!$C$30/40*'1. The Fund'!$B$13,MAX(0,B19-(0))))*'2. Dilution Ladder'!$E$9)+'1. The Fund'!$B$31*(MIN('1. The Fund'!$C$31/40*'1. The Fund'!$B$13,MAX(0,B19-('1. The Fund'!$C$30/40*'1. The Fund'!$B$13)))*'2. Dilution Ladder'!$H$9+('1. The Fund'!$C$31/40*'1. The Fund'!$B$13-MIN('1. The Fund'!$C$31/40*'1. The Fund'!$B$13,MAX(0,B19-('1. The Fund'!$C$30/40*'1. The Fund'!$B$13))))*'2. Dilution Ladder'!$E$9)+'1. The Fund'!$B$32*(MIN('1. The Fund'!$C$32/40*'1. The Fund'!$B$13,MAX(0,B19-('1. The Fund'!$C$30/40*'1. The Fund'!$B$13+'1. The Fund'!$C$31/40*'1. The Fund'!$B$13)))*'2. Dilution Ladder'!$H$9+('1. The Fund'!$C$32/40*'1. The Fund'!$B$13-MIN('1. The Fund'!$C$32/40*'1. The Fund'!$B$13,MAX(0,B19-('1. The Fund'!$C$30/40*'1. The Fund'!$B$13+'1. The Fund'!$C$31/40*'1. The Fund'!$B$13))))*'2. Dilution Ladder'!$E$9)+'1. The Fund'!$B$33*(MIN('1. The Fund'!$C$33/40*'1. The Fund'!$B$13,MAX(0,B19-('1. The Fund'!$C$30/40*'1. The Fund'!$B$13+'1. The Fund'!$C$31/40*'1. The Fund'!$B$13+'1. The Fund'!$C$32/40*'1. The Fund'!$B$13)))*'2. Dilution Ladder'!$H$9+('1. The Fund'!$C$33/40*'1. The Fund'!$B$13-MIN('1. The Fund'!$C$33/40*'1. The Fund'!$B$13,MAX(0,B19-('1. The Fund'!$C$30/40*'1. The Fund'!$B$13+'1. The Fund'!$C$31/40*'1. The Fund'!$B$13+'1. The Fund'!$C$32/40*'1. The Fund'!$B$13))))*'2. Dilution Ladder'!$E$9)</f>
        <v>219684384</v>
      </c>
      <c r="G19" s="30" t="n">
        <f aca="false">IFERROR((F19+D19)/'1. The Fund'!B5,"")</f>
        <v>2.44929384</v>
      </c>
      <c r="H19" s="30" t="n">
        <f aca="false">IFERROR((F19-F16)/C19,"")</f>
        <v>7.2224466282616</v>
      </c>
      <c r="I19" s="30" t="n">
        <f aca="false">IFERROR(F19/('1. The Fund'!$B$5-D19),"")</f>
        <v>2.93872495485252</v>
      </c>
    </row>
    <row r="21" customFormat="false" ht="15" hidden="false" customHeight="false" outlineLevel="0" collapsed="false">
      <c r="A21" s="17" t="s">
        <v>112</v>
      </c>
    </row>
    <row r="22" customFormat="false" ht="30" hidden="false" customHeight="true" outlineLevel="0" collapsed="false">
      <c r="A22" s="15"/>
      <c r="B22" s="15" t="s">
        <v>113</v>
      </c>
      <c r="C22" s="15"/>
      <c r="D22" s="15"/>
      <c r="E22" s="15" t="s">
        <v>114</v>
      </c>
    </row>
    <row r="23" customFormat="false" ht="15" hidden="false" customHeight="false" outlineLevel="0" collapsed="false">
      <c r="A23" s="6" t="s">
        <v>115</v>
      </c>
      <c r="B23" s="33" t="n">
        <f aca="false">IFERROR(F18-F17,"")</f>
        <v>56975999.7695696</v>
      </c>
      <c r="E23" s="13" t="s">
        <v>116</v>
      </c>
    </row>
    <row r="24" customFormat="false" ht="15" hidden="false" customHeight="false" outlineLevel="0" collapsed="false">
      <c r="A24" s="6" t="s">
        <v>117</v>
      </c>
      <c r="B24" s="34" t="n">
        <f aca="false">IFERROR(F18-F16,"")</f>
        <v>133916799.76957</v>
      </c>
    </row>
    <row r="25" customFormat="false" ht="15" hidden="false" customHeight="false" outlineLevel="0" collapsed="false">
      <c r="A25" s="6" t="s">
        <v>118</v>
      </c>
      <c r="B25" s="30" t="n">
        <v>1</v>
      </c>
      <c r="E25" s="13" t="s">
        <v>119</v>
      </c>
    </row>
    <row r="26" customFormat="false" ht="15" hidden="false" customHeight="false" outlineLevel="0" collapsed="false">
      <c r="A26" s="6" t="s">
        <v>120</v>
      </c>
      <c r="B26" s="32" t="n">
        <f aca="false">H18</f>
        <v>3.34791999423924</v>
      </c>
    </row>
    <row r="27" customFormat="false" ht="15" hidden="false" customHeight="false" outlineLevel="0" collapsed="false">
      <c r="A27" s="6" t="s">
        <v>121</v>
      </c>
      <c r="B27" s="32" t="n">
        <f aca="false">IFERROR(B26-B25,"")</f>
        <v>2.34791999423924</v>
      </c>
      <c r="E27" s="13" t="s">
        <v>122</v>
      </c>
    </row>
    <row r="29" customFormat="false" ht="51.75" hidden="false" customHeight="true" outlineLevel="0" collapsed="false">
      <c r="A29" s="24" t="s">
        <v>123</v>
      </c>
      <c r="B29" s="24"/>
      <c r="C29" s="24"/>
      <c r="D29" s="24"/>
      <c r="E29" s="24"/>
      <c r="F29" s="24"/>
      <c r="G29" s="24"/>
      <c r="H29" s="24"/>
      <c r="I29" s="24"/>
    </row>
    <row r="31" customFormat="false" ht="37.5" hidden="false" customHeight="true" outlineLevel="0" collapsed="false">
      <c r="A31" s="24" t="s">
        <v>124</v>
      </c>
      <c r="B31" s="24"/>
      <c r="C31" s="24"/>
      <c r="D31" s="24"/>
      <c r="E31" s="24"/>
      <c r="F31" s="24"/>
      <c r="G31" s="24"/>
      <c r="H31" s="24"/>
      <c r="I31" s="24"/>
    </row>
    <row r="33" customFormat="false" ht="15" hidden="false" customHeight="false" outlineLevel="0" collapsed="false">
      <c r="A33" s="17" t="s">
        <v>125</v>
      </c>
    </row>
    <row r="34" customFormat="false" ht="15" hidden="false" customHeight="false" outlineLevel="0" collapsed="false">
      <c r="A34" s="6" t="s">
        <v>126</v>
      </c>
      <c r="B34" s="35" t="str">
        <f aca="false">IF($B$18&lt;='1. The Fund'!$C$30/40*'1. The Fund'!$B$13,'1. The Fund'!A30,IF($B$18&lt;='1. The Fund'!$C$30/40*'1. The Fund'!$B$13+'1. The Fund'!$C$31/40*'1. The Fund'!$B$13,'1. The Fund'!A31,IF($B$18&lt;='1. The Fund'!$C$30/40*'1. The Fund'!$B$13+'1. The Fund'!$C$31/40*'1. The Fund'!$B$13+'1. The Fund'!$C$32/40*'1. The Fund'!$B$13,'1. The Fund'!A32,IF($B$18&lt;='1. The Fund'!$C$30/40*'1. The Fund'!$B$13+'1. The Fund'!$C$31/40*'1. The Fund'!$B$13+'1. The Fund'!$C$32/40*'1. The Fund'!$B$13+'1. The Fund'!$C$33/40*'1. The Fund'!$B$13,'1. The Fund'!A33,'1. The Fund'!A34))))</f>
        <v>Strong outcomes</v>
      </c>
    </row>
    <row r="35" customFormat="false" ht="15" hidden="false" customHeight="false" outlineLevel="0" collapsed="false">
      <c r="A35" s="6" t="s">
        <v>127</v>
      </c>
      <c r="B35" s="32" t="n">
        <f aca="false">IFERROR(IF($B$18&lt;='1. The Fund'!$C$30/40*'1. The Fund'!$B$13,'1. The Fund'!$B$30,IF($B$18&lt;='1. The Fund'!$C$30/40*'1. The Fund'!$B$13+'1. The Fund'!$C$31/40*'1. The Fund'!$B$13,'1. The Fund'!$B$31,IF($B$18&lt;='1. The Fund'!$C$30/40*'1. The Fund'!$B$13+'1. The Fund'!$C$31/40*'1. The Fund'!$B$13+'1. The Fund'!$C$32/40*'1. The Fund'!$B$13,'1. The Fund'!$B$32,IF($B$18&lt;='1. The Fund'!$C$30/40*'1. The Fund'!$B$13+'1. The Fund'!$C$31/40*'1. The Fund'!$B$13+'1. The Fund'!$C$32/40*'1. The Fund'!$B$13+'1. The Fund'!$C$33/40*'1. The Fund'!$B$13,'1. The Fund'!$B$33,'1. The Fund'!$B$34))))*('2. Dilution Ladder'!$H$9-'2. Dilution Ladder'!$E$9)/'2. Dilution Ladder'!$G$9,"")</f>
        <v>1.08336699423924</v>
      </c>
      <c r="E35" s="13" t="s">
        <v>128</v>
      </c>
    </row>
    <row r="36" customFormat="false" ht="15" hidden="false" customHeight="false" outlineLevel="0" collapsed="false">
      <c r="A36" s="6" t="s">
        <v>129</v>
      </c>
      <c r="B36" s="32" t="n">
        <f aca="false">IFERROR(B35-B25,"")</f>
        <v>0.0833669942392408</v>
      </c>
      <c r="E36" s="13" t="s">
        <v>130</v>
      </c>
    </row>
    <row r="37" customFormat="false" ht="15" hidden="false" customHeight="false" outlineLevel="0" collapsed="false">
      <c r="A37" s="6" t="s">
        <v>131</v>
      </c>
      <c r="B37" s="27" t="n">
        <f aca="false">MAX(0,'1. The Fund'!B11-'1. The Fund'!$C$30/40*'1. The Fund'!$B$13*'2. Dilution Ladder'!$G$9)</f>
        <v>25245000</v>
      </c>
    </row>
    <row r="38" customFormat="false" ht="15" hidden="false" customHeight="false" outlineLevel="0" collapsed="false">
      <c r="A38" s="6" t="s">
        <v>132</v>
      </c>
      <c r="B38" s="32" t="n">
        <f aca="false">IFERROR('1. The Fund'!$B$30*('2. Dilution Ladder'!$H$9-'2. Dilution Ladder'!$E$9)/'2. Dilution Ladder'!$G$9,"")</f>
        <v>7.2224466282616</v>
      </c>
      <c r="E38" s="13" t="s">
        <v>133</v>
      </c>
    </row>
    <row r="40" customFormat="false" ht="192.5" hidden="false" customHeight="false" outlineLevel="0" collapsed="false">
      <c r="A40" s="3" t="s">
        <v>134</v>
      </c>
    </row>
  </sheetData>
  <mergeCells count="2">
    <mergeCell ref="A29:I29"/>
    <mergeCell ref="A31:I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6"/>
    <col collapsed="false" customWidth="true" hidden="false" outlineLevel="0" max="9" min="2" style="0" width="15"/>
    <col collapsed="false" customWidth="true" hidden="false" outlineLevel="0" max="10" min="10" style="0" width="40"/>
    <col collapsed="false" customWidth="true" hidden="false" outlineLevel="0" max="15" min="12" style="0" width="11"/>
  </cols>
  <sheetData>
    <row r="1" customFormat="false" ht="17.35" hidden="false" customHeight="false" outlineLevel="0" collapsed="false">
      <c r="A1" s="5" t="s">
        <v>135</v>
      </c>
    </row>
    <row r="2" customFormat="false" ht="15" hidden="false" customHeight="false" outlineLevel="0" collapsed="false">
      <c r="A2" s="2" t="s">
        <v>136</v>
      </c>
    </row>
    <row r="3" customFormat="false" ht="15" hidden="false" customHeight="false" outlineLevel="0" collapsed="false">
      <c r="A3" s="2" t="s">
        <v>137</v>
      </c>
    </row>
    <row r="5" customFormat="false" ht="15" hidden="false" customHeight="false" outlineLevel="0" collapsed="false">
      <c r="A5" s="17" t="s">
        <v>138</v>
      </c>
      <c r="B5" s="8" t="n">
        <v>1</v>
      </c>
      <c r="D5" s="13" t="str">
        <f aca="false">IF(B5="","",IF(B5&gt;=0.99,"reserves reach the best outcomes","the rest of the reserve lands at random"))</f>
        <v>reserves reach the best outcomes</v>
      </c>
    </row>
    <row r="6" customFormat="false" ht="15" hidden="false" customHeight="false" outlineLevel="0" collapsed="false">
      <c r="A6" s="2" t="s">
        <v>139</v>
      </c>
    </row>
    <row r="7" customFormat="false" ht="15" hidden="false" customHeight="false" outlineLevel="0" collapsed="false">
      <c r="L7" s="2" t="s">
        <v>140</v>
      </c>
    </row>
    <row r="8" customFormat="false" ht="30" hidden="false" customHeight="true" outlineLevel="0" collapsed="false">
      <c r="A8" s="15" t="s">
        <v>25</v>
      </c>
      <c r="B8" s="15" t="s">
        <v>26</v>
      </c>
      <c r="C8" s="15" t="s">
        <v>141</v>
      </c>
      <c r="D8" s="15" t="s">
        <v>27</v>
      </c>
      <c r="E8" s="15" t="s">
        <v>142</v>
      </c>
      <c r="F8" s="15" t="s">
        <v>103</v>
      </c>
      <c r="G8" s="15" t="s">
        <v>143</v>
      </c>
      <c r="H8" s="15" t="s">
        <v>144</v>
      </c>
      <c r="I8" s="15" t="s">
        <v>145</v>
      </c>
      <c r="L8" s="36" t="n">
        <v>1</v>
      </c>
      <c r="M8" s="36" t="n">
        <v>0.75</v>
      </c>
      <c r="N8" s="36" t="n">
        <v>0.5</v>
      </c>
      <c r="O8" s="36" t="n">
        <v>0.25</v>
      </c>
    </row>
    <row r="9" customFormat="false" ht="15" hidden="false" customHeight="false" outlineLevel="0" collapsed="false">
      <c r="A9" s="8" t="n">
        <v>0</v>
      </c>
      <c r="B9" s="10" t="n">
        <f aca="false">'1. The Fund'!$B$8*(1-A9)</f>
        <v>80000000</v>
      </c>
      <c r="C9" s="12" t="n">
        <f aca="false">IFERROR(B9/'1. The Fund'!$B$12,"")</f>
        <v>80</v>
      </c>
      <c r="D9" s="10" t="n">
        <f aca="false">'1. The Fund'!$B$8*A9</f>
        <v>0</v>
      </c>
      <c r="E9" s="31" t="n">
        <f aca="false">IFERROR(D9/'2. Dilution Ladder'!$G$9,"")</f>
        <v>0</v>
      </c>
      <c r="F9" s="10" t="n">
        <f aca="false">IFERROR($B$5*H9+(1-$B$5)*I9,"")</f>
        <v>226234368</v>
      </c>
      <c r="G9" s="30" t="n">
        <f aca="false">IFERROR((F9+MAX(0,D9-E9*'2. Dilution Ladder'!$G$9))/'1. The Fund'!$B$5,"")</f>
        <v>2.26234368</v>
      </c>
      <c r="H9" s="10" t="n">
        <f aca="false">IFERROR('1. The Fund'!$B$30*(MIN('1. The Fund'!$C$30/40*C9,MAX(0,E9))*'2. Dilution Ladder'!$H$9+('1. The Fund'!$C$30/40*C9-MIN('1. The Fund'!$C$30/40*C9,MAX(0,E9)))*'2. Dilution Ladder'!$E$9)+'1. The Fund'!$B$31*(MIN('1. The Fund'!$C$31/40*C9,MAX(0,E9-'1. The Fund'!$C$30/40*C9))*'2. Dilution Ladder'!$H$9+('1. The Fund'!$C$31/40*C9-MIN('1. The Fund'!$C$31/40*C9,MAX(0,E9-'1. The Fund'!$C$30/40*C9)))*'2. Dilution Ladder'!$E$9)+'1. The Fund'!$B$32*(MIN('1. The Fund'!$C$32/40*C9,MAX(0,E9-'1. The Fund'!$C$30/40*C9-'1. The Fund'!$C$31/40*C9))*'2. Dilution Ladder'!$H$9+('1. The Fund'!$C$32/40*C9-MIN('1. The Fund'!$C$32/40*C9,MAX(0,E9-'1. The Fund'!$C$30/40*C9-'1. The Fund'!$C$31/40*C9)))*'2. Dilution Ladder'!$E$9)+'1. The Fund'!$B$33*(MIN('1. The Fund'!$C$33/40*C9,MAX(0,E9-'1. The Fund'!$C$30/40*C9-'1. The Fund'!$C$31/40*C9-'1. The Fund'!$C$32/40*C9))*'2. Dilution Ladder'!$H$9+('1. The Fund'!$C$33/40*C9-MIN('1. The Fund'!$C$33/40*C9,MAX(0,E9-'1. The Fund'!$C$30/40*C9-'1. The Fund'!$C$31/40*C9-'1. The Fund'!$C$32/40*C9)))*'2. Dilution Ladder'!$E$9),"")</f>
        <v>226234368</v>
      </c>
      <c r="I9" s="10" t="n">
        <f aca="false">IFERROR(('1. The Fund'!$B$30*'1. The Fund'!$C$30+'1. The Fund'!$B$31*'1. The Fund'!$C$31+'1. The Fund'!$B$32*'1. The Fund'!$C$32+'1. The Fund'!$B$33*'1. The Fund'!$C$33)/40*C9*'2. Dilution Ladder'!$E$9+MIN(E9,C9)*('1. The Fund'!$B$30*'1. The Fund'!$C$30+'1. The Fund'!$B$31*'1. The Fund'!$C$31+'1. The Fund'!$B$32*'1. The Fund'!$C$32+'1. The Fund'!$B$33*'1. The Fund'!$C$33)/40*('2. Dilution Ladder'!$H$9-'2. Dilution Ladder'!$E$9),"")</f>
        <v>226234368</v>
      </c>
      <c r="L9" s="30" t="n">
        <f aca="false">IFERROR((L$8*$H9+(1-L$8)*$I9+MAX(0,$D9-$E9*'2. Dilution Ladder'!$G$9))/'1. The Fund'!$B$5,"")</f>
        <v>2.26234368</v>
      </c>
      <c r="M9" s="30" t="n">
        <f aca="false">IFERROR((M$8*$H9+(1-M$8)*$I9+MAX(0,$D9-$E9*'2. Dilution Ladder'!$G$9))/'1. The Fund'!$B$5,"")</f>
        <v>2.26234368</v>
      </c>
      <c r="N9" s="30" t="n">
        <f aca="false">IFERROR((N$8*$H9+(1-N$8)*$I9+MAX(0,$D9-$E9*'2. Dilution Ladder'!$G$9))/'1. The Fund'!$B$5,"")</f>
        <v>2.26234368</v>
      </c>
      <c r="O9" s="30" t="n">
        <f aca="false">IFERROR((O$8*$H9+(1-O$8)*$I9+MAX(0,$D9-$E9*'2. Dilution Ladder'!$G$9))/'1. The Fund'!$B$5,"")</f>
        <v>2.26234368</v>
      </c>
    </row>
    <row r="10" customFormat="false" ht="15" hidden="false" customHeight="false" outlineLevel="0" collapsed="false">
      <c r="A10" s="8" t="n">
        <v>0.05</v>
      </c>
      <c r="B10" s="10" t="n">
        <f aca="false">'1. The Fund'!$B$8*(1-A10)</f>
        <v>76000000</v>
      </c>
      <c r="C10" s="12" t="n">
        <f aca="false">IFERROR(B10/'1. The Fund'!$B$12,"")</f>
        <v>76</v>
      </c>
      <c r="D10" s="10" t="n">
        <f aca="false">'1. The Fund'!$B$8*A10</f>
        <v>4000000</v>
      </c>
      <c r="E10" s="31" t="n">
        <f aca="false">IFERROR(D10/'2. Dilution Ladder'!$G$9,"")</f>
        <v>0.271094544222298</v>
      </c>
      <c r="F10" s="10" t="n">
        <f aca="false">IFERROR($B$5*H10+(1-$B$5)*I10,"")</f>
        <v>243812436.113047</v>
      </c>
      <c r="G10" s="30" t="n">
        <f aca="false">IFERROR((F10+MAX(0,D10-E10*'2. Dilution Ladder'!$G$9))/'1. The Fund'!$B$5,"")</f>
        <v>2.43812436113047</v>
      </c>
      <c r="H10" s="10" t="n">
        <f aca="false">IFERROR('1. The Fund'!$B$30*(MIN('1. The Fund'!$C$30/40*C10,MAX(0,E10))*'2. Dilution Ladder'!$H$9+('1. The Fund'!$C$30/40*C10-MIN('1. The Fund'!$C$30/40*C10,MAX(0,E10)))*'2. Dilution Ladder'!$E$9)+'1. The Fund'!$B$31*(MIN('1. The Fund'!$C$31/40*C10,MAX(0,E10-'1. The Fund'!$C$30/40*C10))*'2. Dilution Ladder'!$H$9+('1. The Fund'!$C$31/40*C10-MIN('1. The Fund'!$C$31/40*C10,MAX(0,E10-'1. The Fund'!$C$30/40*C10)))*'2. Dilution Ladder'!$E$9)+'1. The Fund'!$B$32*(MIN('1. The Fund'!$C$32/40*C10,MAX(0,E10-'1. The Fund'!$C$30/40*C10-'1. The Fund'!$C$31/40*C10))*'2. Dilution Ladder'!$H$9+('1. The Fund'!$C$32/40*C10-MIN('1. The Fund'!$C$32/40*C10,MAX(0,E10-'1. The Fund'!$C$30/40*C10-'1. The Fund'!$C$31/40*C10)))*'2. Dilution Ladder'!$E$9)+'1. The Fund'!$B$33*(MIN('1. The Fund'!$C$33/40*C10,MAX(0,E10-'1. The Fund'!$C$30/40*C10-'1. The Fund'!$C$31/40*C10-'1. The Fund'!$C$32/40*C10))*'2. Dilution Ladder'!$H$9+('1. The Fund'!$C$33/40*C10-MIN('1. The Fund'!$C$33/40*C10,MAX(0,E10-'1. The Fund'!$C$30/40*C10-'1. The Fund'!$C$31/40*C10-'1. The Fund'!$C$32/40*C10)))*'2. Dilution Ladder'!$E$9),"")</f>
        <v>243812436.113047</v>
      </c>
      <c r="I10" s="10" t="n">
        <f aca="false">IFERROR(('1. The Fund'!$B$30*'1. The Fund'!$C$30+'1. The Fund'!$B$31*'1. The Fund'!$C$31+'1. The Fund'!$B$32*'1. The Fund'!$C$32+'1. The Fund'!$B$33*'1. The Fund'!$C$33)/40*C10*'2. Dilution Ladder'!$E$9+MIN(E10,C10)*('1. The Fund'!$B$30*'1. The Fund'!$C$30+'1. The Fund'!$B$31*'1. The Fund'!$C$31+'1. The Fund'!$B$32*'1. The Fund'!$C$32+'1. The Fund'!$B$33*'1. The Fund'!$C$33)/40*('2. Dilution Ladder'!$H$9-'2. Dilution Ladder'!$E$9),"")</f>
        <v>216027683.934124</v>
      </c>
      <c r="L10" s="30" t="n">
        <f aca="false">IFERROR((L$8*$H10+(1-L$8)*$I10+MAX(0,$D10-$E10*'2. Dilution Ladder'!$G$9))/'1. The Fund'!$B$5,"")</f>
        <v>2.43812436113047</v>
      </c>
      <c r="M10" s="30" t="n">
        <f aca="false">IFERROR((M$8*$H10+(1-M$8)*$I10+MAX(0,$D10-$E10*'2. Dilution Ladder'!$G$9))/'1. The Fund'!$B$5,"")</f>
        <v>2.36866248068316</v>
      </c>
      <c r="N10" s="30" t="n">
        <f aca="false">IFERROR((N$8*$H10+(1-N$8)*$I10+MAX(0,$D10-$E10*'2. Dilution Ladder'!$G$9))/'1. The Fund'!$B$5,"")</f>
        <v>2.29920060023585</v>
      </c>
      <c r="O10" s="30" t="n">
        <f aca="false">IFERROR((O$8*$H10+(1-O$8)*$I10+MAX(0,$D10-$E10*'2. Dilution Ladder'!$G$9))/'1. The Fund'!$B$5,"")</f>
        <v>2.22973871978855</v>
      </c>
    </row>
    <row r="11" customFormat="false" ht="15" hidden="false" customHeight="false" outlineLevel="0" collapsed="false">
      <c r="A11" s="8" t="n">
        <v>0.1</v>
      </c>
      <c r="B11" s="10" t="n">
        <f aca="false">'1. The Fund'!$B$8*(1-A11)</f>
        <v>72000000</v>
      </c>
      <c r="C11" s="12" t="n">
        <f aca="false">IFERROR(B11/'1. The Fund'!$B$12,"")</f>
        <v>72</v>
      </c>
      <c r="D11" s="10" t="n">
        <f aca="false">'1. The Fund'!$B$8*A11</f>
        <v>8000000</v>
      </c>
      <c r="E11" s="31" t="n">
        <f aca="false">IFERROR(D11/'2. Dilution Ladder'!$G$9,"")</f>
        <v>0.542189088444595</v>
      </c>
      <c r="F11" s="10" t="n">
        <f aca="false">IFERROR($B$5*H11+(1-$B$5)*I11,"")</f>
        <v>261390504.226093</v>
      </c>
      <c r="G11" s="30" t="n">
        <f aca="false">IFERROR((F11+MAX(0,D11-E11*'2. Dilution Ladder'!$G$9))/'1. The Fund'!$B$5,"")</f>
        <v>2.61390504226093</v>
      </c>
      <c r="H11" s="10" t="n">
        <f aca="false">IFERROR('1. The Fund'!$B$30*(MIN('1. The Fund'!$C$30/40*C11,MAX(0,E11))*'2. Dilution Ladder'!$H$9+('1. The Fund'!$C$30/40*C11-MIN('1. The Fund'!$C$30/40*C11,MAX(0,E11)))*'2. Dilution Ladder'!$E$9)+'1. The Fund'!$B$31*(MIN('1. The Fund'!$C$31/40*C11,MAX(0,E11-'1. The Fund'!$C$30/40*C11))*'2. Dilution Ladder'!$H$9+('1. The Fund'!$C$31/40*C11-MIN('1. The Fund'!$C$31/40*C11,MAX(0,E11-'1. The Fund'!$C$30/40*C11)))*'2. Dilution Ladder'!$E$9)+'1. The Fund'!$B$32*(MIN('1. The Fund'!$C$32/40*C11,MAX(0,E11-'1. The Fund'!$C$30/40*C11-'1. The Fund'!$C$31/40*C11))*'2. Dilution Ladder'!$H$9+('1. The Fund'!$C$32/40*C11-MIN('1. The Fund'!$C$32/40*C11,MAX(0,E11-'1. The Fund'!$C$30/40*C11-'1. The Fund'!$C$31/40*C11)))*'2. Dilution Ladder'!$E$9)+'1. The Fund'!$B$33*(MIN('1. The Fund'!$C$33/40*C11,MAX(0,E11-'1. The Fund'!$C$30/40*C11-'1. The Fund'!$C$31/40*C11-'1. The Fund'!$C$32/40*C11))*'2. Dilution Ladder'!$H$9+('1. The Fund'!$C$33/40*C11-MIN('1. The Fund'!$C$33/40*C11,MAX(0,E11-'1. The Fund'!$C$30/40*C11-'1. The Fund'!$C$31/40*C11-'1. The Fund'!$C$32/40*C11)))*'2. Dilution Ladder'!$E$9),"")</f>
        <v>261390504.226093</v>
      </c>
      <c r="I11" s="10" t="n">
        <f aca="false">IFERROR(('1. The Fund'!$B$30*'1. The Fund'!$C$30+'1. The Fund'!$B$31*'1. The Fund'!$C$31+'1. The Fund'!$B$32*'1. The Fund'!$C$32+'1. The Fund'!$B$33*'1. The Fund'!$C$33)/40*C11*'2. Dilution Ladder'!$E$9+MIN(E11,C11)*('1. The Fund'!$B$30*'1. The Fund'!$C$30+'1. The Fund'!$B$31*'1. The Fund'!$C$31+'1. The Fund'!$B$32*'1. The Fund'!$C$32+'1. The Fund'!$B$33*'1. The Fund'!$C$33)/40*('2. Dilution Ladder'!$H$9-'2. Dilution Ladder'!$E$9),"")</f>
        <v>205820999.868248</v>
      </c>
      <c r="L11" s="30" t="n">
        <f aca="false">IFERROR((L$8*$H11+(1-L$8)*$I11+MAX(0,$D11-$E11*'2. Dilution Ladder'!$G$9))/'1. The Fund'!$B$5,"")</f>
        <v>2.61390504226093</v>
      </c>
      <c r="M11" s="30" t="n">
        <f aca="false">IFERROR((M$8*$H11+(1-M$8)*$I11+MAX(0,$D11-$E11*'2. Dilution Ladder'!$G$9))/'1. The Fund'!$B$5,"")</f>
        <v>2.47498128136632</v>
      </c>
      <c r="N11" s="30" t="n">
        <f aca="false">IFERROR((N$8*$H11+(1-N$8)*$I11+MAX(0,$D11-$E11*'2. Dilution Ladder'!$G$9))/'1. The Fund'!$B$5,"")</f>
        <v>2.33605752047171</v>
      </c>
      <c r="O11" s="30" t="n">
        <f aca="false">IFERROR((O$8*$H11+(1-O$8)*$I11+MAX(0,$D11-$E11*'2. Dilution Ladder'!$G$9))/'1. The Fund'!$B$5,"")</f>
        <v>2.19713375957709</v>
      </c>
    </row>
    <row r="12" customFormat="false" ht="15" hidden="false" customHeight="false" outlineLevel="0" collapsed="false">
      <c r="A12" s="8" t="n">
        <v>0.15</v>
      </c>
      <c r="B12" s="10" t="n">
        <f aca="false">'1. The Fund'!$B$8*(1-A12)</f>
        <v>68000000</v>
      </c>
      <c r="C12" s="12" t="n">
        <f aca="false">IFERROR(B12/'1. The Fund'!$B$12,"")</f>
        <v>68</v>
      </c>
      <c r="D12" s="10" t="n">
        <f aca="false">'1. The Fund'!$B$8*A12</f>
        <v>12000000</v>
      </c>
      <c r="E12" s="31" t="n">
        <f aca="false">IFERROR(D12/'2. Dilution Ladder'!$G$9,"")</f>
        <v>0.813283632666893</v>
      </c>
      <c r="F12" s="10" t="n">
        <f aca="false">IFERROR($B$5*H12+(1-$B$5)*I12,"")</f>
        <v>278968572.339139</v>
      </c>
      <c r="G12" s="30" t="n">
        <f aca="false">IFERROR((F12+MAX(0,D12-E12*'2. Dilution Ladder'!$G$9))/'1. The Fund'!$B$5,"")</f>
        <v>2.78968572339139</v>
      </c>
      <c r="H12" s="10" t="n">
        <f aca="false">IFERROR('1. The Fund'!$B$30*(MIN('1. The Fund'!$C$30/40*C12,MAX(0,E12))*'2. Dilution Ladder'!$H$9+('1. The Fund'!$C$30/40*C12-MIN('1. The Fund'!$C$30/40*C12,MAX(0,E12)))*'2. Dilution Ladder'!$E$9)+'1. The Fund'!$B$31*(MIN('1. The Fund'!$C$31/40*C12,MAX(0,E12-'1. The Fund'!$C$30/40*C12))*'2. Dilution Ladder'!$H$9+('1. The Fund'!$C$31/40*C12-MIN('1. The Fund'!$C$31/40*C12,MAX(0,E12-'1. The Fund'!$C$30/40*C12)))*'2. Dilution Ladder'!$E$9)+'1. The Fund'!$B$32*(MIN('1. The Fund'!$C$32/40*C12,MAX(0,E12-'1. The Fund'!$C$30/40*C12-'1. The Fund'!$C$31/40*C12))*'2. Dilution Ladder'!$H$9+('1. The Fund'!$C$32/40*C12-MIN('1. The Fund'!$C$32/40*C12,MAX(0,E12-'1. The Fund'!$C$30/40*C12-'1. The Fund'!$C$31/40*C12)))*'2. Dilution Ladder'!$E$9)+'1. The Fund'!$B$33*(MIN('1. The Fund'!$C$33/40*C12,MAX(0,E12-'1. The Fund'!$C$30/40*C12-'1. The Fund'!$C$31/40*C12-'1. The Fund'!$C$32/40*C12))*'2. Dilution Ladder'!$H$9+('1. The Fund'!$C$33/40*C12-MIN('1. The Fund'!$C$33/40*C12,MAX(0,E12-'1. The Fund'!$C$30/40*C12-'1. The Fund'!$C$31/40*C12-'1. The Fund'!$C$32/40*C12)))*'2. Dilution Ladder'!$E$9),"")</f>
        <v>278968572.339139</v>
      </c>
      <c r="I12" s="10" t="n">
        <f aca="false">IFERROR(('1. The Fund'!$B$30*'1. The Fund'!$C$30+'1. The Fund'!$B$31*'1. The Fund'!$C$31+'1. The Fund'!$B$32*'1. The Fund'!$C$32+'1. The Fund'!$B$33*'1. The Fund'!$C$33)/40*C12*'2. Dilution Ladder'!$E$9+MIN(E12,C12)*('1. The Fund'!$B$30*'1. The Fund'!$C$30+'1. The Fund'!$B$31*'1. The Fund'!$C$31+'1. The Fund'!$B$32*'1. The Fund'!$C$32+'1. The Fund'!$B$33*'1. The Fund'!$C$33)/40*('2. Dilution Ladder'!$H$9-'2. Dilution Ladder'!$E$9),"")</f>
        <v>195614315.802372</v>
      </c>
      <c r="L12" s="30" t="n">
        <f aca="false">IFERROR((L$8*$H12+(1-L$8)*$I12+MAX(0,$D12-$E12*'2. Dilution Ladder'!$G$9))/'1. The Fund'!$B$5,"")</f>
        <v>2.78968572339139</v>
      </c>
      <c r="M12" s="30" t="n">
        <f aca="false">IFERROR((M$8*$H12+(1-M$8)*$I12+MAX(0,$D12-$E12*'2. Dilution Ladder'!$G$9))/'1. The Fund'!$B$5,"")</f>
        <v>2.58130008204948</v>
      </c>
      <c r="N12" s="30" t="n">
        <f aca="false">IFERROR((N$8*$H12+(1-N$8)*$I12+MAX(0,$D12-$E12*'2. Dilution Ladder'!$G$9))/'1. The Fund'!$B$5,"")</f>
        <v>2.37291444070756</v>
      </c>
      <c r="O12" s="30" t="n">
        <f aca="false">IFERROR((O$8*$H12+(1-O$8)*$I12+MAX(0,$D12-$E12*'2. Dilution Ladder'!$G$9))/'1. The Fund'!$B$5,"")</f>
        <v>2.16452879936564</v>
      </c>
    </row>
    <row r="13" customFormat="false" ht="15" hidden="false" customHeight="false" outlineLevel="0" collapsed="false">
      <c r="A13" s="8" t="n">
        <v>0.2</v>
      </c>
      <c r="B13" s="10" t="n">
        <f aca="false">'1. The Fund'!$B$8*(1-A13)</f>
        <v>64000000</v>
      </c>
      <c r="C13" s="12" t="n">
        <f aca="false">IFERROR(B13/'1. The Fund'!$B$12,"")</f>
        <v>64</v>
      </c>
      <c r="D13" s="10" t="n">
        <f aca="false">'1. The Fund'!$B$8*A13</f>
        <v>16000000</v>
      </c>
      <c r="E13" s="31" t="n">
        <f aca="false">IFERROR(D13/'2. Dilution Ladder'!$G$9,"")</f>
        <v>1.08437817688919</v>
      </c>
      <c r="F13" s="10" t="n">
        <f aca="false">IFERROR($B$5*H13+(1-$B$5)*I13,"")</f>
        <v>296546640.452186</v>
      </c>
      <c r="G13" s="30" t="n">
        <f aca="false">IFERROR((F13+MAX(0,D13-E13*'2. Dilution Ladder'!$G$9))/'1. The Fund'!$B$5,"")</f>
        <v>2.96546640452186</v>
      </c>
      <c r="H13" s="10" t="n">
        <f aca="false">IFERROR('1. The Fund'!$B$30*(MIN('1. The Fund'!$C$30/40*C13,MAX(0,E13))*'2. Dilution Ladder'!$H$9+('1. The Fund'!$C$30/40*C13-MIN('1. The Fund'!$C$30/40*C13,MAX(0,E13)))*'2. Dilution Ladder'!$E$9)+'1. The Fund'!$B$31*(MIN('1. The Fund'!$C$31/40*C13,MAX(0,E13-'1. The Fund'!$C$30/40*C13))*'2. Dilution Ladder'!$H$9+('1. The Fund'!$C$31/40*C13-MIN('1. The Fund'!$C$31/40*C13,MAX(0,E13-'1. The Fund'!$C$30/40*C13)))*'2. Dilution Ladder'!$E$9)+'1. The Fund'!$B$32*(MIN('1. The Fund'!$C$32/40*C13,MAX(0,E13-'1. The Fund'!$C$30/40*C13-'1. The Fund'!$C$31/40*C13))*'2. Dilution Ladder'!$H$9+('1. The Fund'!$C$32/40*C13-MIN('1. The Fund'!$C$32/40*C13,MAX(0,E13-'1. The Fund'!$C$30/40*C13-'1. The Fund'!$C$31/40*C13)))*'2. Dilution Ladder'!$E$9)+'1. The Fund'!$B$33*(MIN('1. The Fund'!$C$33/40*C13,MAX(0,E13-'1. The Fund'!$C$30/40*C13-'1. The Fund'!$C$31/40*C13-'1. The Fund'!$C$32/40*C13))*'2. Dilution Ladder'!$H$9+('1. The Fund'!$C$33/40*C13-MIN('1. The Fund'!$C$33/40*C13,MAX(0,E13-'1. The Fund'!$C$30/40*C13-'1. The Fund'!$C$31/40*C13-'1. The Fund'!$C$32/40*C13)))*'2. Dilution Ladder'!$E$9),"")</f>
        <v>296546640.452186</v>
      </c>
      <c r="I13" s="10" t="n">
        <f aca="false">IFERROR(('1. The Fund'!$B$30*'1. The Fund'!$C$30+'1. The Fund'!$B$31*'1. The Fund'!$C$31+'1. The Fund'!$B$32*'1. The Fund'!$C$32+'1. The Fund'!$B$33*'1. The Fund'!$C$33)/40*C13*'2. Dilution Ladder'!$E$9+MIN(E13,C13)*('1. The Fund'!$B$30*'1. The Fund'!$C$30+'1. The Fund'!$B$31*'1. The Fund'!$C$31+'1. The Fund'!$B$32*'1. The Fund'!$C$32+'1. The Fund'!$B$33*'1. The Fund'!$C$33)/40*('2. Dilution Ladder'!$H$9-'2. Dilution Ladder'!$E$9),"")</f>
        <v>185407631.736496</v>
      </c>
      <c r="L13" s="30" t="n">
        <f aca="false">IFERROR((L$8*$H13+(1-L$8)*$I13+MAX(0,$D13-$E13*'2. Dilution Ladder'!$G$9))/'1. The Fund'!$B$5,"")</f>
        <v>2.96546640452186</v>
      </c>
      <c r="M13" s="30" t="n">
        <f aca="false">IFERROR((M$8*$H13+(1-M$8)*$I13+MAX(0,$D13-$E13*'2. Dilution Ladder'!$G$9))/'1. The Fund'!$B$5,"")</f>
        <v>2.68761888273263</v>
      </c>
      <c r="N13" s="30" t="n">
        <f aca="false">IFERROR((N$8*$H13+(1-N$8)*$I13+MAX(0,$D13-$E13*'2. Dilution Ladder'!$G$9))/'1. The Fund'!$B$5,"")</f>
        <v>2.40977136094341</v>
      </c>
      <c r="O13" s="30" t="n">
        <f aca="false">IFERROR((O$8*$H13+(1-O$8)*$I13+MAX(0,$D13-$E13*'2. Dilution Ladder'!$G$9))/'1. The Fund'!$B$5,"")</f>
        <v>2.13192383915419</v>
      </c>
    </row>
    <row r="14" customFormat="false" ht="15" hidden="false" customHeight="false" outlineLevel="0" collapsed="false">
      <c r="A14" s="8" t="n">
        <v>0.25</v>
      </c>
      <c r="B14" s="10" t="n">
        <f aca="false">'1. The Fund'!$B$8*(1-A14)</f>
        <v>60000000</v>
      </c>
      <c r="C14" s="12" t="n">
        <f aca="false">IFERROR(B14/'1. The Fund'!$B$12,"")</f>
        <v>60</v>
      </c>
      <c r="D14" s="10" t="n">
        <f aca="false">'1. The Fund'!$B$8*A14</f>
        <v>20000000</v>
      </c>
      <c r="E14" s="31" t="n">
        <f aca="false">IFERROR(D14/'2. Dilution Ladder'!$G$9,"")</f>
        <v>1.35547272111149</v>
      </c>
      <c r="F14" s="10" t="n">
        <f aca="false">IFERROR($B$5*H14+(1-$B$5)*I14,"")</f>
        <v>314124708.565232</v>
      </c>
      <c r="G14" s="30" t="n">
        <f aca="false">IFERROR((F14+MAX(0,D14-E14*'2. Dilution Ladder'!$G$9))/'1. The Fund'!$B$5,"")</f>
        <v>3.14124708565232</v>
      </c>
      <c r="H14" s="10" t="n">
        <f aca="false">IFERROR('1. The Fund'!$B$30*(MIN('1. The Fund'!$C$30/40*C14,MAX(0,E14))*'2. Dilution Ladder'!$H$9+('1. The Fund'!$C$30/40*C14-MIN('1. The Fund'!$C$30/40*C14,MAX(0,E14)))*'2. Dilution Ladder'!$E$9)+'1. The Fund'!$B$31*(MIN('1. The Fund'!$C$31/40*C14,MAX(0,E14-'1. The Fund'!$C$30/40*C14))*'2. Dilution Ladder'!$H$9+('1. The Fund'!$C$31/40*C14-MIN('1. The Fund'!$C$31/40*C14,MAX(0,E14-'1. The Fund'!$C$30/40*C14)))*'2. Dilution Ladder'!$E$9)+'1. The Fund'!$B$32*(MIN('1. The Fund'!$C$32/40*C14,MAX(0,E14-'1. The Fund'!$C$30/40*C14-'1. The Fund'!$C$31/40*C14))*'2. Dilution Ladder'!$H$9+('1. The Fund'!$C$32/40*C14-MIN('1. The Fund'!$C$32/40*C14,MAX(0,E14-'1. The Fund'!$C$30/40*C14-'1. The Fund'!$C$31/40*C14)))*'2. Dilution Ladder'!$E$9)+'1. The Fund'!$B$33*(MIN('1. The Fund'!$C$33/40*C14,MAX(0,E14-'1. The Fund'!$C$30/40*C14-'1. The Fund'!$C$31/40*C14-'1. The Fund'!$C$32/40*C14))*'2. Dilution Ladder'!$H$9+('1. The Fund'!$C$33/40*C14-MIN('1. The Fund'!$C$33/40*C14,MAX(0,E14-'1. The Fund'!$C$30/40*C14-'1. The Fund'!$C$31/40*C14-'1. The Fund'!$C$32/40*C14)))*'2. Dilution Ladder'!$E$9),"")</f>
        <v>314124708.565232</v>
      </c>
      <c r="I14" s="10" t="n">
        <f aca="false">IFERROR(('1. The Fund'!$B$30*'1. The Fund'!$C$30+'1. The Fund'!$B$31*'1. The Fund'!$C$31+'1. The Fund'!$B$32*'1. The Fund'!$C$32+'1. The Fund'!$B$33*'1. The Fund'!$C$33)/40*C14*'2. Dilution Ladder'!$E$9+MIN(E14,C14)*('1. The Fund'!$B$30*'1. The Fund'!$C$30+'1. The Fund'!$B$31*'1. The Fund'!$C$31+'1. The Fund'!$B$32*'1. The Fund'!$C$32+'1. The Fund'!$B$33*'1. The Fund'!$C$33)/40*('2. Dilution Ladder'!$H$9-'2. Dilution Ladder'!$E$9),"")</f>
        <v>175200947.67062</v>
      </c>
      <c r="L14" s="30" t="n">
        <f aca="false">IFERROR((L$8*$H14+(1-L$8)*$I14+MAX(0,$D14-$E14*'2. Dilution Ladder'!$G$9))/'1. The Fund'!$B$5,"")</f>
        <v>3.14124708565232</v>
      </c>
      <c r="M14" s="30" t="n">
        <f aca="false">IFERROR((M$8*$H14+(1-M$8)*$I14+MAX(0,$D14-$E14*'2. Dilution Ladder'!$G$9))/'1. The Fund'!$B$5,"")</f>
        <v>2.79393768341579</v>
      </c>
      <c r="N14" s="30" t="n">
        <f aca="false">IFERROR((N$8*$H14+(1-N$8)*$I14+MAX(0,$D14-$E14*'2. Dilution Ladder'!$G$9))/'1. The Fund'!$B$5,"")</f>
        <v>2.44662828117926</v>
      </c>
      <c r="O14" s="30" t="n">
        <f aca="false">IFERROR((O$8*$H14+(1-O$8)*$I14+MAX(0,$D14-$E14*'2. Dilution Ladder'!$G$9))/'1. The Fund'!$B$5,"")</f>
        <v>2.09931887894273</v>
      </c>
    </row>
    <row r="15" customFormat="false" ht="15" hidden="false" customHeight="false" outlineLevel="0" collapsed="false">
      <c r="A15" s="8" t="n">
        <v>0.3</v>
      </c>
      <c r="B15" s="10" t="n">
        <f aca="false">'1. The Fund'!$B$8*(1-A15)</f>
        <v>56000000</v>
      </c>
      <c r="C15" s="12" t="n">
        <f aca="false">IFERROR(B15/'1. The Fund'!$B$12,"")</f>
        <v>56</v>
      </c>
      <c r="D15" s="10" t="n">
        <f aca="false">'1. The Fund'!$B$8*A15</f>
        <v>24000000</v>
      </c>
      <c r="E15" s="31" t="n">
        <f aca="false">IFERROR(D15/'2. Dilution Ladder'!$G$9,"")</f>
        <v>1.62656726533379</v>
      </c>
      <c r="F15" s="10" t="n">
        <f aca="false">IFERROR($B$5*H15+(1-$B$5)*I15,"")</f>
        <v>311179833.461742</v>
      </c>
      <c r="G15" s="30" t="n">
        <f aca="false">IFERROR((F15+MAX(0,D15-E15*'2. Dilution Ladder'!$G$9))/'1. The Fund'!$B$5,"")</f>
        <v>3.11179833461742</v>
      </c>
      <c r="H15" s="10" t="n">
        <f aca="false">IFERROR('1. The Fund'!$B$30*(MIN('1. The Fund'!$C$30/40*C15,MAX(0,E15))*'2. Dilution Ladder'!$H$9+('1. The Fund'!$C$30/40*C15-MIN('1. The Fund'!$C$30/40*C15,MAX(0,E15)))*'2. Dilution Ladder'!$E$9)+'1. The Fund'!$B$31*(MIN('1. The Fund'!$C$31/40*C15,MAX(0,E15-'1. The Fund'!$C$30/40*C15))*'2. Dilution Ladder'!$H$9+('1. The Fund'!$C$31/40*C15-MIN('1. The Fund'!$C$31/40*C15,MAX(0,E15-'1. The Fund'!$C$30/40*C15)))*'2. Dilution Ladder'!$E$9)+'1. The Fund'!$B$32*(MIN('1. The Fund'!$C$32/40*C15,MAX(0,E15-'1. The Fund'!$C$30/40*C15-'1. The Fund'!$C$31/40*C15))*'2. Dilution Ladder'!$H$9+('1. The Fund'!$C$32/40*C15-MIN('1. The Fund'!$C$32/40*C15,MAX(0,E15-'1. The Fund'!$C$30/40*C15-'1. The Fund'!$C$31/40*C15)))*'2. Dilution Ladder'!$E$9)+'1. The Fund'!$B$33*(MIN('1. The Fund'!$C$33/40*C15,MAX(0,E15-'1. The Fund'!$C$30/40*C15-'1. The Fund'!$C$31/40*C15-'1. The Fund'!$C$32/40*C15))*'2. Dilution Ladder'!$H$9+('1. The Fund'!$C$33/40*C15-MIN('1. The Fund'!$C$33/40*C15,MAX(0,E15-'1. The Fund'!$C$30/40*C15-'1. The Fund'!$C$31/40*C15-'1. The Fund'!$C$32/40*C15)))*'2. Dilution Ladder'!$E$9),"")</f>
        <v>311179833.461742</v>
      </c>
      <c r="I15" s="10" t="n">
        <f aca="false">IFERROR(('1. The Fund'!$B$30*'1. The Fund'!$C$30+'1. The Fund'!$B$31*'1. The Fund'!$C$31+'1. The Fund'!$B$32*'1. The Fund'!$C$32+'1. The Fund'!$B$33*'1. The Fund'!$C$33)/40*C15*'2. Dilution Ladder'!$E$9+MIN(E15,C15)*('1. The Fund'!$B$30*'1. The Fund'!$C$30+'1. The Fund'!$B$31*'1. The Fund'!$C$31+'1. The Fund'!$B$32*'1. The Fund'!$C$32+'1. The Fund'!$B$33*'1. The Fund'!$C$33)/40*('2. Dilution Ladder'!$H$9-'2. Dilution Ladder'!$E$9),"")</f>
        <v>164994263.604744</v>
      </c>
      <c r="L15" s="30" t="n">
        <f aca="false">IFERROR((L$8*$H15+(1-L$8)*$I15+MAX(0,$D15-$E15*'2. Dilution Ladder'!$G$9))/'1. The Fund'!$B$5,"")</f>
        <v>3.11179833461742</v>
      </c>
      <c r="M15" s="30" t="n">
        <f aca="false">IFERROR((M$8*$H15+(1-M$8)*$I15+MAX(0,$D15-$E15*'2. Dilution Ladder'!$G$9))/'1. The Fund'!$B$5,"")</f>
        <v>2.74633440997492</v>
      </c>
      <c r="N15" s="30" t="n">
        <f aca="false">IFERROR((N$8*$H15+(1-N$8)*$I15+MAX(0,$D15-$E15*'2. Dilution Ladder'!$G$9))/'1. The Fund'!$B$5,"")</f>
        <v>2.38087048533243</v>
      </c>
      <c r="O15" s="30" t="n">
        <f aca="false">IFERROR((O$8*$H15+(1-O$8)*$I15+MAX(0,$D15-$E15*'2. Dilution Ladder'!$G$9))/'1. The Fund'!$B$5,"")</f>
        <v>2.01540656068994</v>
      </c>
    </row>
    <row r="16" customFormat="false" ht="15" hidden="false" customHeight="false" outlineLevel="0" collapsed="false">
      <c r="A16" s="8" t="n">
        <v>0.35</v>
      </c>
      <c r="B16" s="10" t="n">
        <f aca="false">'1. The Fund'!$B$8*(1-A16)</f>
        <v>52000000</v>
      </c>
      <c r="C16" s="12" t="n">
        <f aca="false">IFERROR(B16/'1. The Fund'!$B$12,"")</f>
        <v>52</v>
      </c>
      <c r="D16" s="10" t="n">
        <f aca="false">'1. The Fund'!$B$8*A16</f>
        <v>28000000</v>
      </c>
      <c r="E16" s="31" t="n">
        <f aca="false">IFERROR(D16/'2. Dilution Ladder'!$G$9,"")</f>
        <v>1.89766180955608</v>
      </c>
      <c r="F16" s="10" t="n">
        <f aca="false">IFERROR($B$5*H16+(1-$B$5)*I16,"")</f>
        <v>295143371.038699</v>
      </c>
      <c r="G16" s="30" t="n">
        <f aca="false">IFERROR((F16+MAX(0,D16-E16*'2. Dilution Ladder'!$G$9))/'1. The Fund'!$B$5,"")</f>
        <v>2.95143371038699</v>
      </c>
      <c r="H16" s="10" t="n">
        <f aca="false">IFERROR('1. The Fund'!$B$30*(MIN('1. The Fund'!$C$30/40*C16,MAX(0,E16))*'2. Dilution Ladder'!$H$9+('1. The Fund'!$C$30/40*C16-MIN('1. The Fund'!$C$30/40*C16,MAX(0,E16)))*'2. Dilution Ladder'!$E$9)+'1. The Fund'!$B$31*(MIN('1. The Fund'!$C$31/40*C16,MAX(0,E16-'1. The Fund'!$C$30/40*C16))*'2. Dilution Ladder'!$H$9+('1. The Fund'!$C$31/40*C16-MIN('1. The Fund'!$C$31/40*C16,MAX(0,E16-'1. The Fund'!$C$30/40*C16)))*'2. Dilution Ladder'!$E$9)+'1. The Fund'!$B$32*(MIN('1. The Fund'!$C$32/40*C16,MAX(0,E16-'1. The Fund'!$C$30/40*C16-'1. The Fund'!$C$31/40*C16))*'2. Dilution Ladder'!$H$9+('1. The Fund'!$C$32/40*C16-MIN('1. The Fund'!$C$32/40*C16,MAX(0,E16-'1. The Fund'!$C$30/40*C16-'1. The Fund'!$C$31/40*C16)))*'2. Dilution Ladder'!$E$9)+'1. The Fund'!$B$33*(MIN('1. The Fund'!$C$33/40*C16,MAX(0,E16-'1. The Fund'!$C$30/40*C16-'1. The Fund'!$C$31/40*C16-'1. The Fund'!$C$32/40*C16))*'2. Dilution Ladder'!$H$9+('1. The Fund'!$C$33/40*C16-MIN('1. The Fund'!$C$33/40*C16,MAX(0,E16-'1. The Fund'!$C$30/40*C16-'1. The Fund'!$C$31/40*C16-'1. The Fund'!$C$32/40*C16)))*'2. Dilution Ladder'!$E$9),"")</f>
        <v>295143371.038699</v>
      </c>
      <c r="I16" s="10" t="n">
        <f aca="false">IFERROR(('1. The Fund'!$B$30*'1. The Fund'!$C$30+'1. The Fund'!$B$31*'1. The Fund'!$C$31+'1. The Fund'!$B$32*'1. The Fund'!$C$32+'1. The Fund'!$B$33*'1. The Fund'!$C$33)/40*C16*'2. Dilution Ladder'!$E$9+MIN(E16,C16)*('1. The Fund'!$B$30*'1. The Fund'!$C$30+'1. The Fund'!$B$31*'1. The Fund'!$C$31+'1. The Fund'!$B$32*'1. The Fund'!$C$32+'1. The Fund'!$B$33*'1. The Fund'!$C$33)/40*('2. Dilution Ladder'!$H$9-'2. Dilution Ladder'!$E$9),"")</f>
        <v>154787579.538868</v>
      </c>
      <c r="L16" s="30" t="n">
        <f aca="false">IFERROR((L$8*$H16+(1-L$8)*$I16+MAX(0,$D16-$E16*'2. Dilution Ladder'!$G$9))/'1. The Fund'!$B$5,"")</f>
        <v>2.95143371038699</v>
      </c>
      <c r="M16" s="30" t="n">
        <f aca="false">IFERROR((M$8*$H16+(1-M$8)*$I16+MAX(0,$D16-$E16*'2. Dilution Ladder'!$G$9))/'1. The Fund'!$B$5,"")</f>
        <v>2.60054423163741</v>
      </c>
      <c r="N16" s="30" t="n">
        <f aca="false">IFERROR((N$8*$H16+(1-N$8)*$I16+MAX(0,$D16-$E16*'2. Dilution Ladder'!$G$9))/'1. The Fund'!$B$5,"")</f>
        <v>2.24965475288784</v>
      </c>
      <c r="O16" s="30" t="n">
        <f aca="false">IFERROR((O$8*$H16+(1-O$8)*$I16+MAX(0,$D16-$E16*'2. Dilution Ladder'!$G$9))/'1. The Fund'!$B$5,"")</f>
        <v>1.89876527413826</v>
      </c>
    </row>
    <row r="17" customFormat="false" ht="15" hidden="false" customHeight="false" outlineLevel="0" collapsed="false">
      <c r="A17" s="8" t="n">
        <v>0.4</v>
      </c>
      <c r="B17" s="10" t="n">
        <f aca="false">'1. The Fund'!$B$8*(1-A17)</f>
        <v>48000000</v>
      </c>
      <c r="C17" s="12" t="n">
        <f aca="false">IFERROR(B17/'1. The Fund'!$B$12,"")</f>
        <v>48</v>
      </c>
      <c r="D17" s="10" t="n">
        <f aca="false">'1. The Fund'!$B$8*A17</f>
        <v>32000000</v>
      </c>
      <c r="E17" s="31" t="n">
        <f aca="false">IFERROR(D17/'2. Dilution Ladder'!$G$9,"")</f>
        <v>2.16875635377838</v>
      </c>
      <c r="F17" s="10" t="n">
        <f aca="false">IFERROR($B$5*H17+(1-$B$5)*I17,"")</f>
        <v>279106908.615656</v>
      </c>
      <c r="G17" s="30" t="n">
        <f aca="false">IFERROR((F17+MAX(0,D17-E17*'2. Dilution Ladder'!$G$9))/'1. The Fund'!$B$5,"")</f>
        <v>2.79106908615656</v>
      </c>
      <c r="H17" s="10" t="n">
        <f aca="false">IFERROR('1. The Fund'!$B$30*(MIN('1. The Fund'!$C$30/40*C17,MAX(0,E17))*'2. Dilution Ladder'!$H$9+('1. The Fund'!$C$30/40*C17-MIN('1. The Fund'!$C$30/40*C17,MAX(0,E17)))*'2. Dilution Ladder'!$E$9)+'1. The Fund'!$B$31*(MIN('1. The Fund'!$C$31/40*C17,MAX(0,E17-'1. The Fund'!$C$30/40*C17))*'2. Dilution Ladder'!$H$9+('1. The Fund'!$C$31/40*C17-MIN('1. The Fund'!$C$31/40*C17,MAX(0,E17-'1. The Fund'!$C$30/40*C17)))*'2. Dilution Ladder'!$E$9)+'1. The Fund'!$B$32*(MIN('1. The Fund'!$C$32/40*C17,MAX(0,E17-'1. The Fund'!$C$30/40*C17-'1. The Fund'!$C$31/40*C17))*'2. Dilution Ladder'!$H$9+('1. The Fund'!$C$32/40*C17-MIN('1. The Fund'!$C$32/40*C17,MAX(0,E17-'1. The Fund'!$C$30/40*C17-'1. The Fund'!$C$31/40*C17)))*'2. Dilution Ladder'!$E$9)+'1. The Fund'!$B$33*(MIN('1. The Fund'!$C$33/40*C17,MAX(0,E17-'1. The Fund'!$C$30/40*C17-'1. The Fund'!$C$31/40*C17-'1. The Fund'!$C$32/40*C17))*'2. Dilution Ladder'!$H$9+('1. The Fund'!$C$33/40*C17-MIN('1. The Fund'!$C$33/40*C17,MAX(0,E17-'1. The Fund'!$C$30/40*C17-'1. The Fund'!$C$31/40*C17-'1. The Fund'!$C$32/40*C17)))*'2. Dilution Ladder'!$E$9),"")</f>
        <v>279106908.615656</v>
      </c>
      <c r="I17" s="10" t="n">
        <f aca="false">IFERROR(('1. The Fund'!$B$30*'1. The Fund'!$C$30+'1. The Fund'!$B$31*'1. The Fund'!$C$31+'1. The Fund'!$B$32*'1. The Fund'!$C$32+'1. The Fund'!$B$33*'1. The Fund'!$C$33)/40*C17*'2. Dilution Ladder'!$E$9+MIN(E17,C17)*('1. The Fund'!$B$30*'1. The Fund'!$C$30+'1. The Fund'!$B$31*'1. The Fund'!$C$31+'1. The Fund'!$B$32*'1. The Fund'!$C$32+'1. The Fund'!$B$33*'1. The Fund'!$C$33)/40*('2. Dilution Ladder'!$H$9-'2. Dilution Ladder'!$E$9),"")</f>
        <v>144580895.472992</v>
      </c>
      <c r="L17" s="30" t="n">
        <f aca="false">IFERROR((L$8*$H17+(1-L$8)*$I17+MAX(0,$D17-$E17*'2. Dilution Ladder'!$G$9))/'1. The Fund'!$B$5,"")</f>
        <v>2.79106908615656</v>
      </c>
      <c r="M17" s="30" t="n">
        <f aca="false">IFERROR((M$8*$H17+(1-M$8)*$I17+MAX(0,$D17-$E17*'2. Dilution Ladder'!$G$9))/'1. The Fund'!$B$5,"")</f>
        <v>2.4547540532999</v>
      </c>
      <c r="N17" s="30" t="n">
        <f aca="false">IFERROR((N$8*$H17+(1-N$8)*$I17+MAX(0,$D17-$E17*'2. Dilution Ladder'!$G$9))/'1. The Fund'!$B$5,"")</f>
        <v>2.11843902044324</v>
      </c>
      <c r="O17" s="30" t="n">
        <f aca="false">IFERROR((O$8*$H17+(1-O$8)*$I17+MAX(0,$D17-$E17*'2. Dilution Ladder'!$G$9))/'1. The Fund'!$B$5,"")</f>
        <v>1.78212398758658</v>
      </c>
    </row>
    <row r="18" customFormat="false" ht="15" hidden="false" customHeight="false" outlineLevel="0" collapsed="false">
      <c r="A18" s="8" t="n">
        <v>0.45</v>
      </c>
      <c r="B18" s="10" t="n">
        <f aca="false">'1. The Fund'!$B$8*(1-A18)</f>
        <v>44000000</v>
      </c>
      <c r="C18" s="12" t="n">
        <f aca="false">IFERROR(B18/'1. The Fund'!$B$12,"")</f>
        <v>44</v>
      </c>
      <c r="D18" s="10" t="n">
        <f aca="false">'1. The Fund'!$B$8*A18</f>
        <v>36000000</v>
      </c>
      <c r="E18" s="31" t="n">
        <f aca="false">IFERROR(D18/'2. Dilution Ladder'!$G$9,"")</f>
        <v>2.43985089800068</v>
      </c>
      <c r="F18" s="10" t="n">
        <f aca="false">IFERROR($B$5*H18+(1-$B$5)*I18,"")</f>
        <v>263070446.192613</v>
      </c>
      <c r="G18" s="30" t="n">
        <f aca="false">IFERROR((F18+MAX(0,D18-E18*'2. Dilution Ladder'!$G$9))/'1. The Fund'!$B$5,"")</f>
        <v>2.63070446192613</v>
      </c>
      <c r="H18" s="10" t="n">
        <f aca="false">IFERROR('1. The Fund'!$B$30*(MIN('1. The Fund'!$C$30/40*C18,MAX(0,E18))*'2. Dilution Ladder'!$H$9+('1. The Fund'!$C$30/40*C18-MIN('1. The Fund'!$C$30/40*C18,MAX(0,E18)))*'2. Dilution Ladder'!$E$9)+'1. The Fund'!$B$31*(MIN('1. The Fund'!$C$31/40*C18,MAX(0,E18-'1. The Fund'!$C$30/40*C18))*'2. Dilution Ladder'!$H$9+('1. The Fund'!$C$31/40*C18-MIN('1. The Fund'!$C$31/40*C18,MAX(0,E18-'1. The Fund'!$C$30/40*C18)))*'2. Dilution Ladder'!$E$9)+'1. The Fund'!$B$32*(MIN('1. The Fund'!$C$32/40*C18,MAX(0,E18-'1. The Fund'!$C$30/40*C18-'1. The Fund'!$C$31/40*C18))*'2. Dilution Ladder'!$H$9+('1. The Fund'!$C$32/40*C18-MIN('1. The Fund'!$C$32/40*C18,MAX(0,E18-'1. The Fund'!$C$30/40*C18-'1. The Fund'!$C$31/40*C18)))*'2. Dilution Ladder'!$E$9)+'1. The Fund'!$B$33*(MIN('1. The Fund'!$C$33/40*C18,MAX(0,E18-'1. The Fund'!$C$30/40*C18-'1. The Fund'!$C$31/40*C18-'1. The Fund'!$C$32/40*C18))*'2. Dilution Ladder'!$H$9+('1. The Fund'!$C$33/40*C18-MIN('1. The Fund'!$C$33/40*C18,MAX(0,E18-'1. The Fund'!$C$30/40*C18-'1. The Fund'!$C$31/40*C18-'1. The Fund'!$C$32/40*C18)))*'2. Dilution Ladder'!$E$9),"")</f>
        <v>263070446.192613</v>
      </c>
      <c r="I18" s="10" t="n">
        <f aca="false">IFERROR(('1. The Fund'!$B$30*'1. The Fund'!$C$30+'1. The Fund'!$B$31*'1. The Fund'!$C$31+'1. The Fund'!$B$32*'1. The Fund'!$C$32+'1. The Fund'!$B$33*'1. The Fund'!$C$33)/40*C18*'2. Dilution Ladder'!$E$9+MIN(E18,C18)*('1. The Fund'!$B$30*'1. The Fund'!$C$30+'1. The Fund'!$B$31*'1. The Fund'!$C$31+'1. The Fund'!$B$32*'1. The Fund'!$C$32+'1. The Fund'!$B$33*'1. The Fund'!$C$33)/40*('2. Dilution Ladder'!$H$9-'2. Dilution Ladder'!$E$9),"")</f>
        <v>134374211.407116</v>
      </c>
      <c r="L18" s="30" t="n">
        <f aca="false">IFERROR((L$8*$H18+(1-L$8)*$I18+MAX(0,$D18-$E18*'2. Dilution Ladder'!$G$9))/'1. The Fund'!$B$5,"")</f>
        <v>2.63070446192613</v>
      </c>
      <c r="M18" s="30" t="n">
        <f aca="false">IFERROR((M$8*$H18+(1-M$8)*$I18+MAX(0,$D18-$E18*'2. Dilution Ladder'!$G$9))/'1. The Fund'!$B$5,"")</f>
        <v>2.30896387496239</v>
      </c>
      <c r="N18" s="30" t="n">
        <f aca="false">IFERROR((N$8*$H18+(1-N$8)*$I18+MAX(0,$D18-$E18*'2. Dilution Ladder'!$G$9))/'1. The Fund'!$B$5,"")</f>
        <v>1.98722328799864</v>
      </c>
      <c r="O18" s="30" t="n">
        <f aca="false">IFERROR((O$8*$H18+(1-O$8)*$I18+MAX(0,$D18-$E18*'2. Dilution Ladder'!$G$9))/'1. The Fund'!$B$5,"")</f>
        <v>1.6654827010349</v>
      </c>
    </row>
    <row r="19" customFormat="false" ht="15" hidden="false" customHeight="false" outlineLevel="0" collapsed="false">
      <c r="A19" s="8" t="n">
        <v>0.5</v>
      </c>
      <c r="B19" s="10" t="n">
        <f aca="false">'1. The Fund'!$B$8*(1-A19)</f>
        <v>40000000</v>
      </c>
      <c r="C19" s="12" t="n">
        <f aca="false">IFERROR(B19/'1. The Fund'!$B$12,"")</f>
        <v>40</v>
      </c>
      <c r="D19" s="10" t="n">
        <f aca="false">'1. The Fund'!$B$8*A19</f>
        <v>40000000</v>
      </c>
      <c r="E19" s="31" t="n">
        <f aca="false">IFERROR(D19/'2. Dilution Ladder'!$G$9,"")</f>
        <v>2.71094544222298</v>
      </c>
      <c r="F19" s="10" t="n">
        <f aca="false">IFERROR($B$5*H19+(1-$B$5)*I19,"")</f>
        <v>247033983.76957</v>
      </c>
      <c r="G19" s="30" t="n">
        <f aca="false">IFERROR((F19+MAX(0,D19-E19*'2. Dilution Ladder'!$G$9))/'1. The Fund'!$B$5,"")</f>
        <v>2.4703398376957</v>
      </c>
      <c r="H19" s="10" t="n">
        <f aca="false">IFERROR('1. The Fund'!$B$30*(MIN('1. The Fund'!$C$30/40*C19,MAX(0,E19))*'2. Dilution Ladder'!$H$9+('1. The Fund'!$C$30/40*C19-MIN('1. The Fund'!$C$30/40*C19,MAX(0,E19)))*'2. Dilution Ladder'!$E$9)+'1. The Fund'!$B$31*(MIN('1. The Fund'!$C$31/40*C19,MAX(0,E19-'1. The Fund'!$C$30/40*C19))*'2. Dilution Ladder'!$H$9+('1. The Fund'!$C$31/40*C19-MIN('1. The Fund'!$C$31/40*C19,MAX(0,E19-'1. The Fund'!$C$30/40*C19)))*'2. Dilution Ladder'!$E$9)+'1. The Fund'!$B$32*(MIN('1. The Fund'!$C$32/40*C19,MAX(0,E19-'1. The Fund'!$C$30/40*C19-'1. The Fund'!$C$31/40*C19))*'2. Dilution Ladder'!$H$9+('1. The Fund'!$C$32/40*C19-MIN('1. The Fund'!$C$32/40*C19,MAX(0,E19-'1. The Fund'!$C$30/40*C19-'1. The Fund'!$C$31/40*C19)))*'2. Dilution Ladder'!$E$9)+'1. The Fund'!$B$33*(MIN('1. The Fund'!$C$33/40*C19,MAX(0,E19-'1. The Fund'!$C$30/40*C19-'1. The Fund'!$C$31/40*C19-'1. The Fund'!$C$32/40*C19))*'2. Dilution Ladder'!$H$9+('1. The Fund'!$C$33/40*C19-MIN('1. The Fund'!$C$33/40*C19,MAX(0,E19-'1. The Fund'!$C$30/40*C19-'1. The Fund'!$C$31/40*C19-'1. The Fund'!$C$32/40*C19)))*'2. Dilution Ladder'!$E$9),"")</f>
        <v>247033983.76957</v>
      </c>
      <c r="I19" s="10" t="n">
        <f aca="false">IFERROR(('1. The Fund'!$B$30*'1. The Fund'!$C$30+'1. The Fund'!$B$31*'1. The Fund'!$C$31+'1. The Fund'!$B$32*'1. The Fund'!$C$32+'1. The Fund'!$B$33*'1. The Fund'!$C$33)/40*C19*'2. Dilution Ladder'!$E$9+MIN(E19,C19)*('1. The Fund'!$B$30*'1. The Fund'!$C$30+'1. The Fund'!$B$31*'1. The Fund'!$C$31+'1. The Fund'!$B$32*'1. The Fund'!$C$32+'1. The Fund'!$B$33*'1. The Fund'!$C$33)/40*('2. Dilution Ladder'!$H$9-'2. Dilution Ladder'!$E$9),"")</f>
        <v>124167527.34124</v>
      </c>
      <c r="L19" s="30" t="n">
        <f aca="false">IFERROR((L$8*$H19+(1-L$8)*$I19+MAX(0,$D19-$E19*'2. Dilution Ladder'!$G$9))/'1. The Fund'!$B$5,"")</f>
        <v>2.4703398376957</v>
      </c>
      <c r="M19" s="30" t="n">
        <f aca="false">IFERROR((M$8*$H19+(1-M$8)*$I19+MAX(0,$D19-$E19*'2. Dilution Ladder'!$G$9))/'1. The Fund'!$B$5,"")</f>
        <v>2.16317369662487</v>
      </c>
      <c r="N19" s="30" t="n">
        <f aca="false">IFERROR((N$8*$H19+(1-N$8)*$I19+MAX(0,$D19-$E19*'2. Dilution Ladder'!$G$9))/'1. The Fund'!$B$5,"")</f>
        <v>1.85600755555405</v>
      </c>
      <c r="O19" s="30" t="n">
        <f aca="false">IFERROR((O$8*$H19+(1-O$8)*$I19+MAX(0,$D19-$E19*'2. Dilution Ladder'!$G$9))/'1. The Fund'!$B$5,"")</f>
        <v>1.54884141448323</v>
      </c>
    </row>
    <row r="20" customFormat="false" ht="15" hidden="false" customHeight="false" outlineLevel="0" collapsed="false">
      <c r="A20" s="8" t="n">
        <v>0.55</v>
      </c>
      <c r="B20" s="10" t="n">
        <f aca="false">'1. The Fund'!$B$8*(1-A20)</f>
        <v>36000000</v>
      </c>
      <c r="C20" s="12" t="n">
        <f aca="false">IFERROR(B20/'1. The Fund'!$B$12,"")</f>
        <v>36</v>
      </c>
      <c r="D20" s="10" t="n">
        <f aca="false">'1. The Fund'!$B$8*A20</f>
        <v>44000000</v>
      </c>
      <c r="E20" s="31" t="n">
        <f aca="false">IFERROR(D20/'2. Dilution Ladder'!$G$9,"")</f>
        <v>2.98203998644527</v>
      </c>
      <c r="F20" s="10" t="n">
        <f aca="false">IFERROR($B$5*H20+(1-$B$5)*I20,"")</f>
        <v>227616197.536632</v>
      </c>
      <c r="G20" s="30" t="n">
        <f aca="false">IFERROR((F20+MAX(0,D20-E20*'2. Dilution Ladder'!$G$9))/'1. The Fund'!$B$5,"")</f>
        <v>2.27616197536632</v>
      </c>
      <c r="H20" s="10" t="n">
        <f aca="false">IFERROR('1. The Fund'!$B$30*(MIN('1. The Fund'!$C$30/40*C20,MAX(0,E20))*'2. Dilution Ladder'!$H$9+('1. The Fund'!$C$30/40*C20-MIN('1. The Fund'!$C$30/40*C20,MAX(0,E20)))*'2. Dilution Ladder'!$E$9)+'1. The Fund'!$B$31*(MIN('1. The Fund'!$C$31/40*C20,MAX(0,E20-'1. The Fund'!$C$30/40*C20))*'2. Dilution Ladder'!$H$9+('1. The Fund'!$C$31/40*C20-MIN('1. The Fund'!$C$31/40*C20,MAX(0,E20-'1. The Fund'!$C$30/40*C20)))*'2. Dilution Ladder'!$E$9)+'1. The Fund'!$B$32*(MIN('1. The Fund'!$C$32/40*C20,MAX(0,E20-'1. The Fund'!$C$30/40*C20-'1. The Fund'!$C$31/40*C20))*'2. Dilution Ladder'!$H$9+('1. The Fund'!$C$32/40*C20-MIN('1. The Fund'!$C$32/40*C20,MAX(0,E20-'1. The Fund'!$C$30/40*C20-'1. The Fund'!$C$31/40*C20)))*'2. Dilution Ladder'!$E$9)+'1. The Fund'!$B$33*(MIN('1. The Fund'!$C$33/40*C20,MAX(0,E20-'1. The Fund'!$C$30/40*C20-'1. The Fund'!$C$31/40*C20-'1. The Fund'!$C$32/40*C20))*'2. Dilution Ladder'!$H$9+('1. The Fund'!$C$33/40*C20-MIN('1. The Fund'!$C$33/40*C20,MAX(0,E20-'1. The Fund'!$C$30/40*C20-'1. The Fund'!$C$31/40*C20-'1. The Fund'!$C$32/40*C20)))*'2. Dilution Ladder'!$E$9),"")</f>
        <v>227616197.536632</v>
      </c>
      <c r="I20" s="10" t="n">
        <f aca="false">IFERROR(('1. The Fund'!$B$30*'1. The Fund'!$C$30+'1. The Fund'!$B$31*'1. The Fund'!$C$31+'1. The Fund'!$B$32*'1. The Fund'!$C$32+'1. The Fund'!$B$33*'1. The Fund'!$C$33)/40*C20*'2. Dilution Ladder'!$E$9+MIN(E20,C20)*('1. The Fund'!$B$30*'1. The Fund'!$C$30+'1. The Fund'!$B$31*'1. The Fund'!$C$31+'1. The Fund'!$B$32*'1. The Fund'!$C$32+'1. The Fund'!$B$33*'1. The Fund'!$C$33)/40*('2. Dilution Ladder'!$H$9-'2. Dilution Ladder'!$E$9),"")</f>
        <v>113960843.275364</v>
      </c>
      <c r="L20" s="30" t="n">
        <f aca="false">IFERROR((L$8*$H20+(1-L$8)*$I20+MAX(0,$D20-$E20*'2. Dilution Ladder'!$G$9))/'1. The Fund'!$B$5,"")</f>
        <v>2.27616197536632</v>
      </c>
      <c r="M20" s="30" t="n">
        <f aca="false">IFERROR((M$8*$H20+(1-M$8)*$I20+MAX(0,$D20-$E20*'2. Dilution Ladder'!$G$9))/'1. The Fund'!$B$5,"")</f>
        <v>1.99202358971315</v>
      </c>
      <c r="N20" s="30" t="n">
        <f aca="false">IFERROR((N$8*$H20+(1-N$8)*$I20+MAX(0,$D20-$E20*'2. Dilution Ladder'!$G$9))/'1. The Fund'!$B$5,"")</f>
        <v>1.70788520405998</v>
      </c>
      <c r="O20" s="30" t="n">
        <f aca="false">IFERROR((O$8*$H20+(1-O$8)*$I20+MAX(0,$D20-$E20*'2. Dilution Ladder'!$G$9))/'1. The Fund'!$B$5,"")</f>
        <v>1.42374681840681</v>
      </c>
    </row>
    <row r="21" customFormat="false" ht="15" hidden="false" customHeight="false" outlineLevel="0" collapsed="false">
      <c r="A21" s="8" t="n">
        <v>0.6</v>
      </c>
      <c r="B21" s="10" t="n">
        <f aca="false">'1. The Fund'!$B$8*(1-A21)</f>
        <v>32000000</v>
      </c>
      <c r="C21" s="12" t="n">
        <f aca="false">IFERROR(B21/'1. The Fund'!$B$12,"")</f>
        <v>32</v>
      </c>
      <c r="D21" s="10" t="n">
        <f aca="false">'1. The Fund'!$B$8*A21</f>
        <v>48000000</v>
      </c>
      <c r="E21" s="31" t="n">
        <f aca="false">IFERROR(D21/'2. Dilution Ladder'!$G$9,"")</f>
        <v>3.25313453066757</v>
      </c>
      <c r="F21" s="10" t="n">
        <f aca="false">IFERROR($B$5*H21+(1-$B$5)*I21,"")</f>
        <v>204732991.130871</v>
      </c>
      <c r="G21" s="30" t="n">
        <f aca="false">IFERROR((F21+MAX(0,D21-E21*'2. Dilution Ladder'!$G$9))/'1. The Fund'!$B$5,"")</f>
        <v>2.04732991130871</v>
      </c>
      <c r="H21" s="10" t="n">
        <f aca="false">IFERROR('1. The Fund'!$B$30*(MIN('1. The Fund'!$C$30/40*C21,MAX(0,E21))*'2. Dilution Ladder'!$H$9+('1. The Fund'!$C$30/40*C21-MIN('1. The Fund'!$C$30/40*C21,MAX(0,E21)))*'2. Dilution Ladder'!$E$9)+'1. The Fund'!$B$31*(MIN('1. The Fund'!$C$31/40*C21,MAX(0,E21-'1. The Fund'!$C$30/40*C21))*'2. Dilution Ladder'!$H$9+('1. The Fund'!$C$31/40*C21-MIN('1. The Fund'!$C$31/40*C21,MAX(0,E21-'1. The Fund'!$C$30/40*C21)))*'2. Dilution Ladder'!$E$9)+'1. The Fund'!$B$32*(MIN('1. The Fund'!$C$32/40*C21,MAX(0,E21-'1. The Fund'!$C$30/40*C21-'1. The Fund'!$C$31/40*C21))*'2. Dilution Ladder'!$H$9+('1. The Fund'!$C$32/40*C21-MIN('1. The Fund'!$C$32/40*C21,MAX(0,E21-'1. The Fund'!$C$30/40*C21-'1. The Fund'!$C$31/40*C21)))*'2. Dilution Ladder'!$E$9)+'1. The Fund'!$B$33*(MIN('1. The Fund'!$C$33/40*C21,MAX(0,E21-'1. The Fund'!$C$30/40*C21-'1. The Fund'!$C$31/40*C21-'1. The Fund'!$C$32/40*C21))*'2. Dilution Ladder'!$H$9+('1. The Fund'!$C$33/40*C21-MIN('1. The Fund'!$C$33/40*C21,MAX(0,E21-'1. The Fund'!$C$30/40*C21-'1. The Fund'!$C$31/40*C21-'1. The Fund'!$C$32/40*C21)))*'2. Dilution Ladder'!$E$9),"")</f>
        <v>204732991.130871</v>
      </c>
      <c r="I21" s="10" t="n">
        <f aca="false">IFERROR(('1. The Fund'!$B$30*'1. The Fund'!$C$30+'1. The Fund'!$B$31*'1. The Fund'!$C$31+'1. The Fund'!$B$32*'1. The Fund'!$C$32+'1. The Fund'!$B$33*'1. The Fund'!$C$33)/40*C21*'2. Dilution Ladder'!$E$9+MIN(E21,C21)*('1. The Fund'!$B$30*'1. The Fund'!$C$30+'1. The Fund'!$B$31*'1. The Fund'!$C$31+'1. The Fund'!$B$32*'1. The Fund'!$C$32+'1. The Fund'!$B$33*'1. The Fund'!$C$33)/40*('2. Dilution Ladder'!$H$9-'2. Dilution Ladder'!$E$9),"")</f>
        <v>103754159.209488</v>
      </c>
      <c r="L21" s="30" t="n">
        <f aca="false">IFERROR((L$8*$H21+(1-L$8)*$I21+MAX(0,$D21-$E21*'2. Dilution Ladder'!$G$9))/'1. The Fund'!$B$5,"")</f>
        <v>2.04732991130871</v>
      </c>
      <c r="M21" s="30" t="n">
        <f aca="false">IFERROR((M$8*$H21+(1-M$8)*$I21+MAX(0,$D21-$E21*'2. Dilution Ladder'!$G$9))/'1. The Fund'!$B$5,"")</f>
        <v>1.79488283150525</v>
      </c>
      <c r="N21" s="30" t="n">
        <f aca="false">IFERROR((N$8*$H21+(1-N$8)*$I21+MAX(0,$D21-$E21*'2. Dilution Ladder'!$G$9))/'1. The Fund'!$B$5,"")</f>
        <v>1.5424357517018</v>
      </c>
      <c r="O21" s="30" t="n">
        <f aca="false">IFERROR((O$8*$H21+(1-O$8)*$I21+MAX(0,$D21-$E21*'2. Dilution Ladder'!$G$9))/'1. The Fund'!$B$5,"")</f>
        <v>1.28998867189834</v>
      </c>
    </row>
    <row r="22" customFormat="false" ht="15" hidden="false" customHeight="false" outlineLevel="0" collapsed="false">
      <c r="A22" s="8" t="n">
        <v>0.65</v>
      </c>
      <c r="B22" s="10" t="n">
        <f aca="false">'1. The Fund'!$B$8*(1-A22)</f>
        <v>28000000</v>
      </c>
      <c r="C22" s="12" t="n">
        <f aca="false">IFERROR(B22/'1. The Fund'!$B$12,"")</f>
        <v>28</v>
      </c>
      <c r="D22" s="10" t="n">
        <f aca="false">'1. The Fund'!$B$8*A22</f>
        <v>52000000</v>
      </c>
      <c r="E22" s="31" t="n">
        <f aca="false">IFERROR(D22/'2. Dilution Ladder'!$G$9,"")</f>
        <v>3.52422907488987</v>
      </c>
      <c r="F22" s="10" t="n">
        <f aca="false">IFERROR($B$5*H22+(1-$B$5)*I22,"")</f>
        <v>181849784.72511</v>
      </c>
      <c r="G22" s="30" t="n">
        <f aca="false">IFERROR((F22+MAX(0,D22-E22*'2. Dilution Ladder'!$G$9))/'1. The Fund'!$B$5,"")</f>
        <v>1.8184978472511</v>
      </c>
      <c r="H22" s="10" t="n">
        <f aca="false">IFERROR('1. The Fund'!$B$30*(MIN('1. The Fund'!$C$30/40*C22,MAX(0,E22))*'2. Dilution Ladder'!$H$9+('1. The Fund'!$C$30/40*C22-MIN('1. The Fund'!$C$30/40*C22,MAX(0,E22)))*'2. Dilution Ladder'!$E$9)+'1. The Fund'!$B$31*(MIN('1. The Fund'!$C$31/40*C22,MAX(0,E22-'1. The Fund'!$C$30/40*C22))*'2. Dilution Ladder'!$H$9+('1. The Fund'!$C$31/40*C22-MIN('1. The Fund'!$C$31/40*C22,MAX(0,E22-'1. The Fund'!$C$30/40*C22)))*'2. Dilution Ladder'!$E$9)+'1. The Fund'!$B$32*(MIN('1. The Fund'!$C$32/40*C22,MAX(0,E22-'1. The Fund'!$C$30/40*C22-'1. The Fund'!$C$31/40*C22))*'2. Dilution Ladder'!$H$9+('1. The Fund'!$C$32/40*C22-MIN('1. The Fund'!$C$32/40*C22,MAX(0,E22-'1. The Fund'!$C$30/40*C22-'1. The Fund'!$C$31/40*C22)))*'2. Dilution Ladder'!$E$9)+'1. The Fund'!$B$33*(MIN('1. The Fund'!$C$33/40*C22,MAX(0,E22-'1. The Fund'!$C$30/40*C22-'1. The Fund'!$C$31/40*C22-'1. The Fund'!$C$32/40*C22))*'2. Dilution Ladder'!$H$9+('1. The Fund'!$C$33/40*C22-MIN('1. The Fund'!$C$33/40*C22,MAX(0,E22-'1. The Fund'!$C$30/40*C22-'1. The Fund'!$C$31/40*C22-'1. The Fund'!$C$32/40*C22)))*'2. Dilution Ladder'!$E$9),"")</f>
        <v>181849784.72511</v>
      </c>
      <c r="I22" s="10" t="n">
        <f aca="false">IFERROR(('1. The Fund'!$B$30*'1. The Fund'!$C$30+'1. The Fund'!$B$31*'1. The Fund'!$C$31+'1. The Fund'!$B$32*'1. The Fund'!$C$32+'1. The Fund'!$B$33*'1. The Fund'!$C$33)/40*C22*'2. Dilution Ladder'!$E$9+MIN(E22,C22)*('1. The Fund'!$B$30*'1. The Fund'!$C$30+'1. The Fund'!$B$31*'1. The Fund'!$C$31+'1. The Fund'!$B$32*'1. The Fund'!$C$32+'1. The Fund'!$B$33*'1. The Fund'!$C$33)/40*('2. Dilution Ladder'!$H$9-'2. Dilution Ladder'!$E$9),"")</f>
        <v>93547475.1436124</v>
      </c>
      <c r="L22" s="30" t="n">
        <f aca="false">IFERROR((L$8*$H22+(1-L$8)*$I22+MAX(0,$D22-$E22*'2. Dilution Ladder'!$G$9))/'1. The Fund'!$B$5,"")</f>
        <v>1.8184978472511</v>
      </c>
      <c r="M22" s="30" t="n">
        <f aca="false">IFERROR((M$8*$H22+(1-M$8)*$I22+MAX(0,$D22-$E22*'2. Dilution Ladder'!$G$9))/'1. The Fund'!$B$5,"")</f>
        <v>1.59774207329736</v>
      </c>
      <c r="N22" s="30" t="n">
        <f aca="false">IFERROR((N$8*$H22+(1-N$8)*$I22+MAX(0,$D22-$E22*'2. Dilution Ladder'!$G$9))/'1. The Fund'!$B$5,"")</f>
        <v>1.37698629934361</v>
      </c>
      <c r="O22" s="30" t="n">
        <f aca="false">IFERROR((O$8*$H22+(1-O$8)*$I22+MAX(0,$D22-$E22*'2. Dilution Ladder'!$G$9))/'1. The Fund'!$B$5,"")</f>
        <v>1.15623052538987</v>
      </c>
    </row>
    <row r="23" customFormat="false" ht="15" hidden="false" customHeight="false" outlineLevel="0" collapsed="false">
      <c r="A23" s="8" t="n">
        <v>0.7</v>
      </c>
      <c r="B23" s="10" t="n">
        <f aca="false">'1. The Fund'!$B$8*(1-A23)</f>
        <v>24000000</v>
      </c>
      <c r="C23" s="12" t="n">
        <f aca="false">IFERROR(B23/'1. The Fund'!$B$12,"")</f>
        <v>24</v>
      </c>
      <c r="D23" s="10" t="n">
        <f aca="false">'1. The Fund'!$B$8*A23</f>
        <v>56000000</v>
      </c>
      <c r="E23" s="31" t="n">
        <f aca="false">IFERROR(D23/'2. Dilution Ladder'!$G$9,"")</f>
        <v>3.79532361911217</v>
      </c>
      <c r="F23" s="10" t="n">
        <f aca="false">IFERROR($B$5*H23+(1-$B$5)*I23,"")</f>
        <v>158966578.319349</v>
      </c>
      <c r="G23" s="30" t="n">
        <f aca="false">IFERROR((F23+MAX(0,D23-E23*'2. Dilution Ladder'!$G$9))/'1. The Fund'!$B$5,"")</f>
        <v>1.58966578319349</v>
      </c>
      <c r="H23" s="10" t="n">
        <f aca="false">IFERROR('1. The Fund'!$B$30*(MIN('1. The Fund'!$C$30/40*C23,MAX(0,E23))*'2. Dilution Ladder'!$H$9+('1. The Fund'!$C$30/40*C23-MIN('1. The Fund'!$C$30/40*C23,MAX(0,E23)))*'2. Dilution Ladder'!$E$9)+'1. The Fund'!$B$31*(MIN('1. The Fund'!$C$31/40*C23,MAX(0,E23-'1. The Fund'!$C$30/40*C23))*'2. Dilution Ladder'!$H$9+('1. The Fund'!$C$31/40*C23-MIN('1. The Fund'!$C$31/40*C23,MAX(0,E23-'1. The Fund'!$C$30/40*C23)))*'2. Dilution Ladder'!$E$9)+'1. The Fund'!$B$32*(MIN('1. The Fund'!$C$32/40*C23,MAX(0,E23-'1. The Fund'!$C$30/40*C23-'1. The Fund'!$C$31/40*C23))*'2. Dilution Ladder'!$H$9+('1. The Fund'!$C$32/40*C23-MIN('1. The Fund'!$C$32/40*C23,MAX(0,E23-'1. The Fund'!$C$30/40*C23-'1. The Fund'!$C$31/40*C23)))*'2. Dilution Ladder'!$E$9)+'1. The Fund'!$B$33*(MIN('1. The Fund'!$C$33/40*C23,MAX(0,E23-'1. The Fund'!$C$30/40*C23-'1. The Fund'!$C$31/40*C23-'1. The Fund'!$C$32/40*C23))*'2. Dilution Ladder'!$H$9+('1. The Fund'!$C$33/40*C23-MIN('1. The Fund'!$C$33/40*C23,MAX(0,E23-'1. The Fund'!$C$30/40*C23-'1. The Fund'!$C$31/40*C23-'1. The Fund'!$C$32/40*C23)))*'2. Dilution Ladder'!$E$9),"")</f>
        <v>158966578.319349</v>
      </c>
      <c r="I23" s="10" t="n">
        <f aca="false">IFERROR(('1. The Fund'!$B$30*'1. The Fund'!$C$30+'1. The Fund'!$B$31*'1. The Fund'!$C$31+'1. The Fund'!$B$32*'1. The Fund'!$C$32+'1. The Fund'!$B$33*'1. The Fund'!$C$33)/40*C23*'2. Dilution Ladder'!$E$9+MIN(E23,C23)*('1. The Fund'!$B$30*'1. The Fund'!$C$30+'1. The Fund'!$B$31*'1. The Fund'!$C$31+'1. The Fund'!$B$32*'1. The Fund'!$C$32+'1. The Fund'!$B$33*'1. The Fund'!$C$33)/40*('2. Dilution Ladder'!$H$9-'2. Dilution Ladder'!$E$9),"")</f>
        <v>83340791.0777364</v>
      </c>
      <c r="L23" s="30" t="n">
        <f aca="false">IFERROR((L$8*$H23+(1-L$8)*$I23+MAX(0,$D23-$E23*'2. Dilution Ladder'!$G$9))/'1. The Fund'!$B$5,"")</f>
        <v>1.58966578319349</v>
      </c>
      <c r="M23" s="30" t="n">
        <f aca="false">IFERROR((M$8*$H23+(1-M$8)*$I23+MAX(0,$D23-$E23*'2. Dilution Ladder'!$G$9))/'1. The Fund'!$B$5,"")</f>
        <v>1.40060131508946</v>
      </c>
      <c r="N23" s="30" t="n">
        <f aca="false">IFERROR((N$8*$H23+(1-N$8)*$I23+MAX(0,$D23-$E23*'2. Dilution Ladder'!$G$9))/'1. The Fund'!$B$5,"")</f>
        <v>1.21153684698543</v>
      </c>
      <c r="O23" s="30" t="n">
        <f aca="false">IFERROR((O$8*$H23+(1-O$8)*$I23+MAX(0,$D23-$E23*'2. Dilution Ladder'!$G$9))/'1. The Fund'!$B$5,"")</f>
        <v>1.0224723788814</v>
      </c>
    </row>
    <row r="24" customFormat="false" ht="15" hidden="false" customHeight="false" outlineLevel="0" collapsed="false">
      <c r="A24" s="8" t="n">
        <v>0.75</v>
      </c>
      <c r="B24" s="10" t="n">
        <f aca="false">'1. The Fund'!$B$8*(1-A24)</f>
        <v>20000000</v>
      </c>
      <c r="C24" s="12" t="n">
        <f aca="false">IFERROR(B24/'1. The Fund'!$B$12,"")</f>
        <v>20</v>
      </c>
      <c r="D24" s="10" t="n">
        <f aca="false">'1. The Fund'!$B$8*A24</f>
        <v>60000000</v>
      </c>
      <c r="E24" s="31" t="n">
        <f aca="false">IFERROR(D24/'2. Dilution Ladder'!$G$9,"")</f>
        <v>4.06641816333446</v>
      </c>
      <c r="F24" s="10" t="n">
        <f aca="false">IFERROR($B$5*H24+(1-$B$5)*I24,"")</f>
        <v>134423427.976957</v>
      </c>
      <c r="G24" s="30" t="n">
        <f aca="false">IFERROR((F24+MAX(0,D24-E24*'2. Dilution Ladder'!$G$9))/'1. The Fund'!$B$5,"")</f>
        <v>1.34423427976957</v>
      </c>
      <c r="H24" s="10" t="n">
        <f aca="false">IFERROR('1. The Fund'!$B$30*(MIN('1. The Fund'!$C$30/40*C24,MAX(0,E24))*'2. Dilution Ladder'!$H$9+('1. The Fund'!$C$30/40*C24-MIN('1. The Fund'!$C$30/40*C24,MAX(0,E24)))*'2. Dilution Ladder'!$E$9)+'1. The Fund'!$B$31*(MIN('1. The Fund'!$C$31/40*C24,MAX(0,E24-'1. The Fund'!$C$30/40*C24))*'2. Dilution Ladder'!$H$9+('1. The Fund'!$C$31/40*C24-MIN('1. The Fund'!$C$31/40*C24,MAX(0,E24-'1. The Fund'!$C$30/40*C24)))*'2. Dilution Ladder'!$E$9)+'1. The Fund'!$B$32*(MIN('1. The Fund'!$C$32/40*C24,MAX(0,E24-'1. The Fund'!$C$30/40*C24-'1. The Fund'!$C$31/40*C24))*'2. Dilution Ladder'!$H$9+('1. The Fund'!$C$32/40*C24-MIN('1. The Fund'!$C$32/40*C24,MAX(0,E24-'1. The Fund'!$C$30/40*C24-'1. The Fund'!$C$31/40*C24)))*'2. Dilution Ladder'!$E$9)+'1. The Fund'!$B$33*(MIN('1. The Fund'!$C$33/40*C24,MAX(0,E24-'1. The Fund'!$C$30/40*C24-'1. The Fund'!$C$31/40*C24-'1. The Fund'!$C$32/40*C24))*'2. Dilution Ladder'!$H$9+('1. The Fund'!$C$33/40*C24-MIN('1. The Fund'!$C$33/40*C24,MAX(0,E24-'1. The Fund'!$C$30/40*C24-'1. The Fund'!$C$31/40*C24-'1. The Fund'!$C$32/40*C24)))*'2. Dilution Ladder'!$E$9),"")</f>
        <v>134423427.976957</v>
      </c>
      <c r="I24" s="10" t="n">
        <f aca="false">IFERROR(('1. The Fund'!$B$30*'1. The Fund'!$C$30+'1. The Fund'!$B$31*'1. The Fund'!$C$31+'1. The Fund'!$B$32*'1. The Fund'!$C$32+'1. The Fund'!$B$33*'1. The Fund'!$C$33)/40*C24*'2. Dilution Ladder'!$E$9+MIN(E24,C24)*('1. The Fund'!$B$30*'1. The Fund'!$C$30+'1. The Fund'!$B$31*'1. The Fund'!$C$31+'1. The Fund'!$B$32*'1. The Fund'!$C$32+'1. The Fund'!$B$33*'1. The Fund'!$C$33)/40*('2. Dilution Ladder'!$H$9-'2. Dilution Ladder'!$E$9),"")</f>
        <v>73134107.0118604</v>
      </c>
      <c r="L24" s="30" t="n">
        <f aca="false">IFERROR((L$8*$H24+(1-L$8)*$I24+MAX(0,$D24-$E24*'2. Dilution Ladder'!$G$9))/'1. The Fund'!$B$5,"")</f>
        <v>1.34423427976957</v>
      </c>
      <c r="M24" s="30" t="n">
        <f aca="false">IFERROR((M$8*$H24+(1-M$8)*$I24+MAX(0,$D24-$E24*'2. Dilution Ladder'!$G$9))/'1. The Fund'!$B$5,"")</f>
        <v>1.19101097735683</v>
      </c>
      <c r="N24" s="30" t="n">
        <f aca="false">IFERROR((N$8*$H24+(1-N$8)*$I24+MAX(0,$D24-$E24*'2. Dilution Ladder'!$G$9))/'1. The Fund'!$B$5,"")</f>
        <v>1.03778767494409</v>
      </c>
      <c r="O24" s="30" t="n">
        <f aca="false">IFERROR((O$8*$H24+(1-O$8)*$I24+MAX(0,$D24-$E24*'2. Dilution Ladder'!$G$9))/'1. The Fund'!$B$5,"")</f>
        <v>0.884564372531346</v>
      </c>
    </row>
    <row r="25" customFormat="false" ht="15" hidden="false" customHeight="false" outlineLevel="0" collapsed="false">
      <c r="A25" s="8" t="n">
        <v>0.8</v>
      </c>
      <c r="B25" s="10" t="n">
        <f aca="false">'1. The Fund'!$B$8*(1-A25)</f>
        <v>16000000</v>
      </c>
      <c r="C25" s="12" t="n">
        <f aca="false">IFERROR(B25/'1. The Fund'!$B$12,"")</f>
        <v>16</v>
      </c>
      <c r="D25" s="10" t="n">
        <f aca="false">'1. The Fund'!$B$8*A25</f>
        <v>64000000</v>
      </c>
      <c r="E25" s="31" t="n">
        <f aca="false">IFERROR(D25/'2. Dilution Ladder'!$G$9,"")</f>
        <v>4.33751270755676</v>
      </c>
      <c r="F25" s="10" t="n">
        <f aca="false">IFERROR($B$5*H25+(1-$B$5)*I25,"")</f>
        <v>108694333.842087</v>
      </c>
      <c r="G25" s="30" t="n">
        <f aca="false">IFERROR((F25+MAX(0,D25-E25*'2. Dilution Ladder'!$G$9))/'1. The Fund'!$B$5,"")</f>
        <v>1.08694333842087</v>
      </c>
      <c r="H25" s="10" t="n">
        <f aca="false">IFERROR('1. The Fund'!$B$30*(MIN('1. The Fund'!$C$30/40*C25,MAX(0,E25))*'2. Dilution Ladder'!$H$9+('1. The Fund'!$C$30/40*C25-MIN('1. The Fund'!$C$30/40*C25,MAX(0,E25)))*'2. Dilution Ladder'!$E$9)+'1. The Fund'!$B$31*(MIN('1. The Fund'!$C$31/40*C25,MAX(0,E25-'1. The Fund'!$C$30/40*C25))*'2. Dilution Ladder'!$H$9+('1. The Fund'!$C$31/40*C25-MIN('1. The Fund'!$C$31/40*C25,MAX(0,E25-'1. The Fund'!$C$30/40*C25)))*'2. Dilution Ladder'!$E$9)+'1. The Fund'!$B$32*(MIN('1. The Fund'!$C$32/40*C25,MAX(0,E25-'1. The Fund'!$C$30/40*C25-'1. The Fund'!$C$31/40*C25))*'2. Dilution Ladder'!$H$9+('1. The Fund'!$C$32/40*C25-MIN('1. The Fund'!$C$32/40*C25,MAX(0,E25-'1. The Fund'!$C$30/40*C25-'1. The Fund'!$C$31/40*C25)))*'2. Dilution Ladder'!$E$9)+'1. The Fund'!$B$33*(MIN('1. The Fund'!$C$33/40*C25,MAX(0,E25-'1. The Fund'!$C$30/40*C25-'1. The Fund'!$C$31/40*C25-'1. The Fund'!$C$32/40*C25))*'2. Dilution Ladder'!$H$9+('1. The Fund'!$C$33/40*C25-MIN('1. The Fund'!$C$33/40*C25,MAX(0,E25-'1. The Fund'!$C$30/40*C25-'1. The Fund'!$C$31/40*C25-'1. The Fund'!$C$32/40*C25)))*'2. Dilution Ladder'!$E$9),"")</f>
        <v>108694333.842087</v>
      </c>
      <c r="I25" s="10" t="n">
        <f aca="false">IFERROR(('1. The Fund'!$B$30*'1. The Fund'!$C$30+'1. The Fund'!$B$31*'1. The Fund'!$C$31+'1. The Fund'!$B$32*'1. The Fund'!$C$32+'1. The Fund'!$B$33*'1. The Fund'!$C$33)/40*C25*'2. Dilution Ladder'!$E$9+MIN(E25,C25)*('1. The Fund'!$B$30*'1. The Fund'!$C$30+'1. The Fund'!$B$31*'1. The Fund'!$C$31+'1. The Fund'!$B$32*'1. The Fund'!$C$32+'1. The Fund'!$B$33*'1. The Fund'!$C$33)/40*('2. Dilution Ladder'!$H$9-'2. Dilution Ladder'!$E$9),"")</f>
        <v>62927422.9459844</v>
      </c>
      <c r="L25" s="30" t="n">
        <f aca="false">IFERROR((L$8*$H25+(1-L$8)*$I25+MAX(0,$D25-$E25*'2. Dilution Ladder'!$G$9))/'1. The Fund'!$B$5,"")</f>
        <v>1.08694333842087</v>
      </c>
      <c r="M25" s="30" t="n">
        <f aca="false">IFERROR((M$8*$H25+(1-M$8)*$I25+MAX(0,$D25-$E25*'2. Dilution Ladder'!$G$9))/'1. The Fund'!$B$5,"")</f>
        <v>0.972526061180617</v>
      </c>
      <c r="N25" s="30" t="n">
        <f aca="false">IFERROR((N$8*$H25+(1-N$8)*$I25+MAX(0,$D25-$E25*'2. Dilution Ladder'!$G$9))/'1. The Fund'!$B$5,"")</f>
        <v>0.858108783940359</v>
      </c>
      <c r="O25" s="30" t="n">
        <f aca="false">IFERROR((O$8*$H25+(1-O$8)*$I25+MAX(0,$D25-$E25*'2. Dilution Ladder'!$G$9))/'1. The Fund'!$B$5,"")</f>
        <v>0.743691506700102</v>
      </c>
    </row>
    <row r="27" customFormat="false" ht="15" hidden="false" customHeight="false" outlineLevel="0" collapsed="false">
      <c r="A27" s="17" t="s">
        <v>146</v>
      </c>
      <c r="B27" s="37" t="n">
        <f aca="false">IFERROR(INDEX(A9:A25,MATCH(MAX(G9:G25),G9:G25,0)),"")</f>
        <v>0.25</v>
      </c>
      <c r="D27" s="26" t="n">
        <f aca="false">IFERROR(MAX(G9:G25),"")</f>
        <v>3.14124708565232</v>
      </c>
    </row>
    <row r="28" customFormat="false" ht="15" hidden="false" customHeight="false" outlineLevel="0" collapsed="false">
      <c r="A28" s="17" t="s">
        <v>147</v>
      </c>
      <c r="B28" s="14" t="n">
        <v>0.5</v>
      </c>
      <c r="D28" s="32" t="n">
        <f aca="false">IFERROR(INDEX(G9:G25,MATCH(0.5,A9:A25,0)),"")</f>
        <v>2.4703398376957</v>
      </c>
    </row>
    <row r="29" customFormat="false" ht="15" hidden="false" customHeight="false" outlineLevel="0" collapsed="false">
      <c r="A29" s="17" t="s">
        <v>148</v>
      </c>
      <c r="D29" s="33" t="n">
        <f aca="false">IFERROR((D27-D28)*'1. The Fund'!$B$5,"")</f>
        <v>67090724.7956625</v>
      </c>
      <c r="J29" s="13" t="str">
        <f aca="false">IF(D29="","",IF(D29&gt;0,"the convention costs this much","the convention is optimal here"))</f>
        <v>the convention costs this much</v>
      </c>
    </row>
    <row r="31" customFormat="false" ht="51.75" hidden="false" customHeight="true" outlineLevel="0" collapsed="false">
      <c r="A31" s="24" t="s">
        <v>149</v>
      </c>
      <c r="B31" s="24"/>
      <c r="C31" s="24"/>
      <c r="D31" s="24"/>
      <c r="E31" s="24"/>
      <c r="F31" s="24"/>
      <c r="G31" s="24"/>
      <c r="H31" s="24"/>
      <c r="I31" s="24"/>
    </row>
    <row r="33" customFormat="false" ht="15" hidden="false" customHeight="false" outlineLevel="0" collapsed="false">
      <c r="A33" s="17" t="s">
        <v>150</v>
      </c>
    </row>
    <row r="34" customFormat="false" ht="15" hidden="false" customHeight="false" outlineLevel="0" collapsed="false">
      <c r="A34" s="15" t="s">
        <v>151</v>
      </c>
      <c r="B34" s="15" t="s">
        <v>146</v>
      </c>
      <c r="C34" s="15" t="s">
        <v>152</v>
      </c>
      <c r="D34" s="15" t="s">
        <v>153</v>
      </c>
      <c r="E34" s="15" t="s">
        <v>154</v>
      </c>
    </row>
    <row r="35" customFormat="false" ht="15" hidden="false" customHeight="false" outlineLevel="0" collapsed="false">
      <c r="A35" s="31" t="n">
        <f aca="false">L8</f>
        <v>1</v>
      </c>
      <c r="B35" s="38" t="n">
        <f aca="false">IFERROR(INDEX($A$9:$A$25,MATCH(MAX(L9:L25),L9:L25,0)),"")</f>
        <v>0.25</v>
      </c>
      <c r="C35" s="26" t="n">
        <f aca="false">IFERROR(MAX(L9:L25),"")</f>
        <v>3.14124708565232</v>
      </c>
      <c r="D35" s="32" t="n">
        <f aca="false">IFERROR(INDEX(L9:L25,MATCH(0.5,$A$9:$A$25,0)),"")</f>
        <v>2.4703398376957</v>
      </c>
      <c r="E35" s="33" t="n">
        <f aca="false">IFERROR((C35-D35)*'1. The Fund'!$B$5,"")</f>
        <v>67090724.7956625</v>
      </c>
    </row>
    <row r="36" customFormat="false" ht="15" hidden="false" customHeight="false" outlineLevel="0" collapsed="false">
      <c r="A36" s="31" t="n">
        <f aca="false">M8</f>
        <v>0.75</v>
      </c>
      <c r="B36" s="38" t="n">
        <f aca="false">IFERROR(INDEX($A$9:$A$25,MATCH(MAX(M9:M25),M9:M25,0)),"")</f>
        <v>0.25</v>
      </c>
      <c r="C36" s="26" t="n">
        <f aca="false">IFERROR(MAX(M9:M25),"")</f>
        <v>2.79393768341579</v>
      </c>
      <c r="D36" s="32" t="n">
        <f aca="false">IFERROR(INDEX(M9:M25,MATCH(0.5,$A$9:$A$25,0)),"")</f>
        <v>2.16317369662487</v>
      </c>
      <c r="E36" s="33" t="n">
        <f aca="false">IFERROR((C36-D36)*'1. The Fund'!$B$5,"")</f>
        <v>63076398.6790918</v>
      </c>
    </row>
    <row r="37" customFormat="false" ht="15" hidden="false" customHeight="false" outlineLevel="0" collapsed="false">
      <c r="A37" s="31" t="n">
        <f aca="false">N8</f>
        <v>0.5</v>
      </c>
      <c r="B37" s="38" t="n">
        <f aca="false">IFERROR(INDEX($A$9:$A$25,MATCH(MAX(N9:N25),N9:N25,0)),"")</f>
        <v>0.25</v>
      </c>
      <c r="C37" s="26" t="n">
        <f aca="false">IFERROR(MAX(N9:N25),"")</f>
        <v>2.44662828117926</v>
      </c>
      <c r="D37" s="32" t="n">
        <f aca="false">IFERROR(INDEX(N9:N25,MATCH(0.5,$A$9:$A$25,0)),"")</f>
        <v>1.85600755555405</v>
      </c>
      <c r="E37" s="33" t="n">
        <f aca="false">IFERROR((C37-D37)*'1. The Fund'!$B$5,"")</f>
        <v>59062072.5625212</v>
      </c>
    </row>
    <row r="38" customFormat="false" ht="15" hidden="false" customHeight="false" outlineLevel="0" collapsed="false">
      <c r="A38" s="31" t="n">
        <f aca="false">O8</f>
        <v>0.25</v>
      </c>
      <c r="B38" s="38" t="n">
        <f aca="false">IFERROR(INDEX($A$9:$A$25,MATCH(MAX(O9:O25),O9:O25,0)),"")</f>
        <v>0</v>
      </c>
      <c r="C38" s="26" t="n">
        <f aca="false">IFERROR(MAX(O9:O25),"")</f>
        <v>2.26234368</v>
      </c>
      <c r="D38" s="32" t="n">
        <f aca="false">IFERROR(INDEX(O9:O25,MATCH(0.5,$A$9:$A$25,0)),"")</f>
        <v>1.54884141448323</v>
      </c>
      <c r="E38" s="33" t="n">
        <f aca="false">IFERROR((C38-D38)*'1. The Fund'!$B$5,"")</f>
        <v>71350226.5516774</v>
      </c>
    </row>
    <row r="39" customFormat="false" ht="15" hidden="false" customHeight="false" outlineLevel="0" collapsed="false">
      <c r="A39" s="17" t="s">
        <v>155</v>
      </c>
      <c r="D39" s="33" t="n">
        <f aca="false">MIN(E35:E38)</f>
        <v>59062072.5625212</v>
      </c>
      <c r="E39" s="33" t="n">
        <f aca="false">MAX(E35:E38)</f>
        <v>71350226.5516774</v>
      </c>
    </row>
  </sheetData>
  <mergeCells count="1">
    <mergeCell ref="A31:I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7"/>
    <col collapsed="false" customWidth="true" hidden="false" outlineLevel="0" max="5" min="5" style="0" width="24"/>
  </cols>
  <sheetData>
    <row r="1" customFormat="false" ht="17.35" hidden="false" customHeight="false" outlineLevel="0" collapsed="false">
      <c r="A1" s="5" t="s">
        <v>156</v>
      </c>
    </row>
    <row r="2" customFormat="false" ht="15" hidden="false" customHeight="false" outlineLevel="0" collapsed="false">
      <c r="A2" s="2" t="s">
        <v>157</v>
      </c>
    </row>
    <row r="4" customFormat="false" ht="30" hidden="false" customHeight="true" outlineLevel="0" collapsed="false">
      <c r="A4" s="15" t="s">
        <v>158</v>
      </c>
      <c r="B4" s="15" t="s">
        <v>159</v>
      </c>
      <c r="C4" s="15" t="s">
        <v>160</v>
      </c>
      <c r="D4" s="15" t="s">
        <v>161</v>
      </c>
      <c r="E4" s="15" t="s">
        <v>82</v>
      </c>
    </row>
    <row r="5" customFormat="false" ht="15" hidden="false" customHeight="false" outlineLevel="0" collapsed="false">
      <c r="A5" s="13" t="s">
        <v>24</v>
      </c>
      <c r="B5" s="10" t="n">
        <v>80000000</v>
      </c>
      <c r="C5" s="10" t="n">
        <f aca="false">'1. The Fund'!B8</f>
        <v>80000000</v>
      </c>
      <c r="D5" s="39" t="str">
        <f aca="false">IF(C5="","",IF(ABS(C5-B5)&lt;=500,"OK","CHECK"))</f>
        <v>OK</v>
      </c>
      <c r="E5" s="13" t="s">
        <v>162</v>
      </c>
    </row>
    <row r="6" customFormat="false" ht="15" hidden="false" customHeight="false" outlineLevel="0" collapsed="false">
      <c r="A6" s="13" t="s">
        <v>163</v>
      </c>
      <c r="B6" s="16" t="n">
        <v>0.1</v>
      </c>
      <c r="C6" s="16" t="n">
        <f aca="false">'1. The Fund'!B17</f>
        <v>0.1</v>
      </c>
      <c r="D6" s="39" t="str">
        <f aca="false">IF(C6="","",IF(ABS(C6-B6)&lt;=0.00005,"OK","CHECK"))</f>
        <v>OK</v>
      </c>
      <c r="E6" s="13" t="s">
        <v>164</v>
      </c>
    </row>
    <row r="7" customFormat="false" ht="15" hidden="false" customHeight="false" outlineLevel="0" collapsed="false">
      <c r="A7" s="13" t="s">
        <v>74</v>
      </c>
      <c r="B7" s="12" t="n">
        <v>40</v>
      </c>
      <c r="C7" s="12" t="n">
        <f aca="false">'1. The Fund'!B13</f>
        <v>40</v>
      </c>
      <c r="D7" s="39" t="str">
        <f aca="false">IF(C7="","",IF(ABS(C7-B7)&lt;=0.005,"OK","CHECK"))</f>
        <v>OK</v>
      </c>
      <c r="E7" s="13" t="s">
        <v>165</v>
      </c>
    </row>
    <row r="8" customFormat="false" ht="15" hidden="false" customHeight="false" outlineLevel="0" collapsed="false">
      <c r="A8" s="13" t="s">
        <v>166</v>
      </c>
      <c r="B8" s="16" t="n">
        <v>0.037</v>
      </c>
      <c r="C8" s="16" t="n">
        <f aca="false">'2. Dilution Ladder'!E9</f>
        <v>0.0369664</v>
      </c>
      <c r="D8" s="39" t="str">
        <f aca="false">IF(C8="","",IF(ABS(C8-B8)&lt;=0.00005,"OK","CHECK"))</f>
        <v>OK</v>
      </c>
      <c r="E8" s="13" t="s">
        <v>164</v>
      </c>
    </row>
    <row r="9" customFormat="false" ht="15" hidden="false" customHeight="false" outlineLevel="0" collapsed="false">
      <c r="A9" s="13" t="s">
        <v>167</v>
      </c>
      <c r="B9" s="16" t="n">
        <v>0.0903</v>
      </c>
      <c r="C9" s="16" t="n">
        <f aca="false">'2. Dilution Ladder'!H9</f>
        <v>0.09025</v>
      </c>
      <c r="D9" s="39" t="str">
        <f aca="false">IF(C9="","",IF(ABS(C9-B9)&lt;=0.000051,"OK","CHECK"))</f>
        <v>OK</v>
      </c>
      <c r="E9" s="13" t="s">
        <v>168</v>
      </c>
    </row>
    <row r="10" customFormat="false" ht="15" hidden="false" customHeight="false" outlineLevel="0" collapsed="false">
      <c r="A10" s="13" t="s">
        <v>169</v>
      </c>
      <c r="B10" s="20" t="n">
        <v>14760000</v>
      </c>
      <c r="C10" s="20" t="n">
        <f aca="false">'2. Dilution Ladder'!G9</f>
        <v>14755000</v>
      </c>
      <c r="D10" s="39" t="str">
        <f aca="false">IF(C10="","",IF(ABS(C10-B10)&lt;=5000,"OK","CHECK"))</f>
        <v>OK</v>
      </c>
      <c r="E10" s="13" t="s">
        <v>170</v>
      </c>
    </row>
    <row r="11" customFormat="false" ht="15" hidden="false" customHeight="false" outlineLevel="0" collapsed="false">
      <c r="A11" s="13" t="s">
        <v>171</v>
      </c>
      <c r="B11" s="20" t="n">
        <v>9025000</v>
      </c>
      <c r="C11" s="20" t="n">
        <f aca="false">'3. What the Pool Buys'!B21</f>
        <v>9025000</v>
      </c>
      <c r="D11" s="39" t="str">
        <f aca="false">IF(C11="","",IF(ABS(C11-B11)&lt;=5000,"OK","CHECK"))</f>
        <v>OK</v>
      </c>
      <c r="E11" s="13" t="s">
        <v>170</v>
      </c>
    </row>
    <row r="12" customFormat="false" ht="15" hidden="false" customHeight="false" outlineLevel="0" collapsed="false">
      <c r="A12" s="13" t="s">
        <v>172</v>
      </c>
      <c r="B12" s="31" t="n">
        <v>2.71</v>
      </c>
      <c r="C12" s="31" t="n">
        <f aca="false">'3. What the Pool Buys'!B7</f>
        <v>2.71094544222298</v>
      </c>
      <c r="D12" s="39" t="str">
        <f aca="false">IF(C12="","",IF(ABS(C12-B12)&lt;=0.005,"OK","CHECK"))</f>
        <v>OK</v>
      </c>
      <c r="E12" s="13" t="s">
        <v>165</v>
      </c>
    </row>
    <row r="13" customFormat="false" ht="15" hidden="false" customHeight="false" outlineLevel="0" collapsed="false">
      <c r="A13" s="13" t="s">
        <v>173</v>
      </c>
      <c r="B13" s="30" t="n">
        <v>14.76</v>
      </c>
      <c r="C13" s="30" t="n">
        <f aca="false">'3. What the Pool Buys'!B11</f>
        <v>14.755</v>
      </c>
      <c r="D13" s="39" t="str">
        <f aca="false">IF(C13="","",IF(ABS(C13-B13)&lt;=0.0051,"OK","CHECK"))</f>
        <v>OK</v>
      </c>
      <c r="E13" s="13" t="s">
        <v>174</v>
      </c>
    </row>
    <row r="14" customFormat="false" ht="15" hidden="false" customHeight="false" outlineLevel="0" collapsed="false">
      <c r="A14" s="13" t="s">
        <v>175</v>
      </c>
      <c r="B14" s="30" t="n">
        <v>1.53</v>
      </c>
      <c r="C14" s="30" t="n">
        <f aca="false">'4. Four Strategies'!G16</f>
        <v>1.53117184</v>
      </c>
      <c r="D14" s="39" t="str">
        <f aca="false">IF(C14="","",IF(ABS(C14-B14)&lt;=0.005,"OK","CHECK"))</f>
        <v>OK</v>
      </c>
      <c r="E14" s="13" t="s">
        <v>165</v>
      </c>
    </row>
    <row r="15" customFormat="false" ht="15" hidden="false" customHeight="false" outlineLevel="0" collapsed="false">
      <c r="A15" s="13" t="s">
        <v>176</v>
      </c>
      <c r="B15" s="30" t="n">
        <v>1.9</v>
      </c>
      <c r="C15" s="30" t="n">
        <f aca="false">'4. Four Strategies'!G17</f>
        <v>1.90057984</v>
      </c>
      <c r="D15" s="39" t="str">
        <f aca="false">IF(C15="","",IF(ABS(C15-B15)&lt;=0.005,"OK","CHECK"))</f>
        <v>OK</v>
      </c>
      <c r="E15" s="13" t="s">
        <v>165</v>
      </c>
    </row>
    <row r="16" customFormat="false" ht="15" hidden="false" customHeight="false" outlineLevel="0" collapsed="false">
      <c r="A16" s="13" t="s">
        <v>177</v>
      </c>
      <c r="B16" s="30" t="n">
        <v>2.47</v>
      </c>
      <c r="C16" s="30" t="n">
        <f aca="false">'4. Four Strategies'!G18</f>
        <v>2.4703398376957</v>
      </c>
      <c r="D16" s="39" t="str">
        <f aca="false">IF(C16="","",IF(ABS(C16-B16)&lt;=0.005,"OK","CHECK"))</f>
        <v>OK</v>
      </c>
      <c r="E16" s="13" t="s">
        <v>165</v>
      </c>
    </row>
    <row r="17" customFormat="false" ht="15" hidden="false" customHeight="false" outlineLevel="0" collapsed="false">
      <c r="A17" s="13" t="s">
        <v>178</v>
      </c>
      <c r="B17" s="30" t="n">
        <v>3.35</v>
      </c>
      <c r="C17" s="30" t="n">
        <f aca="false">'4. Four Strategies'!H18</f>
        <v>3.34791999423924</v>
      </c>
      <c r="D17" s="39" t="str">
        <f aca="false">IF(C17="","",IF(ABS(C17-B17)&lt;=0.005,"OK","CHECK"))</f>
        <v>OK</v>
      </c>
      <c r="E17" s="13" t="s">
        <v>165</v>
      </c>
    </row>
    <row r="18" customFormat="false" ht="15" hidden="false" customHeight="false" outlineLevel="0" collapsed="false">
      <c r="A18" s="13" t="s">
        <v>179</v>
      </c>
      <c r="B18" s="14" t="n">
        <v>0.25</v>
      </c>
      <c r="C18" s="14" t="n">
        <f aca="false">'5. The Reserve Ratio'!B27</f>
        <v>0.25</v>
      </c>
      <c r="D18" s="39" t="str">
        <f aca="false">IF(C18="","",IF(ABS(C18-B18)&lt;=0.0001,"OK","CHECK"))</f>
        <v>OK</v>
      </c>
      <c r="E18" s="13" t="s">
        <v>180</v>
      </c>
    </row>
    <row r="19" customFormat="false" ht="15" hidden="false" customHeight="false" outlineLevel="0" collapsed="false">
      <c r="A19" s="13" t="s">
        <v>181</v>
      </c>
      <c r="B19" s="30" t="n">
        <v>3.14</v>
      </c>
      <c r="C19" s="30" t="n">
        <f aca="false">'5. The Reserve Ratio'!D27</f>
        <v>3.14124708565232</v>
      </c>
      <c r="D19" s="39" t="str">
        <f aca="false">IF(C19="","",IF(ABS(C19-B19)&lt;=0.005,"OK","CHECK"))</f>
        <v>OK</v>
      </c>
      <c r="E19" s="13" t="s">
        <v>182</v>
      </c>
    </row>
    <row r="20" customFormat="false" ht="15" hidden="false" customHeight="false" outlineLevel="0" collapsed="false">
      <c r="A20" s="13" t="s">
        <v>183</v>
      </c>
      <c r="B20" s="30" t="n">
        <v>2.47</v>
      </c>
      <c r="C20" s="30" t="n">
        <f aca="false">'5. The Reserve Ratio'!D28</f>
        <v>2.4703398376957</v>
      </c>
      <c r="D20" s="39" t="str">
        <f aca="false">IF(C20="","",IF(ABS(C20-B20)&lt;=0.005,"OK","CHECK"))</f>
        <v>OK</v>
      </c>
      <c r="E20" s="13" t="s">
        <v>165</v>
      </c>
    </row>
    <row r="21" customFormat="false" ht="15" hidden="false" customHeight="false" outlineLevel="0" collapsed="false">
      <c r="A21" s="13" t="s">
        <v>184</v>
      </c>
      <c r="B21" s="16" t="n">
        <v>0.076</v>
      </c>
      <c r="C21" s="16" t="n">
        <f aca="false">'2. Dilution Ladder'!E5</f>
        <v>0.076</v>
      </c>
      <c r="D21" s="39" t="str">
        <f aca="false">IF(C21="","",IF(ABS(C21-B21)&lt;=0.00005,"OK","CHECK"))</f>
        <v>OK</v>
      </c>
      <c r="E21" s="13" t="s">
        <v>164</v>
      </c>
    </row>
    <row r="22" customFormat="false" ht="15" hidden="false" customHeight="false" outlineLevel="0" collapsed="false">
      <c r="A22" s="13" t="s">
        <v>185</v>
      </c>
      <c r="B22" s="16" t="n">
        <v>0.0578</v>
      </c>
      <c r="C22" s="16" t="n">
        <f aca="false">'2. Dilution Ladder'!E6</f>
        <v>0.05776</v>
      </c>
      <c r="D22" s="39" t="str">
        <f aca="false">IF(C22="","",IF(ABS(C22-B22)&lt;=0.00005,"OK","CHECK"))</f>
        <v>OK</v>
      </c>
      <c r="E22" s="13" t="s">
        <v>164</v>
      </c>
    </row>
    <row r="23" customFormat="false" ht="15" hidden="false" customHeight="false" outlineLevel="0" collapsed="false">
      <c r="A23" s="13" t="s">
        <v>186</v>
      </c>
      <c r="B23" s="16" t="n">
        <v>0.0462</v>
      </c>
      <c r="C23" s="16" t="n">
        <f aca="false">'2. Dilution Ladder'!E7</f>
        <v>0.046208</v>
      </c>
      <c r="D23" s="39" t="str">
        <f aca="false">IF(C23="","",IF(ABS(C23-B23)&lt;=0.00005,"OK","CHECK"))</f>
        <v>OK</v>
      </c>
      <c r="E23" s="13" t="s">
        <v>164</v>
      </c>
    </row>
    <row r="24" customFormat="false" ht="15" hidden="false" customHeight="false" outlineLevel="0" collapsed="false">
      <c r="A24" s="13" t="s">
        <v>187</v>
      </c>
      <c r="B24" s="40" t="n">
        <v>0.37</v>
      </c>
      <c r="C24" s="40" t="n">
        <f aca="false">'2. Dilution Ladder'!E11</f>
        <v>0.369664</v>
      </c>
      <c r="D24" s="39" t="str">
        <f aca="false">IF(C24="","",IF(ABS(C24-B24)&lt;=0.005,"OK","CHECK"))</f>
        <v>OK</v>
      </c>
      <c r="E24" s="13" t="s">
        <v>165</v>
      </c>
    </row>
    <row r="25" customFormat="false" ht="15" hidden="false" customHeight="false" outlineLevel="0" collapsed="false">
      <c r="A25" s="13" t="s">
        <v>188</v>
      </c>
      <c r="B25" s="41" t="n">
        <v>590000000</v>
      </c>
      <c r="C25" s="41" t="n">
        <f aca="false">'3. What the Pool Buys'!B10</f>
        <v>590200000</v>
      </c>
      <c r="D25" s="39" t="str">
        <f aca="false">IF(C25="","",IF(ABS(C25-B25)&lt;=500000,"OK","CHECK"))</f>
        <v>OK</v>
      </c>
      <c r="E25" s="13" t="s">
        <v>189</v>
      </c>
    </row>
    <row r="26" customFormat="false" ht="15" hidden="false" customHeight="false" outlineLevel="0" collapsed="false">
      <c r="A26" s="13" t="s">
        <v>190</v>
      </c>
      <c r="B26" s="40" t="n">
        <v>0.61</v>
      </c>
      <c r="C26" s="40" t="n">
        <f aca="false">'3. What the Pool Buys'!C21</f>
        <v>0.611657065401559</v>
      </c>
      <c r="D26" s="39" t="str">
        <f aca="false">IF(C26="","",IF(ABS(C26-B26)&lt;=0.005,"OK","CHECK"))</f>
        <v>OK</v>
      </c>
      <c r="E26" s="13" t="s">
        <v>165</v>
      </c>
    </row>
    <row r="27" customFormat="false" ht="15" hidden="false" customHeight="false" outlineLevel="0" collapsed="false">
      <c r="A27" s="13" t="s">
        <v>191</v>
      </c>
      <c r="B27" s="30" t="n">
        <v>2.45</v>
      </c>
      <c r="C27" s="30" t="n">
        <f aca="false">'4. Four Strategies'!G19</f>
        <v>2.44929384</v>
      </c>
      <c r="D27" s="39" t="str">
        <f aca="false">IF(C27="","",IF(ABS(C27-B27)&lt;=0.005,"OK","CHECK"))</f>
        <v>OK</v>
      </c>
      <c r="E27" s="13" t="s">
        <v>165</v>
      </c>
    </row>
    <row r="28" customFormat="false" ht="15" hidden="false" customHeight="false" outlineLevel="0" collapsed="false">
      <c r="A28" s="13" t="s">
        <v>192</v>
      </c>
      <c r="B28" s="41" t="n">
        <v>25000000</v>
      </c>
      <c r="C28" s="41" t="n">
        <f aca="false">'4. Four Strategies'!D19</f>
        <v>25245000</v>
      </c>
      <c r="D28" s="39" t="str">
        <f aca="false">IF(C28="","",IF(ABS(C28-B28)&lt;=500000,"OK","CHECK"))</f>
        <v>OK</v>
      </c>
      <c r="E28" s="13" t="s">
        <v>189</v>
      </c>
    </row>
    <row r="29" customFormat="false" ht="15" hidden="false" customHeight="false" outlineLevel="0" collapsed="false">
      <c r="A29" s="13" t="s">
        <v>193</v>
      </c>
      <c r="B29" s="41" t="n">
        <v>57000000</v>
      </c>
      <c r="C29" s="41" t="n">
        <f aca="false">'4. Four Strategies'!B23</f>
        <v>56975999.7695696</v>
      </c>
      <c r="D29" s="39" t="str">
        <f aca="false">IF(C29="","",IF(ABS(C29-B29)&lt;=500000,"OK","CHECK"))</f>
        <v>OK</v>
      </c>
      <c r="E29" s="13" t="s">
        <v>189</v>
      </c>
    </row>
    <row r="30" customFormat="false" ht="15" hidden="false" customHeight="false" outlineLevel="0" collapsed="false">
      <c r="A30" s="13" t="s">
        <v>194</v>
      </c>
      <c r="B30" s="30" t="n">
        <v>1.92</v>
      </c>
      <c r="C30" s="30" t="n">
        <f aca="false">'4. Four Strategies'!H17</f>
        <v>1.92352</v>
      </c>
      <c r="D30" s="39" t="str">
        <f aca="false">IF(C30="","",IF(ABS(C30-B30)&lt;=0.005,"OK","CHECK"))</f>
        <v>OK</v>
      </c>
      <c r="E30" s="13" t="s">
        <v>165</v>
      </c>
    </row>
    <row r="31" customFormat="false" ht="15" hidden="false" customHeight="false" outlineLevel="0" collapsed="false">
      <c r="A31" s="13" t="s">
        <v>195</v>
      </c>
      <c r="B31" s="41" t="n">
        <v>67000000</v>
      </c>
      <c r="C31" s="41" t="n">
        <f aca="false">'5. The Reserve Ratio'!D29</f>
        <v>67090724.7956625</v>
      </c>
      <c r="D31" s="39" t="str">
        <f aca="false">IF(C31="","",IF(ABS(C31-B31)&lt;=500000,"OK","CHECK"))</f>
        <v>OK</v>
      </c>
      <c r="E31" s="13" t="s">
        <v>189</v>
      </c>
    </row>
    <row r="32" customFormat="false" ht="15" hidden="false" customHeight="false" outlineLevel="0" collapsed="false">
      <c r="A32" s="13" t="s">
        <v>196</v>
      </c>
      <c r="B32" s="40" t="n">
        <v>0.25</v>
      </c>
      <c r="C32" s="40" t="n">
        <f aca="false">'5. The Reserve Ratio'!B36</f>
        <v>0.25</v>
      </c>
      <c r="D32" s="39" t="str">
        <f aca="false">IF(C32="","",IF(ABS(C32-B32)&lt;=0.0001,"OK","CHECK"))</f>
        <v>OK</v>
      </c>
      <c r="E32" s="13" t="s">
        <v>180</v>
      </c>
    </row>
    <row r="33" customFormat="false" ht="15" hidden="false" customHeight="false" outlineLevel="0" collapsed="false">
      <c r="A33" s="13" t="s">
        <v>197</v>
      </c>
      <c r="B33" s="40" t="n">
        <v>0.25</v>
      </c>
      <c r="C33" s="40" t="n">
        <f aca="false">'5. The Reserve Ratio'!B37</f>
        <v>0.25</v>
      </c>
      <c r="D33" s="39" t="str">
        <f aca="false">IF(C33="","",IF(ABS(C33-B33)&lt;=0.0001,"OK","CHECK"))</f>
        <v>OK</v>
      </c>
      <c r="E33" s="13" t="s">
        <v>198</v>
      </c>
    </row>
    <row r="34" customFormat="false" ht="15" hidden="false" customHeight="false" outlineLevel="0" collapsed="false">
      <c r="A34" s="13" t="s">
        <v>199</v>
      </c>
      <c r="B34" s="40" t="n">
        <v>0</v>
      </c>
      <c r="C34" s="40" t="n">
        <f aca="false">'5. The Reserve Ratio'!B38</f>
        <v>0</v>
      </c>
      <c r="D34" s="39" t="str">
        <f aca="false">IF(C34="","",IF(ABS(C34-B34)&lt;=0.0001,"OK","CHECK"))</f>
        <v>OK</v>
      </c>
      <c r="E34" s="13" t="s">
        <v>200</v>
      </c>
    </row>
    <row r="35" customFormat="false" ht="15" hidden="false" customHeight="false" outlineLevel="0" collapsed="false">
      <c r="A35" s="13" t="s">
        <v>201</v>
      </c>
      <c r="B35" s="41" t="n">
        <v>59000000</v>
      </c>
      <c r="C35" s="41" t="n">
        <f aca="false">'5. The Reserve Ratio'!D39</f>
        <v>59062072.5625212</v>
      </c>
      <c r="D35" s="39" t="str">
        <f aca="false">IF(C35="","",IF(ABS(C35-B35)&lt;=500000,"OK","CHECK"))</f>
        <v>OK</v>
      </c>
      <c r="E35" s="13" t="s">
        <v>202</v>
      </c>
    </row>
    <row r="36" customFormat="false" ht="15" hidden="false" customHeight="false" outlineLevel="0" collapsed="false">
      <c r="A36" s="13" t="s">
        <v>203</v>
      </c>
      <c r="B36" s="41" t="n">
        <v>71000000</v>
      </c>
      <c r="C36" s="41" t="n">
        <f aca="false">'5. The Reserve Ratio'!E39</f>
        <v>71350226.5516774</v>
      </c>
      <c r="D36" s="39" t="str">
        <f aca="false">IF(C36="","",IF(ABS(C36-B36)&lt;=500000,"OK","CHECK"))</f>
        <v>OK</v>
      </c>
      <c r="E36" s="13" t="s">
        <v>204</v>
      </c>
    </row>
    <row r="37" customFormat="false" ht="15" hidden="false" customHeight="false" outlineLevel="0" collapsed="false">
      <c r="A37" s="13" t="s">
        <v>205</v>
      </c>
      <c r="B37" s="30" t="n">
        <v>1.08</v>
      </c>
      <c r="C37" s="30" t="n">
        <f aca="false">'4. Four Strategies'!B35</f>
        <v>1.08336699423924</v>
      </c>
      <c r="D37" s="39" t="str">
        <f aca="false">IF(C37="","",IF(ABS(C37-B37)&lt;=0.005,"OK","CHECK"))</f>
        <v>OK</v>
      </c>
      <c r="E37" s="13" t="s">
        <v>206</v>
      </c>
    </row>
    <row r="38" customFormat="false" ht="15" hidden="false" customHeight="false" outlineLevel="0" collapsed="false">
      <c r="A38" s="13" t="s">
        <v>207</v>
      </c>
      <c r="B38" s="30" t="n">
        <v>1.6</v>
      </c>
      <c r="C38" s="30" t="n">
        <f aca="false">0.08*'1. The Fund'!B30/'1. The Fund'!B5</f>
        <v>1.6</v>
      </c>
      <c r="D38" s="39" t="str">
        <f aca="false">IF(C38="","",IF(ABS(C38-B38)&lt;=0.005,"OK","CHECK"))</f>
        <v>OK</v>
      </c>
      <c r="E38" s="13" t="s">
        <v>208</v>
      </c>
    </row>
    <row r="39" customFormat="false" ht="15" hidden="false" customHeight="false" outlineLevel="0" collapsed="false">
      <c r="A39" s="13" t="s">
        <v>209</v>
      </c>
      <c r="B39" s="30" t="n">
        <v>0.4</v>
      </c>
      <c r="C39" s="30" t="n">
        <f aca="false">0.02*'1. The Fund'!B30/'1. The Fund'!B5</f>
        <v>0.4</v>
      </c>
      <c r="D39" s="39" t="str">
        <f aca="false">IF(C39="","",IF(ABS(C39-B39)&lt;=0.005,"OK","CHECK"))</f>
        <v>OK</v>
      </c>
      <c r="E39" s="13" t="s">
        <v>165</v>
      </c>
    </row>
    <row r="40" customFormat="false" ht="15" hidden="false" customHeight="false" outlineLevel="0" collapsed="false">
      <c r="A40" s="13" t="s">
        <v>210</v>
      </c>
      <c r="B40" s="29" t="n">
        <v>40</v>
      </c>
      <c r="C40" s="29" t="n">
        <f aca="false">'1. The Fund'!C35</f>
        <v>40</v>
      </c>
      <c r="D40" s="39" t="str">
        <f aca="false">IF(C40="","",IF(ABS(C40-B40)&lt;=0,"OK","CHECK"))</f>
        <v>OK</v>
      </c>
      <c r="E40" s="13" t="s">
        <v>211</v>
      </c>
    </row>
    <row r="42" customFormat="false" ht="15" hidden="false" customHeight="false" outlineLevel="0" collapsed="false">
      <c r="A42" s="13" t="s">
        <v>212</v>
      </c>
      <c r="B42" s="29" t="n">
        <f aca="false">COUNTIF(D5:D40,"OK")</f>
        <v>36</v>
      </c>
      <c r="C42" s="29" t="n">
        <f aca="false">COUNTA(D5:D40)</f>
        <v>36</v>
      </c>
      <c r="D42" s="39" t="str">
        <f aca="false">IF(B42=C42,"ALL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2026-08-22T07:02:13Z</dcterms:created>
  <dc:creator>openpyxl</dc:creator>
  <dc:description/>
  <dc:language>en-US</dc:language>
  <cp:lastModifiedBy/>
  <dcterms:modified xsi:type="dcterms:W3CDTF">2026-09-24T00:46:51Z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