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The Inputs" sheetId="2" state="visible" r:id="rId4"/>
    <sheet name="2. The Secondary Bid" sheetId="3" state="visible" r:id="rId5"/>
    <sheet name="3. The Double-Count" sheetId="4" state="visible" r:id="rId6"/>
    <sheet name="4. The Marketability Discount" sheetId="5" state="visible" r:id="rId7"/>
    <sheet name="5. Orderly or Forced" sheetId="6" state="visible" r:id="rId8"/>
    <sheet name="6. The Appraisal" sheetId="7" state="visible" r:id="rId9"/>
    <sheet name="7. Check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<sst xmlns="http://schemas.openxmlformats.org/spreadsheetml/2006/main" count="195" uniqueCount="169">
  <si>
    <t xml:space="preserve">The Hardest Judgment Calls</t>
  </si>
  <si>
    <t xml:space="preserve">A companion to Appendix F, and to Chapter 11</t>
  </si>
  <si>
    <t xml:space="preserve">Chapter 11 says these are the judgements on which "valuations most often succeed or fail under scrutiny", and then resolves every one of them in prose. There is no figure of any kind in the chapter — no price, no rate, no multiple, no percentage. That is deliberate throughout this book, and for the reasoning it works. For these four questions it does not, because each one is a claim about a magnitude and a reader cannot check a magnitude that is never stated.</t>
  </si>
  <si>
    <t xml:space="preserve">So this file supplies one complete set of figures, once, and says so. Nothing here is reproduced from the book, because the book prints nothing to reproduce. Every input is a cell you can overwrite.</t>
  </si>
  <si>
    <t xml:space="preserve">What the numbers show</t>
  </si>
  <si>
    <t xml:space="preserve">A secondary bid on a fund interest comes out at 68.8 per cent of reported net asset value — a headline discount of 31.2 points. Ten of those points are the reporting lag and 21.2 are the secondary market's own pricing. The chapter says adopting reported NAV "ignores the secondary market's own pricing"; that component is more than two thirds of the discount.</t>
  </si>
  <si>
    <t xml:space="preserve">The double-count the chapter warns about is worth 16.4 points. An entry multiple of 7.3 against a listed peer median of 8.9 already embeds an 18 per cent discount; adding a conventional 20 per cent marketability discount on top produces an effective 34.4 per cent — nearly as much again as was justified, and 19.7 of equity value on a 120 enterprise value.</t>
  </si>
  <si>
    <t xml:space="preserve">And the marketability discount itself, sized with evidence rather than convention, is 22 per cent at 45 per cent volatility over two and a half years. The interesting part is the inversion: at that volatility no holding period reaches 30 per cent at all. The method peaks at 28.6 per cent, at 9.6 years. A conventional 30 is not merely unsupported here — it is unreachable except by asserting a volatility of 60 per cent, which is a claim somebody can check.</t>
  </si>
  <si>
    <t xml:space="preserve">The sheets</t>
  </si>
  <si>
    <t xml:space="preserve">1. The Inputs — every figure in the file, in one place</t>
  </si>
  <si>
    <t xml:space="preserve">2. The Secondary Bid — the bid, and the discount decomposed into staleness and pricing</t>
  </si>
  <si>
    <t xml:space="preserve">3. The Double-Count — what is already embedded, and what adding to it costs</t>
  </si>
  <si>
    <t xml:space="preserve">4. The Marketability Discount — the protective-put sizing, and what convention would require</t>
  </si>
  <si>
    <t xml:space="preserve">5. Orderly or Forced — three trades, one fair value, and the cost of each error</t>
  </si>
  <si>
    <t xml:space="preserve">6. The Appraisal — the range to challenge a single-point valuation with</t>
  </si>
  <si>
    <t xml:space="preserve">7. Checks — every figure in Appendix F, recomputed and compared</t>
  </si>
  <si>
    <t xml:space="preserve">A word about what this file is not</t>
  </si>
  <si>
    <t xml:space="preserve">It is not a set of market assumptions. The volatilities, multiples, cap rates and required returns are chosen to make a method legible, exactly as the book's copyright page says of its own examples. What transfers is the method and the shape of the answer, not the inputs.</t>
  </si>
  <si>
    <t xml:space="preserve">Blue on a pale fill is an input. Black on grey is a formula — do not overtype it.</t>
  </si>
  <si>
    <t xml:space="preserve">Revised 23 September 2026. Every figure of Appendix F reproduces; nothing in the calculation changes. The unfunded commitment on sheet 1 is not used by the bid, which prices the net asset value alone: this is now said beside the cell, and the first of the three new cases prices it.</t>
  </si>
  <si>
    <t xml:space="preserve">Every input, in one place</t>
  </si>
  <si>
    <t xml:space="preserve">None of these is a market assertion. They are chosen to make the method legible.</t>
  </si>
  <si>
    <t xml:space="preserve">The secondary interest</t>
  </si>
  <si>
    <t xml:space="preserve">Reported net asset value</t>
  </si>
  <si>
    <t xml:space="preserve">Move in listed comparables since the reference date</t>
  </si>
  <si>
    <t xml:space="preserve">Distribution received since the reference date</t>
  </si>
  <si>
    <t xml:space="preserve">Unfunded commitment</t>
  </si>
  <si>
    <t xml:space="preserve">Not used on sheet 2: Appendix F prices the net asset value alone. Case one of the companion cases prices it.</t>
  </si>
  <si>
    <t xml:space="preserve">Buyer's projected gross multiple on adjusted NAV</t>
  </si>
  <si>
    <t xml:space="preserve">Expected remaining life (years)</t>
  </si>
  <si>
    <t xml:space="preserve">Buyer's required gross return</t>
  </si>
  <si>
    <t xml:space="preserve">The marketability discount</t>
  </si>
  <si>
    <t xml:space="preserve">Entry EV/EBITDA multiple paid</t>
  </si>
  <si>
    <t xml:space="preserve">Listed peer median on the same date</t>
  </si>
  <si>
    <t xml:space="preserve">A conventional marketability discount</t>
  </si>
  <si>
    <t xml:space="preserve">Enterprise value</t>
  </si>
  <si>
    <t xml:space="preserve">Volatility</t>
  </si>
  <si>
    <t xml:space="preserve">Expected time to liquidity (years)</t>
  </si>
  <si>
    <t xml:space="preserve">Risk-free rate</t>
  </si>
  <si>
    <t xml:space="preserve">The convention to test against</t>
  </si>
  <si>
    <t xml:space="preserve">The dislocated market</t>
  </si>
  <si>
    <t xml:space="preserve">Observed trade</t>
  </si>
  <si>
    <t xml:space="preserve">Marketing period (days)</t>
  </si>
  <si>
    <t xml:space="preserve">Price (cents)</t>
  </si>
  <si>
    <t xml:space="preserve">trade 1</t>
  </si>
  <si>
    <t xml:space="preserve">trade 2</t>
  </si>
  <si>
    <t xml:space="preserve">trade 3</t>
  </si>
  <si>
    <t xml:space="preserve">Prior-quarter mark</t>
  </si>
  <si>
    <t xml:space="preserve">An orderly marketing period (days)</t>
  </si>
  <si>
    <t xml:space="preserve">The real asset</t>
  </si>
  <si>
    <t xml:space="preserve">Net operating income</t>
  </si>
  <si>
    <t xml:space="preserve">Appraiser's exit capitalisation rate</t>
  </si>
  <si>
    <t xml:space="preserve">Market evidence — lowest</t>
  </si>
  <si>
    <t xml:space="preserve">Market evidence — highest</t>
  </si>
  <si>
    <t xml:space="preserve">The bid, and what the discount is made of</t>
  </si>
  <si>
    <t xml:space="preserve">Chapter 11: a secondary interest may trade 'at a premium or, more often, a discount to the reported net asset value'.</t>
  </si>
  <si>
    <t xml:space="preserve">Value</t>
  </si>
  <si>
    <t xml:space="preserve">What it is</t>
  </si>
  <si>
    <t xml:space="preserve">Reported NAV, one quarter in arrears</t>
  </si>
  <si>
    <t xml:space="preserve">what the underlying fund last published</t>
  </si>
  <si>
    <t xml:space="preserve">Roll forward for the move in comparables</t>
  </si>
  <si>
    <t xml:space="preserve">the chapter's roll-forward</t>
  </si>
  <si>
    <t xml:space="preserve">less the distribution received since</t>
  </si>
  <si>
    <t xml:space="preserve">cash already in the seller's hands</t>
  </si>
  <si>
    <t xml:space="preserve">ADJUSTED NAV</t>
  </si>
  <si>
    <t xml:space="preserve">the honest starting point</t>
  </si>
  <si>
    <t xml:space="preserve">Buyer's projected proceeds</t>
  </si>
  <si>
    <t xml:space="preserve">discounted at the buyer's required return</t>
  </si>
  <si>
    <t xml:space="preserve">the bid</t>
  </si>
  <si>
    <t xml:space="preserve">Bid as a share of ADJUSTED NAV</t>
  </si>
  <si>
    <t xml:space="preserve">Bid as a share of REPORTED NAV</t>
  </si>
  <si>
    <t xml:space="preserve">The headline discount, decomposed</t>
  </si>
  <si>
    <t xml:space="preserve">In points of reported NAV. The two components must sum to the headline with no residual.</t>
  </si>
  <si>
    <t xml:space="preserve">Points</t>
  </si>
  <si>
    <t xml:space="preserve">Share of the discount</t>
  </si>
  <si>
    <t xml:space="preserve">Reading</t>
  </si>
  <si>
    <t xml:space="preserve">Stale NAV — the reporting lag</t>
  </si>
  <si>
    <t xml:space="preserve">the part that is simply out of date</t>
  </si>
  <si>
    <t xml:space="preserve">The secondary market's own pricing</t>
  </si>
  <si>
    <t xml:space="preserve">the part the chapter says gets ignored</t>
  </si>
  <si>
    <t xml:space="preserve">HEADLINE DISCOUNT</t>
  </si>
  <si>
    <t xml:space="preserve">Residual</t>
  </si>
  <si>
    <t xml:space="preserve">This is the sheet that answers the chapter's second claim. Adopting the reported net asset value without this work does not merely use a stale number — it discards the larger of the two components. Two thirds of the discount here is the secondary market pricing the interest, and no amount of roll-forward recovers it.</t>
  </si>
  <si>
    <t xml:space="preserve">What is already in the price, and what adding to it costs</t>
  </si>
  <si>
    <t xml:space="preserve">Chapter 11: 'applying a further discount on top would double-count'.</t>
  </si>
  <si>
    <t xml:space="preserve">Entry multiple paid</t>
  </si>
  <si>
    <t xml:space="preserve">Discount ALREADY embedded in the entry price</t>
  </si>
  <si>
    <t xml:space="preserve">the private-market discount, paid for</t>
  </si>
  <si>
    <t xml:space="preserve">A further conventional marketability discount</t>
  </si>
  <si>
    <t xml:space="preserve">applied on top</t>
  </si>
  <si>
    <t xml:space="preserve">EFFECTIVE COMBINED DISCOUNT</t>
  </si>
  <si>
    <t xml:space="preserve">Supportable on the evidence</t>
  </si>
  <si>
    <t xml:space="preserve">THE DOUBLE-COUNT</t>
  </si>
  <si>
    <t xml:space="preserve">In equity value</t>
  </si>
  <si>
    <t xml:space="preserve">removed twice from the same asset</t>
  </si>
  <si>
    <t xml:space="preserve">The chapter's word for the error is double-count, which sounds like a tidiness point. It is not. The second discount is nearly as large as the first, and the two compound rather than add, so the asset is marked at two thirds of what a defensible method supports. On a position of this size that is 19.7 of value, removed for a reason that was already paid for at entry.</t>
  </si>
  <si>
    <t xml:space="preserve">The chapter's test is the right one and worth restating as a question to ask before any marketability discount is applied: is illiquidity already reflected somewhere in this valuation? If the price was calibrated to a private transaction, it is — and the answer is usually yes, which is why the chapter says a disciplined discount 'rarely does much work'.</t>
  </si>
  <si>
    <t xml:space="preserve">Sizing it with evidence rather than convention</t>
  </si>
  <si>
    <t xml:space="preserve">Chapter 11: 'size it with evidence and reasoning rather than convention'. The standard evidence is the cost of a protective put over the holding period.</t>
  </si>
  <si>
    <t xml:space="preserve">Time to liquidity (years)</t>
  </si>
  <si>
    <t xml:space="preserve">d1</t>
  </si>
  <si>
    <t xml:space="preserve">d2</t>
  </si>
  <si>
    <t xml:space="preserve">INDICATED DISCOUNT</t>
  </si>
  <si>
    <t xml:space="preserve">the put, as a share of value</t>
  </si>
  <si>
    <t xml:space="preserve">Now invert it</t>
  </si>
  <si>
    <t xml:space="preserve">What would have to be true for the conventional figure to be defensible?</t>
  </si>
  <si>
    <t xml:space="preserve">The convention to test</t>
  </si>
  <si>
    <t xml:space="preserve">Indicated discount at the same horizon</t>
  </si>
  <si>
    <t xml:space="preserve">And against the horizon</t>
  </si>
  <si>
    <t xml:space="preserve">Years to liquidity</t>
  </si>
  <si>
    <t xml:space="preserve">Indicated discount at the same volatility</t>
  </si>
  <si>
    <t xml:space="preserve">Highest discount reachable by lengthening the horizon</t>
  </si>
  <si>
    <t xml:space="preserve">This is the most useful result in the file. The conventional thirty per cent is not merely larger than the evidence supports at these inputs — at this volatility it cannot be reached at any holding period whatsoever. The put value rises, peaks below the convention, and then falls, because the discounting of the strike eventually outruns the option value. To defend thirty you must assert a volatility near sixty per cent, and that is a statement somebody can check, which is precisely what the chapter asks for.</t>
  </si>
  <si>
    <t xml:space="preserve">Which also settles the chapter's closing claim, that a specialist who treats the discount with discipline 'will find it rarely does much work'. Across the plausible range of inputs it sits in the teens and twenties. It is a real adjustment and a modest one, and it is the plug it becomes when it is not computed that the chapter is warning about.</t>
  </si>
  <si>
    <t xml:space="preserve">Neither yesterday's mark nor the desperate seller's price</t>
  </si>
  <si>
    <t xml:space="preserve">Chapter 11: 'what a willing, unpressured market participant would pay in current conditions'.</t>
  </si>
  <si>
    <t xml:space="preserve">ln(days)</t>
  </si>
  <si>
    <t xml:space="preserve">Fitted: price = a + b x ln(days)</t>
  </si>
  <si>
    <t xml:space="preserve">b — cents per unit of ln(days)</t>
  </si>
  <si>
    <t xml:space="preserve">a</t>
  </si>
  <si>
    <t xml:space="preserve">ORDERLY-TRANSACTION FAIR VALUE</t>
  </si>
  <si>
    <t xml:space="preserve">The two errors that beckon from opposite directions</t>
  </si>
  <si>
    <t xml:space="preserve">Price</t>
  </si>
  <si>
    <t xml:space="preserve">Error against fair value</t>
  </si>
  <si>
    <t xml:space="preserve">Holding the prior-quarter mark</t>
  </si>
  <si>
    <t xml:space="preserve">overstates</t>
  </si>
  <si>
    <t xml:space="preserve">Marking to the shortest-marketed trade</t>
  </si>
  <si>
    <t xml:space="preserve">understates</t>
  </si>
  <si>
    <t xml:space="preserve">The band between the two errors</t>
  </si>
  <si>
    <t xml:space="preserve">Both errors are large and they are not symmetric: holding the optimistic mark is the bigger of the two here. That matters, because it is also the more comfortable one — nobody has to explain a mark that did not move. The chapter's instruction to find the orderly price is really an instruction to do the uncomfortable thing on a schedule rather than when forced.</t>
  </si>
  <si>
    <t xml:space="preserve">The range to challenge a single-point appraisal with</t>
  </si>
  <si>
    <t xml:space="preserve">Chapter 11 tells the specialist to challenge the appraisal. This is what challenging it is worth.</t>
  </si>
  <si>
    <t xml:space="preserve">Rate</t>
  </si>
  <si>
    <t xml:space="preserve">The range</t>
  </si>
  <si>
    <t xml:space="preserve">As a share of the single appraised figure</t>
  </si>
  <si>
    <t xml:space="preserve">The cap-rate judgement it rests on</t>
  </si>
  <si>
    <t xml:space="preserve">Seventy-five basis points of capitalisation-rate judgement, which the appraiser did not have to defend in writing, moves the value by fourteen per cent. That is the whole argument for treating an appraisal as evidence rather than as an answer, and for asking which point in the market range was chosen and why.</t>
  </si>
  <si>
    <t xml:space="preserve">Every figure in Appendix F, recomputed here</t>
  </si>
  <si>
    <t xml:space="preserve">Nothing here is reproduced from the book — the book prints no figures. These check the appendix against the file.</t>
  </si>
  <si>
    <t xml:space="preserve">Figure</t>
  </si>
  <si>
    <t xml:space="preserve">Appendix F</t>
  </si>
  <si>
    <t xml:space="preserve">This file</t>
  </si>
  <si>
    <t xml:space="preserve">Status</t>
  </si>
  <si>
    <t xml:space="preserve">Note</t>
  </si>
  <si>
    <t xml:space="preserve">Adjusted NAV</t>
  </si>
  <si>
    <t xml:space="preserve">tol 0.01</t>
  </si>
  <si>
    <t xml:space="preserve">The bid</t>
  </si>
  <si>
    <t xml:space="preserve">tol 0.02</t>
  </si>
  <si>
    <t xml:space="preserve">Bid as a share of reported NAV</t>
  </si>
  <si>
    <t xml:space="preserve">tol 0.002</t>
  </si>
  <si>
    <t xml:space="preserve">Discount: the reporting lag, in points</t>
  </si>
  <si>
    <t xml:space="preserve">tol 0.05</t>
  </si>
  <si>
    <t xml:space="preserve">Discount: secondary pricing, in points</t>
  </si>
  <si>
    <t xml:space="preserve">Headline discount, in points</t>
  </si>
  <si>
    <t xml:space="preserve">Discount embedded at entry</t>
  </si>
  <si>
    <t xml:space="preserve">Effective combined discount</t>
  </si>
  <si>
    <t xml:space="preserve">The double-count</t>
  </si>
  <si>
    <t xml:space="preserve">  in equity value</t>
  </si>
  <si>
    <t xml:space="preserve">tol 0.1</t>
  </si>
  <si>
    <t xml:space="preserve">Indicated marketability discount</t>
  </si>
  <si>
    <t xml:space="preserve">tol 0.003</t>
  </si>
  <si>
    <t xml:space="preserve">Highest reachable by lengthening the horizon</t>
  </si>
  <si>
    <t xml:space="preserve">tol 0.004</t>
  </si>
  <si>
    <t xml:space="preserve">Orderly-transaction fair value</t>
  </si>
  <si>
    <t xml:space="preserve">tol 0.15</t>
  </si>
  <si>
    <t xml:space="preserve">  the prior mark overstates by</t>
  </si>
  <si>
    <t xml:space="preserve">  the 3-day trade understates by</t>
  </si>
  <si>
    <t xml:space="preserve">Appraisal range, as a share of the figure</t>
  </si>
  <si>
    <t xml:space="preserve">Checks passing</t>
  </si>
</sst>
</file>

<file path=xl/styles.xml><?xml version="1.0" encoding="utf-8"?>
<styleSheet xmlns="http://schemas.openxmlformats.org/spreadsheetml/2006/main">
  <numFmts count="10">
    <numFmt numFmtId="164" formatCode="General"/>
    <numFmt numFmtId="165" formatCode="#,##0.00"/>
    <numFmt numFmtId="166" formatCode="0.0%"/>
    <numFmt numFmtId="167" formatCode="0.00\x"/>
    <numFmt numFmtId="168" formatCode="0.0"/>
    <numFmt numFmtId="169" formatCode="0"/>
    <numFmt numFmtId="170" formatCode="#,##0.0"/>
    <numFmt numFmtId="171" formatCode="0.00%"/>
    <numFmt numFmtId="172" formatCode="0.0000"/>
    <numFmt numFmtId="173" formatCode="0.000"/>
  </numFmts>
  <fonts count="15">
    <font>
      <sz val="11"/>
      <color theme="1"/>
      <name val="Calibri"/>
      <family val="2"/>
      <charset val="1"/>
    </font>
    <font>
      <sz val="10"/>
      <name val="Arial"/>
      <family val="0"/>
    </font>
    <font>
      <sz val="10"/>
      <name val="Arial"/>
      <family val="0"/>
    </font>
    <font>
      <sz val="10"/>
      <name val="Arial"/>
      <family val="0"/>
    </font>
    <font>
      <b val="true"/>
      <sz val="15"/>
      <color rgb="FF1F2733"/>
      <name val="Cambria"/>
      <family val="0"/>
      <charset val="1"/>
    </font>
    <font>
      <i val="true"/>
      <sz val="10"/>
      <color rgb="FF5A6470"/>
      <name val="Cambria"/>
      <family val="0"/>
      <charset val="1"/>
    </font>
    <font>
      <sz val="10.5"/>
      <color rgb="FF1F2733"/>
      <name val="Cambria"/>
      <family val="0"/>
      <charset val="1"/>
    </font>
    <font>
      <b val="true"/>
      <sz val="11.5"/>
      <color rgb="FF1F2733"/>
      <name val="Cambria"/>
      <family val="0"/>
      <charset val="1"/>
    </font>
    <font>
      <b val="true"/>
      <sz val="14"/>
      <color rgb="FF1F2733"/>
      <name val="Cambria"/>
      <family val="0"/>
      <charset val="1"/>
    </font>
    <font>
      <b val="true"/>
      <sz val="11"/>
      <color rgb="FF1B4E8C"/>
      <name val="Cambria"/>
      <family val="0"/>
      <charset val="1"/>
    </font>
    <font>
      <i val="true"/>
      <sz val="11"/>
      <color rgb="FF6B7280"/>
      <name val="Cambria"/>
      <family val="0"/>
      <charset val="1"/>
    </font>
    <font>
      <b val="true"/>
      <sz val="10"/>
      <color rgb="FFFFFFFF"/>
      <name val="Cambria"/>
      <family val="0"/>
      <charset val="1"/>
    </font>
    <font>
      <sz val="11"/>
      <color rgb="FF1F2733"/>
      <name val="Cambria"/>
      <family val="0"/>
      <charset val="1"/>
    </font>
    <font>
      <b val="true"/>
      <sz val="10.5"/>
      <color rgb="FF1F2733"/>
      <name val="Cambria"/>
      <family val="0"/>
      <charset val="1"/>
    </font>
    <font>
      <b val="true"/>
      <sz val="11"/>
      <color rgb="FF1F2733"/>
      <name val="Cambria"/>
      <family val="0"/>
      <charset val="1"/>
    </font>
  </fonts>
  <fills count="7">
    <fill>
      <patternFill patternType="none"/>
    </fill>
    <fill>
      <patternFill patternType="gray125"/>
    </fill>
    <fill>
      <patternFill patternType="solid">
        <fgColor rgb="FFFDF3DC"/>
        <bgColor rgb="FFFBF0E4"/>
      </patternFill>
    </fill>
    <fill>
      <patternFill patternType="solid">
        <fgColor rgb="FF1F2733"/>
        <bgColor rgb="FF333300"/>
      </patternFill>
    </fill>
    <fill>
      <patternFill patternType="solid">
        <fgColor rgb="FFF1F3F5"/>
        <bgColor rgb="FFFBF0E4"/>
      </patternFill>
    </fill>
    <fill>
      <patternFill patternType="solid">
        <fgColor rgb="FFFBF0E4"/>
        <bgColor rgb="FFFDF3DC"/>
      </patternFill>
    </fill>
    <fill>
      <patternFill patternType="solid">
        <fgColor rgb="FFE4F1E4"/>
        <bgColor rgb="FFF1F3F5"/>
      </patternFill>
    </fill>
  </fills>
  <borders count="2">
    <border diagonalUp="false" diagonalDown="false">
      <left/>
      <right/>
      <top/>
      <bottom/>
      <diagonal/>
    </border>
    <border diagonalUp="false" diagonalDown="false">
      <left style="thin">
        <color rgb="FFC9CFD6"/>
      </left>
      <right style="thin">
        <color rgb="FFC9CFD6"/>
      </right>
      <top style="thin">
        <color rgb="FFC9CFD6"/>
      </top>
      <bottom style="thin">
        <color rgb="FFC9CF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9" fillId="2" borderId="1" xfId="0" applyFont="true" applyBorder="true" applyAlignment="false" applyProtection="false">
      <alignment horizontal="general" vertical="bottom" textRotation="0" wrapText="false" indent="0" shrinkToFit="false"/>
      <protection locked="true" hidden="false"/>
    </xf>
    <xf numFmtId="166" fontId="9" fillId="2"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7" fontId="9" fillId="2" borderId="1" xfId="0" applyFont="true" applyBorder="true" applyAlignment="false" applyProtection="false">
      <alignment horizontal="general" vertical="bottom" textRotation="0" wrapText="false" indent="0" shrinkToFit="false"/>
      <protection locked="true" hidden="false"/>
    </xf>
    <xf numFmtId="168" fontId="9" fillId="2" borderId="1" xfId="0" applyFont="true" applyBorder="true" applyAlignment="fals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12" fillId="4" borderId="1" xfId="0" applyFont="true" applyBorder="true" applyAlignment="false" applyProtection="false">
      <alignment horizontal="general" vertical="bottom" textRotation="0" wrapText="false" indent="0" shrinkToFit="false"/>
      <protection locked="true" hidden="false"/>
    </xf>
    <xf numFmtId="169" fontId="9" fillId="2" borderId="1" xfId="0" applyFont="true" applyBorder="true" applyAlignment="false" applyProtection="false">
      <alignment horizontal="general" vertical="bottom" textRotation="0" wrapText="false" indent="0" shrinkToFit="false"/>
      <protection locked="true" hidden="false"/>
    </xf>
    <xf numFmtId="170" fontId="9" fillId="2" borderId="1" xfId="0" applyFont="true" applyBorder="true" applyAlignment="false" applyProtection="false">
      <alignment horizontal="general" vertical="bottom" textRotation="0" wrapText="false" indent="0" shrinkToFit="false"/>
      <protection locked="true" hidden="false"/>
    </xf>
    <xf numFmtId="171" fontId="9" fillId="2" borderId="1" xfId="0" applyFont="true" applyBorder="true" applyAlignment="false" applyProtection="false">
      <alignment horizontal="general" vertical="bottom" textRotation="0" wrapText="false" indent="0" shrinkToFit="false"/>
      <protection locked="true" hidden="false"/>
    </xf>
    <xf numFmtId="165" fontId="12" fillId="4"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5" fontId="14" fillId="4" borderId="1" xfId="0" applyFont="true" applyBorder="true" applyAlignment="false" applyProtection="false">
      <alignment horizontal="general" vertical="bottom" textRotation="0" wrapText="false" indent="0" shrinkToFit="false"/>
      <protection locked="true" hidden="false"/>
    </xf>
    <xf numFmtId="165" fontId="14" fillId="5" borderId="1" xfId="0" applyFont="true" applyBorder="true" applyAlignment="false" applyProtection="false">
      <alignment horizontal="general" vertical="bottom" textRotation="0" wrapText="false" indent="0" shrinkToFit="false"/>
      <protection locked="true" hidden="false"/>
    </xf>
    <xf numFmtId="166" fontId="14" fillId="4" borderId="1" xfId="0" applyFont="true" applyBorder="true" applyAlignment="false" applyProtection="false">
      <alignment horizontal="general" vertical="bottom" textRotation="0" wrapText="false" indent="0" shrinkToFit="false"/>
      <protection locked="true" hidden="false"/>
    </xf>
    <xf numFmtId="166" fontId="14" fillId="5" borderId="1" xfId="0" applyFont="true" applyBorder="true" applyAlignment="false" applyProtection="false">
      <alignment horizontal="general" vertical="bottom" textRotation="0" wrapText="false" indent="0" shrinkToFit="false"/>
      <protection locked="true" hidden="false"/>
    </xf>
    <xf numFmtId="170" fontId="12" fillId="4" borderId="1" xfId="0" applyFont="true" applyBorder="true" applyAlignment="false" applyProtection="false">
      <alignment horizontal="general" vertical="bottom" textRotation="0" wrapText="false" indent="0" shrinkToFit="false"/>
      <protection locked="true" hidden="false"/>
    </xf>
    <xf numFmtId="166" fontId="12" fillId="4" borderId="1" xfId="0" applyFont="true" applyBorder="true" applyAlignment="false" applyProtection="false">
      <alignment horizontal="general" vertical="bottom" textRotation="0" wrapText="false" indent="0" shrinkToFit="false"/>
      <protection locked="true" hidden="false"/>
    </xf>
    <xf numFmtId="170" fontId="14" fillId="5" borderId="1" xfId="0" applyFont="true" applyBorder="true" applyAlignment="false" applyProtection="false">
      <alignment horizontal="general" vertical="bottom" textRotation="0" wrapText="false" indent="0" shrinkToFit="false"/>
      <protection locked="true" hidden="false"/>
    </xf>
    <xf numFmtId="172" fontId="14" fillId="4"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7" fontId="12" fillId="4" borderId="1" xfId="0" applyFont="true" applyBorder="true" applyAlignment="false" applyProtection="false">
      <alignment horizontal="general" vertical="bottom" textRotation="0" wrapText="false" indent="0" shrinkToFit="false"/>
      <protection locked="true" hidden="false"/>
    </xf>
    <xf numFmtId="168" fontId="12" fillId="4" borderId="1" xfId="0" applyFont="true" applyBorder="true" applyAlignment="false" applyProtection="false">
      <alignment horizontal="general" vertical="bottom" textRotation="0" wrapText="false" indent="0" shrinkToFit="false"/>
      <protection locked="true" hidden="false"/>
    </xf>
    <xf numFmtId="172" fontId="12" fillId="4" borderId="1" xfId="0" applyFont="true" applyBorder="true" applyAlignment="false" applyProtection="false">
      <alignment horizontal="general" vertical="bottom" textRotation="0" wrapText="false" indent="0" shrinkToFit="false"/>
      <protection locked="true" hidden="false"/>
    </xf>
    <xf numFmtId="169" fontId="12" fillId="4" borderId="1" xfId="0" applyFont="true" applyBorder="true" applyAlignment="false" applyProtection="false">
      <alignment horizontal="general" vertical="bottom" textRotation="0" wrapText="false" indent="0" shrinkToFit="false"/>
      <protection locked="true" hidden="false"/>
    </xf>
    <xf numFmtId="173" fontId="12" fillId="4" borderId="1" xfId="0" applyFont="true" applyBorder="true" applyAlignment="false" applyProtection="false">
      <alignment horizontal="general" vertical="bottom" textRotation="0" wrapText="false" indent="0" shrinkToFit="false"/>
      <protection locked="true" hidden="false"/>
    </xf>
    <xf numFmtId="171" fontId="12" fillId="4" borderId="1" xfId="0" applyFont="true" applyBorder="true" applyAlignment="false" applyProtection="false">
      <alignment horizontal="general" vertical="bottom" textRotation="0" wrapText="false" indent="0" shrinkToFit="false"/>
      <protection locked="true" hidden="false"/>
    </xf>
    <xf numFmtId="171" fontId="14" fillId="4" borderId="1" xfId="0" applyFont="true" applyBorder="true" applyAlignment="false" applyProtection="false">
      <alignment horizontal="general" vertical="bottom" textRotation="0" wrapText="false" indent="0" shrinkToFit="false"/>
      <protection locked="true" hidden="false"/>
    </xf>
    <xf numFmtId="164" fontId="12" fillId="4" borderId="1" xfId="0" applyFont="true" applyBorder="true" applyAlignment="true" applyProtection="false">
      <alignment horizontal="center" vertical="bottom" textRotation="0" wrapText="false" indent="0" shrinkToFit="false"/>
      <protection locked="true" hidden="false"/>
    </xf>
    <xf numFmtId="169" fontId="14" fillId="4" borderId="1" xfId="0" applyFont="true" applyBorder="true" applyAlignment="false" applyProtection="false">
      <alignment horizontal="general" vertical="bottom" textRotation="0" wrapText="false" indent="0" shrinkToFit="false"/>
      <protection locked="true" hidden="false"/>
    </xf>
    <xf numFmtId="164" fontId="12" fillId="6"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5A6470"/>
      <rgbColor rgb="FF9999FF"/>
      <rgbColor rgb="FF993366"/>
      <rgbColor rgb="FFFDF3DC"/>
      <rgbColor rgb="FFF1F3F5"/>
      <rgbColor rgb="FF660066"/>
      <rgbColor rgb="FFFF8080"/>
      <rgbColor rgb="FF0066CC"/>
      <rgbColor rgb="FFC9CFD6"/>
      <rgbColor rgb="FF000080"/>
      <rgbColor rgb="FFFF00FF"/>
      <rgbColor rgb="FFFFFF00"/>
      <rgbColor rgb="FF00FFFF"/>
      <rgbColor rgb="FF800080"/>
      <rgbColor rgb="FF800000"/>
      <rgbColor rgb="FF008080"/>
      <rgbColor rgb="FF0000FF"/>
      <rgbColor rgb="FF00CCFF"/>
      <rgbColor rgb="FFCCFFFF"/>
      <rgbColor rgb="FFE4F1E4"/>
      <rgbColor rgb="FFFBF0E4"/>
      <rgbColor rgb="FF99CCFF"/>
      <rgbColor rgb="FFFF99CC"/>
      <rgbColor rgb="FFCC99FF"/>
      <rgbColor rgb="FFFFCC99"/>
      <rgbColor rgb="FF3366FF"/>
      <rgbColor rgb="FF33CCCC"/>
      <rgbColor rgb="FF99CC00"/>
      <rgbColor rgb="FFFFCC00"/>
      <rgbColor rgb="FFFF9900"/>
      <rgbColor rgb="FFFF6600"/>
      <rgbColor rgb="FF6B7280"/>
      <rgbColor rgb="FF969696"/>
      <rgbColor rgb="FF003366"/>
      <rgbColor rgb="FF339966"/>
      <rgbColor rgb="FF003300"/>
      <rgbColor rgb="FF333300"/>
      <rgbColor rgb="FF993300"/>
      <rgbColor rgb="FF993366"/>
      <rgbColor rgb="FF1B4E8C"/>
      <rgbColor rgb="FF1F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4"/>
  </cols>
  <sheetData>
    <row r="1" customFormat="false" ht="18.55" hidden="false" customHeight="false" outlineLevel="0" collapsed="false">
      <c r="A1" s="1" t="s">
        <v>0</v>
      </c>
    </row>
    <row r="2" customFormat="false" ht="15" hidden="false" customHeight="false" outlineLevel="0" collapsed="false">
      <c r="A2" s="2" t="s">
        <v>1</v>
      </c>
    </row>
    <row r="4" customFormat="false" ht="75" hidden="false" customHeight="true" outlineLevel="0" collapsed="false">
      <c r="A4" s="3" t="s">
        <v>2</v>
      </c>
    </row>
    <row r="6" customFormat="false" ht="30" hidden="false" customHeight="true" outlineLevel="0" collapsed="false">
      <c r="A6" s="3" t="s">
        <v>3</v>
      </c>
    </row>
    <row r="8" customFormat="false" ht="15" hidden="false" customHeight="false" outlineLevel="0" collapsed="false">
      <c r="A8" s="4" t="s">
        <v>4</v>
      </c>
    </row>
    <row r="9" customFormat="false" ht="60" hidden="false" customHeight="true" outlineLevel="0" collapsed="false">
      <c r="A9" s="3" t="s">
        <v>5</v>
      </c>
    </row>
    <row r="10" customFormat="false" ht="60" hidden="false" customHeight="true" outlineLevel="0" collapsed="false">
      <c r="A10" s="3" t="s">
        <v>6</v>
      </c>
    </row>
    <row r="11" customFormat="false" ht="75" hidden="false" customHeight="true" outlineLevel="0" collapsed="false">
      <c r="A11" s="3" t="s">
        <v>7</v>
      </c>
    </row>
    <row r="13" customFormat="false" ht="15" hidden="false" customHeight="false" outlineLevel="0" collapsed="false">
      <c r="A13" s="4" t="s">
        <v>8</v>
      </c>
    </row>
    <row r="14" customFormat="false" ht="15" hidden="false" customHeight="true" outlineLevel="0" collapsed="false">
      <c r="A14" s="3" t="s">
        <v>9</v>
      </c>
    </row>
    <row r="15" customFormat="false" ht="15" hidden="false" customHeight="true" outlineLevel="0" collapsed="false">
      <c r="A15" s="3" t="s">
        <v>10</v>
      </c>
    </row>
    <row r="16" customFormat="false" ht="15" hidden="false" customHeight="true" outlineLevel="0" collapsed="false">
      <c r="A16" s="3" t="s">
        <v>11</v>
      </c>
    </row>
    <row r="17" customFormat="false" ht="15" hidden="false" customHeight="true" outlineLevel="0" collapsed="false">
      <c r="A17" s="3" t="s">
        <v>12</v>
      </c>
    </row>
    <row r="18" customFormat="false" ht="15" hidden="false" customHeight="true" outlineLevel="0" collapsed="false">
      <c r="A18" s="3" t="s">
        <v>13</v>
      </c>
    </row>
    <row r="19" customFormat="false" ht="15" hidden="false" customHeight="true" outlineLevel="0" collapsed="false">
      <c r="A19" s="3" t="s">
        <v>14</v>
      </c>
    </row>
    <row r="20" customFormat="false" ht="15" hidden="false" customHeight="true" outlineLevel="0" collapsed="false">
      <c r="A20" s="3" t="s">
        <v>15</v>
      </c>
    </row>
    <row r="22" customFormat="false" ht="15" hidden="false" customHeight="false" outlineLevel="0" collapsed="false">
      <c r="A22" s="4" t="s">
        <v>16</v>
      </c>
    </row>
    <row r="23" customFormat="false" ht="45" hidden="false" customHeight="true" outlineLevel="0" collapsed="false">
      <c r="A23" s="3" t="s">
        <v>17</v>
      </c>
    </row>
    <row r="25" customFormat="false" ht="15" hidden="false" customHeight="false" outlineLevel="0" collapsed="false">
      <c r="A25" s="2" t="s">
        <v>18</v>
      </c>
    </row>
    <row r="27" customFormat="false" ht="37.3" hidden="false" customHeight="false" outlineLevel="0" collapsed="false">
      <c r="A27" s="3"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16"/>
    <col collapsed="false" customWidth="true" hidden="false" outlineLevel="0" max="4" min="4" style="0" width="48"/>
  </cols>
  <sheetData>
    <row r="1" customFormat="false" ht="17.35" hidden="false" customHeight="false" outlineLevel="0" collapsed="false">
      <c r="A1" s="5" t="s">
        <v>20</v>
      </c>
    </row>
    <row r="2" customFormat="false" ht="15" hidden="false" customHeight="false" outlineLevel="0" collapsed="false">
      <c r="A2" s="2" t="s">
        <v>21</v>
      </c>
    </row>
    <row r="4" customFormat="false" ht="15" hidden="false" customHeight="false" outlineLevel="0" collapsed="false">
      <c r="A4" s="4" t="s">
        <v>22</v>
      </c>
    </row>
    <row r="5" customFormat="false" ht="15" hidden="false" customHeight="false" outlineLevel="0" collapsed="false">
      <c r="A5" s="6" t="s">
        <v>23</v>
      </c>
      <c r="B5" s="7" t="n">
        <v>50</v>
      </c>
    </row>
    <row r="6" customFormat="false" ht="15" hidden="false" customHeight="false" outlineLevel="0" collapsed="false">
      <c r="A6" s="6" t="s">
        <v>24</v>
      </c>
      <c r="B6" s="8" t="n">
        <v>-0.04</v>
      </c>
    </row>
    <row r="7" customFormat="false" ht="15" hidden="false" customHeight="false" outlineLevel="0" collapsed="false">
      <c r="A7" s="6" t="s">
        <v>25</v>
      </c>
      <c r="B7" s="7" t="n">
        <v>3</v>
      </c>
    </row>
    <row r="8" customFormat="false" ht="15" hidden="false" customHeight="false" outlineLevel="0" collapsed="false">
      <c r="A8" s="6" t="s">
        <v>26</v>
      </c>
      <c r="B8" s="7" t="n">
        <v>12</v>
      </c>
      <c r="C8" s="9" t="s">
        <v>27</v>
      </c>
    </row>
    <row r="9" customFormat="false" ht="15" hidden="false" customHeight="false" outlineLevel="0" collapsed="false">
      <c r="A9" s="6" t="s">
        <v>28</v>
      </c>
      <c r="B9" s="10" t="n">
        <v>1.55</v>
      </c>
    </row>
    <row r="10" customFormat="false" ht="15" hidden="false" customHeight="false" outlineLevel="0" collapsed="false">
      <c r="A10" s="6" t="s">
        <v>29</v>
      </c>
      <c r="B10" s="11" t="n">
        <v>4.5</v>
      </c>
    </row>
    <row r="11" customFormat="false" ht="15" hidden="false" customHeight="false" outlineLevel="0" collapsed="false">
      <c r="A11" s="6" t="s">
        <v>30</v>
      </c>
      <c r="B11" s="8" t="n">
        <v>0.17</v>
      </c>
    </row>
    <row r="13" customFormat="false" ht="15" hidden="false" customHeight="false" outlineLevel="0" collapsed="false">
      <c r="A13" s="4" t="s">
        <v>31</v>
      </c>
    </row>
    <row r="14" customFormat="false" ht="15" hidden="false" customHeight="false" outlineLevel="0" collapsed="false">
      <c r="A14" s="6" t="s">
        <v>32</v>
      </c>
      <c r="B14" s="10" t="n">
        <v>7.3</v>
      </c>
    </row>
    <row r="15" customFormat="false" ht="15" hidden="false" customHeight="false" outlineLevel="0" collapsed="false">
      <c r="A15" s="6" t="s">
        <v>33</v>
      </c>
      <c r="B15" s="10" t="n">
        <v>8.9</v>
      </c>
    </row>
    <row r="16" customFormat="false" ht="15" hidden="false" customHeight="false" outlineLevel="0" collapsed="false">
      <c r="A16" s="6" t="s">
        <v>34</v>
      </c>
      <c r="B16" s="8" t="n">
        <v>0.2</v>
      </c>
    </row>
    <row r="17" customFormat="false" ht="15" hidden="false" customHeight="false" outlineLevel="0" collapsed="false">
      <c r="A17" s="6" t="s">
        <v>35</v>
      </c>
      <c r="B17" s="7" t="n">
        <v>120</v>
      </c>
    </row>
    <row r="18" customFormat="false" ht="15" hidden="false" customHeight="false" outlineLevel="0" collapsed="false">
      <c r="A18" s="6" t="s">
        <v>36</v>
      </c>
      <c r="B18" s="8" t="n">
        <v>0.45</v>
      </c>
    </row>
    <row r="19" customFormat="false" ht="15" hidden="false" customHeight="false" outlineLevel="0" collapsed="false">
      <c r="A19" s="6" t="s">
        <v>37</v>
      </c>
      <c r="B19" s="11" t="n">
        <v>2.5</v>
      </c>
    </row>
    <row r="20" customFormat="false" ht="15" hidden="false" customHeight="false" outlineLevel="0" collapsed="false">
      <c r="A20" s="6" t="s">
        <v>38</v>
      </c>
      <c r="B20" s="8" t="n">
        <v>0.04</v>
      </c>
    </row>
    <row r="21" customFormat="false" ht="15" hidden="false" customHeight="false" outlineLevel="0" collapsed="false">
      <c r="A21" s="6" t="s">
        <v>39</v>
      </c>
      <c r="B21" s="8" t="n">
        <v>0.3</v>
      </c>
    </row>
    <row r="23" customFormat="false" ht="15" hidden="false" customHeight="false" outlineLevel="0" collapsed="false">
      <c r="A23" s="4" t="s">
        <v>40</v>
      </c>
    </row>
    <row r="24" customFormat="false" ht="30" hidden="false" customHeight="true" outlineLevel="0" collapsed="false">
      <c r="A24" s="12" t="s">
        <v>41</v>
      </c>
      <c r="B24" s="12" t="s">
        <v>42</v>
      </c>
      <c r="C24" s="12" t="s">
        <v>43</v>
      </c>
      <c r="D24" s="12"/>
    </row>
    <row r="25" customFormat="false" ht="15" hidden="false" customHeight="false" outlineLevel="0" collapsed="false">
      <c r="A25" s="13" t="s">
        <v>44</v>
      </c>
      <c r="B25" s="14" t="n">
        <v>3</v>
      </c>
      <c r="C25" s="15" t="n">
        <v>71</v>
      </c>
    </row>
    <row r="26" customFormat="false" ht="15" hidden="false" customHeight="false" outlineLevel="0" collapsed="false">
      <c r="A26" s="13" t="s">
        <v>45</v>
      </c>
      <c r="B26" s="14" t="n">
        <v>42</v>
      </c>
      <c r="C26" s="15" t="n">
        <v>78</v>
      </c>
    </row>
    <row r="27" customFormat="false" ht="15" hidden="false" customHeight="false" outlineLevel="0" collapsed="false">
      <c r="A27" s="13" t="s">
        <v>46</v>
      </c>
      <c r="B27" s="14" t="n">
        <v>63</v>
      </c>
      <c r="C27" s="15" t="n">
        <v>84</v>
      </c>
    </row>
    <row r="28" customFormat="false" ht="15" hidden="false" customHeight="false" outlineLevel="0" collapsed="false">
      <c r="A28" s="6" t="s">
        <v>47</v>
      </c>
      <c r="B28" s="15" t="n">
        <v>96</v>
      </c>
    </row>
    <row r="29" customFormat="false" ht="15" hidden="false" customHeight="false" outlineLevel="0" collapsed="false">
      <c r="A29" s="6" t="s">
        <v>48</v>
      </c>
      <c r="B29" s="14" t="n">
        <v>60</v>
      </c>
    </row>
    <row r="31" customFormat="false" ht="15" hidden="false" customHeight="false" outlineLevel="0" collapsed="false">
      <c r="A31" s="4" t="s">
        <v>49</v>
      </c>
    </row>
    <row r="32" customFormat="false" ht="15" hidden="false" customHeight="false" outlineLevel="0" collapsed="false">
      <c r="A32" s="6" t="s">
        <v>50</v>
      </c>
      <c r="B32" s="7" t="n">
        <v>6.4</v>
      </c>
    </row>
    <row r="33" customFormat="false" ht="15" hidden="false" customHeight="false" outlineLevel="0" collapsed="false">
      <c r="A33" s="6" t="s">
        <v>51</v>
      </c>
      <c r="B33" s="16" t="n">
        <v>0.0525</v>
      </c>
    </row>
    <row r="34" customFormat="false" ht="15" hidden="false" customHeight="false" outlineLevel="0" collapsed="false">
      <c r="A34" s="6" t="s">
        <v>52</v>
      </c>
      <c r="B34" s="16" t="n">
        <v>0.05</v>
      </c>
    </row>
    <row r="35" customFormat="false" ht="15" hidden="false" customHeight="false" outlineLevel="0" collapsed="false">
      <c r="A35" s="6" t="s">
        <v>53</v>
      </c>
      <c r="B35" s="16" t="n">
        <v>0.0575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3" min="2" style="0" width="17"/>
    <col collapsed="false" customWidth="true" hidden="false" outlineLevel="0" max="4" min="4" style="0" width="46"/>
  </cols>
  <sheetData>
    <row r="1" customFormat="false" ht="17.35" hidden="false" customHeight="false" outlineLevel="0" collapsed="false">
      <c r="A1" s="5" t="s">
        <v>54</v>
      </c>
    </row>
    <row r="2" customFormat="false" ht="15" hidden="false" customHeight="false" outlineLevel="0" collapsed="false">
      <c r="A2" s="2" t="s">
        <v>55</v>
      </c>
    </row>
    <row r="4" customFormat="false" ht="30" hidden="false" customHeight="true" outlineLevel="0" collapsed="false">
      <c r="A4" s="12"/>
      <c r="B4" s="12" t="s">
        <v>56</v>
      </c>
      <c r="C4" s="12"/>
      <c r="D4" s="12" t="s">
        <v>57</v>
      </c>
    </row>
    <row r="5" customFormat="false" ht="15" hidden="false" customHeight="false" outlineLevel="0" collapsed="false">
      <c r="A5" s="6" t="s">
        <v>58</v>
      </c>
      <c r="B5" s="17" t="n">
        <f aca="false">'1. The Inputs'!B5</f>
        <v>50</v>
      </c>
      <c r="D5" s="13" t="s">
        <v>59</v>
      </c>
    </row>
    <row r="6" customFormat="false" ht="15" hidden="false" customHeight="false" outlineLevel="0" collapsed="false">
      <c r="A6" s="6" t="s">
        <v>60</v>
      </c>
      <c r="B6" s="17" t="n">
        <f aca="false">B5*(1+'1. The Inputs'!B6)</f>
        <v>48</v>
      </c>
      <c r="D6" s="13" t="s">
        <v>61</v>
      </c>
    </row>
    <row r="7" customFormat="false" ht="15" hidden="false" customHeight="false" outlineLevel="0" collapsed="false">
      <c r="A7" s="6" t="s">
        <v>62</v>
      </c>
      <c r="B7" s="17" t="n">
        <f aca="false">-'1. The Inputs'!B7</f>
        <v>-3</v>
      </c>
      <c r="D7" s="13" t="s">
        <v>63</v>
      </c>
    </row>
    <row r="8" customFormat="false" ht="15" hidden="false" customHeight="false" outlineLevel="0" collapsed="false">
      <c r="A8" s="18" t="s">
        <v>64</v>
      </c>
      <c r="B8" s="19" t="n">
        <f aca="false">B6+B7</f>
        <v>45</v>
      </c>
      <c r="D8" s="13" t="s">
        <v>65</v>
      </c>
    </row>
    <row r="9" customFormat="false" ht="15" hidden="false" customHeight="false" outlineLevel="0" collapsed="false">
      <c r="A9" s="6" t="s">
        <v>66</v>
      </c>
      <c r="B9" s="17" t="n">
        <f aca="false">B8*'1. The Inputs'!B9</f>
        <v>69.75</v>
      </c>
      <c r="D9" s="13"/>
    </row>
    <row r="10" customFormat="false" ht="15" hidden="false" customHeight="false" outlineLevel="0" collapsed="false">
      <c r="A10" s="18" t="s">
        <v>67</v>
      </c>
      <c r="B10" s="20" t="n">
        <f aca="false">IFERROR(B9/(1+'1. The Inputs'!B11)^'1. The Inputs'!B10,"")</f>
        <v>34.4118351771999</v>
      </c>
      <c r="D10" s="13" t="s">
        <v>68</v>
      </c>
    </row>
    <row r="12" customFormat="false" ht="15" hidden="false" customHeight="false" outlineLevel="0" collapsed="false">
      <c r="A12" s="18" t="s">
        <v>69</v>
      </c>
      <c r="B12" s="21" t="n">
        <f aca="false">IFERROR(B10/B8,"")</f>
        <v>0.764707448382219</v>
      </c>
    </row>
    <row r="13" customFormat="false" ht="15" hidden="false" customHeight="false" outlineLevel="0" collapsed="false">
      <c r="A13" s="18" t="s">
        <v>70</v>
      </c>
      <c r="B13" s="22" t="n">
        <f aca="false">IFERROR(B10/B5,"")</f>
        <v>0.688236703543997</v>
      </c>
    </row>
    <row r="15" customFormat="false" ht="15" hidden="false" customHeight="false" outlineLevel="0" collapsed="false">
      <c r="A15" s="4" t="s">
        <v>71</v>
      </c>
    </row>
    <row r="16" customFormat="false" ht="15" hidden="false" customHeight="false" outlineLevel="0" collapsed="false">
      <c r="A16" s="2" t="s">
        <v>72</v>
      </c>
    </row>
    <row r="17" customFormat="false" ht="30" hidden="false" customHeight="true" outlineLevel="0" collapsed="false">
      <c r="A17" s="12"/>
      <c r="B17" s="12" t="s">
        <v>73</v>
      </c>
      <c r="C17" s="12" t="s">
        <v>74</v>
      </c>
      <c r="D17" s="12" t="s">
        <v>75</v>
      </c>
    </row>
    <row r="18" customFormat="false" ht="15" hidden="false" customHeight="false" outlineLevel="0" collapsed="false">
      <c r="A18" s="6" t="s">
        <v>76</v>
      </c>
      <c r="B18" s="23" t="n">
        <f aca="false">IFERROR((B5-B8)/B5*100,"")</f>
        <v>10</v>
      </c>
      <c r="C18" s="24" t="n">
        <f aca="false">IFERROR(B18/$B$20,"")</f>
        <v>0.320756167056093</v>
      </c>
      <c r="D18" s="13" t="s">
        <v>77</v>
      </c>
    </row>
    <row r="19" customFormat="false" ht="15" hidden="false" customHeight="false" outlineLevel="0" collapsed="false">
      <c r="A19" s="6" t="s">
        <v>78</v>
      </c>
      <c r="B19" s="23" t="n">
        <f aca="false">IFERROR((B8-B10)/B5*100,"")</f>
        <v>21.1763296456003</v>
      </c>
      <c r="C19" s="24" t="n">
        <f aca="false">IFERROR(B19/$B$20,"")</f>
        <v>0.679243832943907</v>
      </c>
      <c r="D19" s="13" t="s">
        <v>79</v>
      </c>
    </row>
    <row r="20" customFormat="false" ht="15" hidden="false" customHeight="false" outlineLevel="0" collapsed="false">
      <c r="A20" s="18" t="s">
        <v>80</v>
      </c>
      <c r="B20" s="25" t="n">
        <f aca="false">IFERROR((B5-B10)/B5*100,"")</f>
        <v>31.1763296456003</v>
      </c>
      <c r="D20" s="13"/>
    </row>
    <row r="21" customFormat="false" ht="15" hidden="false" customHeight="false" outlineLevel="0" collapsed="false">
      <c r="A21" s="18" t="s">
        <v>81</v>
      </c>
      <c r="B21" s="26" t="n">
        <f aca="false">IFERROR(B20-B18-B19,"")</f>
        <v>0</v>
      </c>
      <c r="D21" s="13" t="str">
        <f aca="false">IF(ABS(B21)&lt;0.0005,"the decomposition closes exactly","CHECK")</f>
        <v>the decomposition closes exactly</v>
      </c>
    </row>
    <row r="23" customFormat="false" ht="43.5" hidden="false" customHeight="true" outlineLevel="0" collapsed="false">
      <c r="A23" s="27" t="s">
        <v>82</v>
      </c>
      <c r="B23" s="27"/>
      <c r="C23" s="27"/>
      <c r="D23" s="27"/>
    </row>
  </sheetData>
  <mergeCells count="1">
    <mergeCell ref="A23:D2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3" min="2" style="0" width="17"/>
    <col collapsed="false" customWidth="true" hidden="false" outlineLevel="0" max="4" min="4" style="0" width="46"/>
  </cols>
  <sheetData>
    <row r="1" customFormat="false" ht="17.35" hidden="false" customHeight="false" outlineLevel="0" collapsed="false">
      <c r="A1" s="5" t="s">
        <v>83</v>
      </c>
    </row>
    <row r="2" customFormat="false" ht="15" hidden="false" customHeight="false" outlineLevel="0" collapsed="false">
      <c r="A2" s="2" t="s">
        <v>84</v>
      </c>
    </row>
    <row r="4" customFormat="false" ht="30" hidden="false" customHeight="true" outlineLevel="0" collapsed="false">
      <c r="A4" s="12"/>
      <c r="B4" s="12" t="s">
        <v>56</v>
      </c>
      <c r="C4" s="12"/>
      <c r="D4" s="12" t="s">
        <v>75</v>
      </c>
    </row>
    <row r="5" customFormat="false" ht="15" hidden="false" customHeight="false" outlineLevel="0" collapsed="false">
      <c r="A5" s="6" t="s">
        <v>85</v>
      </c>
      <c r="B5" s="28" t="n">
        <f aca="false">'1. The Inputs'!B14</f>
        <v>7.3</v>
      </c>
      <c r="D5" s="13"/>
    </row>
    <row r="6" customFormat="false" ht="15" hidden="false" customHeight="false" outlineLevel="0" collapsed="false">
      <c r="A6" s="6" t="s">
        <v>33</v>
      </c>
      <c r="B6" s="28" t="n">
        <f aca="false">'1. The Inputs'!B15</f>
        <v>8.9</v>
      </c>
      <c r="D6" s="13"/>
    </row>
    <row r="7" customFormat="false" ht="15" hidden="false" customHeight="false" outlineLevel="0" collapsed="false">
      <c r="A7" s="6" t="s">
        <v>86</v>
      </c>
      <c r="B7" s="24" t="n">
        <f aca="false">IFERROR(1-B5/B6,"")</f>
        <v>0.179775280898877</v>
      </c>
      <c r="D7" s="13" t="s">
        <v>87</v>
      </c>
    </row>
    <row r="8" customFormat="false" ht="15" hidden="false" customHeight="false" outlineLevel="0" collapsed="false">
      <c r="A8" s="6" t="s">
        <v>88</v>
      </c>
      <c r="B8" s="24" t="n">
        <f aca="false">'1. The Inputs'!B16</f>
        <v>0.2</v>
      </c>
      <c r="D8" s="13" t="s">
        <v>89</v>
      </c>
    </row>
    <row r="9" customFormat="false" ht="15" hidden="false" customHeight="false" outlineLevel="0" collapsed="false">
      <c r="A9" s="18" t="s">
        <v>90</v>
      </c>
      <c r="B9" s="21" t="n">
        <f aca="false">IFERROR(1-(1-B7)*(1-B8),"")</f>
        <v>0.343820224719101</v>
      </c>
      <c r="D9" s="13"/>
    </row>
    <row r="10" customFormat="false" ht="15" hidden="false" customHeight="false" outlineLevel="0" collapsed="false">
      <c r="A10" s="18" t="s">
        <v>91</v>
      </c>
      <c r="B10" s="21" t="n">
        <f aca="false">B7</f>
        <v>0.179775280898877</v>
      </c>
      <c r="D10" s="13"/>
    </row>
    <row r="11" customFormat="false" ht="15" hidden="false" customHeight="false" outlineLevel="0" collapsed="false">
      <c r="A11" s="18" t="s">
        <v>92</v>
      </c>
      <c r="B11" s="22" t="n">
        <f aca="false">IFERROR(B9-B10,"")</f>
        <v>0.164044943820225</v>
      </c>
      <c r="D11" s="13"/>
    </row>
    <row r="12" customFormat="false" ht="15" hidden="false" customHeight="false" outlineLevel="0" collapsed="false">
      <c r="A12" s="18" t="s">
        <v>93</v>
      </c>
      <c r="B12" s="20" t="n">
        <f aca="false">IFERROR(B11*'1. The Inputs'!B17,"")</f>
        <v>19.685393258427</v>
      </c>
      <c r="D12" s="13" t="s">
        <v>94</v>
      </c>
    </row>
    <row r="14" customFormat="false" ht="43.5" hidden="false" customHeight="true" outlineLevel="0" collapsed="false">
      <c r="A14" s="27" t="s">
        <v>95</v>
      </c>
      <c r="B14" s="27"/>
      <c r="C14" s="27"/>
      <c r="D14" s="27"/>
    </row>
    <row r="18" customFormat="false" ht="39.75" hidden="false" customHeight="true" outlineLevel="0" collapsed="false">
      <c r="A18" s="27" t="s">
        <v>96</v>
      </c>
      <c r="B18" s="27"/>
      <c r="C18" s="27"/>
      <c r="D18" s="27"/>
    </row>
  </sheetData>
  <mergeCells count="2">
    <mergeCell ref="A14:D14"/>
    <mergeCell ref="A18:D1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3" min="2" style="0" width="17"/>
    <col collapsed="false" customWidth="true" hidden="false" outlineLevel="0" max="4" min="4" style="0" width="46"/>
  </cols>
  <sheetData>
    <row r="1" customFormat="false" ht="17.35" hidden="false" customHeight="false" outlineLevel="0" collapsed="false">
      <c r="A1" s="5" t="s">
        <v>97</v>
      </c>
    </row>
    <row r="2" customFormat="false" ht="15" hidden="false" customHeight="false" outlineLevel="0" collapsed="false">
      <c r="A2" s="2" t="s">
        <v>98</v>
      </c>
    </row>
    <row r="4" customFormat="false" ht="30" hidden="false" customHeight="true" outlineLevel="0" collapsed="false">
      <c r="A4" s="12"/>
      <c r="B4" s="12" t="s">
        <v>56</v>
      </c>
      <c r="C4" s="12"/>
      <c r="D4" s="12" t="s">
        <v>57</v>
      </c>
    </row>
    <row r="5" customFormat="false" ht="15" hidden="false" customHeight="false" outlineLevel="0" collapsed="false">
      <c r="A5" s="6" t="s">
        <v>36</v>
      </c>
      <c r="B5" s="24" t="n">
        <f aca="false">'1. The Inputs'!B18</f>
        <v>0.45</v>
      </c>
      <c r="D5" s="13"/>
    </row>
    <row r="6" customFormat="false" ht="15" hidden="false" customHeight="false" outlineLevel="0" collapsed="false">
      <c r="A6" s="6" t="s">
        <v>99</v>
      </c>
      <c r="B6" s="29" t="n">
        <f aca="false">'1. The Inputs'!B19</f>
        <v>2.5</v>
      </c>
      <c r="D6" s="13"/>
    </row>
    <row r="7" customFormat="false" ht="15" hidden="false" customHeight="false" outlineLevel="0" collapsed="false">
      <c r="A7" s="6" t="s">
        <v>38</v>
      </c>
      <c r="B7" s="24" t="n">
        <f aca="false">'1. The Inputs'!B20</f>
        <v>0.04</v>
      </c>
      <c r="D7" s="13"/>
    </row>
    <row r="8" customFormat="false" ht="15" hidden="false" customHeight="false" outlineLevel="0" collapsed="false">
      <c r="A8" s="6" t="s">
        <v>100</v>
      </c>
      <c r="B8" s="30" t="n">
        <f aca="false">IFERROR((B7+B5^2/2)*B6/(B5*SQRT(B6)),"")</f>
        <v>0.496301910554204</v>
      </c>
      <c r="D8" s="13"/>
    </row>
    <row r="9" customFormat="false" ht="15" hidden="false" customHeight="false" outlineLevel="0" collapsed="false">
      <c r="A9" s="6" t="s">
        <v>101</v>
      </c>
      <c r="B9" s="30" t="n">
        <f aca="false">IFERROR(B8-B5*SQRT(B6),"")</f>
        <v>-0.215210562983681</v>
      </c>
      <c r="D9" s="13"/>
    </row>
    <row r="10" customFormat="false" ht="15" hidden="false" customHeight="false" outlineLevel="0" collapsed="false">
      <c r="A10" s="18" t="s">
        <v>102</v>
      </c>
      <c r="B10" s="22" t="n">
        <f aca="false">IFERROR(EXP(-B7*B6)*NORMSDIST(-B9)-NORMSDIST(-B8),"")</f>
        <v>0.219668720022823</v>
      </c>
      <c r="D10" s="13" t="s">
        <v>103</v>
      </c>
    </row>
    <row r="12" customFormat="false" ht="15" hidden="false" customHeight="false" outlineLevel="0" collapsed="false">
      <c r="A12" s="4" t="s">
        <v>104</v>
      </c>
    </row>
    <row r="13" customFormat="false" ht="15" hidden="false" customHeight="false" outlineLevel="0" collapsed="false">
      <c r="A13" s="2" t="s">
        <v>105</v>
      </c>
    </row>
    <row r="14" customFormat="false" ht="15" hidden="false" customHeight="false" outlineLevel="0" collapsed="false">
      <c r="A14" s="6" t="s">
        <v>106</v>
      </c>
      <c r="B14" s="24" t="n">
        <f aca="false">'1. The Inputs'!B21</f>
        <v>0.3</v>
      </c>
    </row>
    <row r="15" customFormat="false" ht="30" hidden="false" customHeight="true" outlineLevel="0" collapsed="false">
      <c r="A15" s="12" t="s">
        <v>36</v>
      </c>
      <c r="B15" s="12" t="s">
        <v>107</v>
      </c>
      <c r="C15" s="12"/>
      <c r="D15" s="12" t="s">
        <v>75</v>
      </c>
    </row>
    <row r="16" customFormat="false" ht="15" hidden="false" customHeight="false" outlineLevel="0" collapsed="false">
      <c r="A16" s="8" t="n">
        <v>0.3</v>
      </c>
      <c r="B16" s="24" t="n">
        <f aca="false">IFERROR(EXP(-$B$7*$B$6)*NORMSDIST(-((($B$7+A16^2/2)*$B$6/(A16*SQRT($B$6)))-A16*SQRT($B$6)))-NORMSDIST(-(($B$7+A16^2/2)*$B$6/(A16*SQRT($B$6)))),"")</f>
        <v>0.134849764404397</v>
      </c>
      <c r="D16" s="13" t="str">
        <f aca="false">IF(B16="","",IF(B16&gt;=$B$14,"this volatility would justify the convention",""))</f>
        <v/>
      </c>
    </row>
    <row r="17" customFormat="false" ht="15" hidden="false" customHeight="false" outlineLevel="0" collapsed="false">
      <c r="A17" s="8" t="n">
        <v>0.4</v>
      </c>
      <c r="B17" s="24" t="n">
        <f aca="false">IFERROR(EXP(-$B$7*$B$6)*NORMSDIST(-((($B$7+A17^2/2)*$B$6/(A17*SQRT($B$6)))-A17*SQRT($B$6)))-NORMSDIST(-(($B$7+A17^2/2)*$B$6/(A17*SQRT($B$6)))),"")</f>
        <v>0.191629253018175</v>
      </c>
      <c r="D17" s="13" t="str">
        <f aca="false">IF(B17="","",IF(B17&gt;=$B$14,"this volatility would justify the convention",""))</f>
        <v/>
      </c>
    </row>
    <row r="18" customFormat="false" ht="15" hidden="false" customHeight="false" outlineLevel="0" collapsed="false">
      <c r="A18" s="8" t="n">
        <v>0.45</v>
      </c>
      <c r="B18" s="24" t="n">
        <f aca="false">IFERROR(EXP(-$B$7*$B$6)*NORMSDIST(-((($B$7+A18^2/2)*$B$6/(A18*SQRT($B$6)))-A18*SQRT($B$6)))-NORMSDIST(-(($B$7+A18^2/2)*$B$6/(A18*SQRT($B$6)))),"")</f>
        <v>0.219668720022823</v>
      </c>
      <c r="D18" s="13" t="str">
        <f aca="false">IF(B18="","",IF(B18&gt;=$B$14,"this volatility would justify the convention",""))</f>
        <v/>
      </c>
    </row>
    <row r="19" customFormat="false" ht="15" hidden="false" customHeight="false" outlineLevel="0" collapsed="false">
      <c r="A19" s="8" t="n">
        <v>0.5</v>
      </c>
      <c r="B19" s="24" t="n">
        <f aca="false">IFERROR(EXP(-$B$7*$B$6)*NORMSDIST(-((($B$7+A19^2/2)*$B$6/(A19*SQRT($B$6)))-A19*SQRT($B$6)))-NORMSDIST(-(($B$7+A19^2/2)*$B$6/(A19*SQRT($B$6)))),"")</f>
        <v>0.247378212577608</v>
      </c>
      <c r="D19" s="13" t="str">
        <f aca="false">IF(B19="","",IF(B19&gt;=$B$14,"this volatility would justify the convention",""))</f>
        <v/>
      </c>
    </row>
    <row r="20" customFormat="false" ht="15" hidden="false" customHeight="false" outlineLevel="0" collapsed="false">
      <c r="A20" s="8" t="n">
        <v>0.6</v>
      </c>
      <c r="B20" s="24" t="n">
        <f aca="false">IFERROR(EXP(-$B$7*$B$6)*NORMSDIST(-((($B$7+A20^2/2)*$B$6/(A20*SQRT($B$6)))-A20*SQRT($B$6)))-NORMSDIST(-(($B$7+A20^2/2)*$B$6/(A20*SQRT($B$6)))),"")</f>
        <v>0.301593408618773</v>
      </c>
      <c r="D20" s="13" t="str">
        <f aca="false">IF(B20="","",IF(B20&gt;=$B$14,"this volatility would justify the convention",""))</f>
        <v>this volatility would justify the convention</v>
      </c>
    </row>
    <row r="21" customFormat="false" ht="15" hidden="false" customHeight="false" outlineLevel="0" collapsed="false">
      <c r="A21" s="8" t="n">
        <v>0.7</v>
      </c>
      <c r="B21" s="24" t="n">
        <f aca="false">IFERROR(EXP(-$B$7*$B$6)*NORMSDIST(-((($B$7+A21^2/2)*$B$6/(A21*SQRT($B$6)))-A21*SQRT($B$6)))-NORMSDIST(-(($B$7+A21^2/2)*$B$6/(A21*SQRT($B$6)))),"")</f>
        <v>0.353913861065456</v>
      </c>
      <c r="D21" s="13" t="str">
        <f aca="false">IF(B21="","",IF(B21&gt;=$B$14,"this volatility would justify the convention",""))</f>
        <v>this volatility would justify the convention</v>
      </c>
    </row>
    <row r="23" customFormat="false" ht="15" hidden="false" customHeight="false" outlineLevel="0" collapsed="false">
      <c r="A23" s="4" t="s">
        <v>108</v>
      </c>
    </row>
    <row r="24" customFormat="false" ht="30" hidden="false" customHeight="true" outlineLevel="0" collapsed="false">
      <c r="A24" s="12" t="s">
        <v>109</v>
      </c>
      <c r="B24" s="12" t="s">
        <v>110</v>
      </c>
      <c r="C24" s="12"/>
      <c r="D24" s="12" t="s">
        <v>75</v>
      </c>
    </row>
    <row r="25" customFormat="false" ht="15" hidden="false" customHeight="false" outlineLevel="0" collapsed="false">
      <c r="A25" s="11" t="n">
        <v>1</v>
      </c>
      <c r="B25" s="24" t="n">
        <f aca="false">IFERROR(EXP(-$B$7*A25)*NORMSDIST(-((($B$7+$B$5^2/2)*A25/($B$5*SQRT(A25)))-$B$5*SQRT(A25)))-NORMSDIST(-(($B$7+$B$5^2/2)*A25/($B$5*SQRT(A25)))),"")</f>
        <v>0.155602686643472</v>
      </c>
      <c r="D25" s="13" t="str">
        <f aca="false">IF(A25=9.6,"the maximum this method reaches at this volatility","")</f>
        <v/>
      </c>
    </row>
    <row r="26" customFormat="false" ht="15" hidden="false" customHeight="false" outlineLevel="0" collapsed="false">
      <c r="A26" s="11" t="n">
        <v>2.5</v>
      </c>
      <c r="B26" s="24" t="n">
        <f aca="false">IFERROR(EXP(-$B$7*A26)*NORMSDIST(-((($B$7+$B$5^2/2)*A26/($B$5*SQRT(A26)))-$B$5*SQRT(A26)))-NORMSDIST(-(($B$7+$B$5^2/2)*A26/($B$5*SQRT(A26)))),"")</f>
        <v>0.219668720022823</v>
      </c>
      <c r="D26" s="13" t="str">
        <f aca="false">IF(A26=9.6,"the maximum this method reaches at this volatility","")</f>
        <v/>
      </c>
    </row>
    <row r="27" customFormat="false" ht="15" hidden="false" customHeight="false" outlineLevel="0" collapsed="false">
      <c r="A27" s="11" t="n">
        <v>5</v>
      </c>
      <c r="B27" s="24" t="n">
        <f aca="false">IFERROR(EXP(-$B$7*A27)*NORMSDIST(-((($B$7+$B$5^2/2)*A27/($B$5*SQRT(A27)))-$B$5*SQRT(A27)))-NORMSDIST(-(($B$7+$B$5^2/2)*A27/($B$5*SQRT(A27)))),"")</f>
        <v>0.265883681121778</v>
      </c>
      <c r="D27" s="13" t="str">
        <f aca="false">IF(A27=9.6,"the maximum this method reaches at this volatility","")</f>
        <v/>
      </c>
    </row>
    <row r="28" customFormat="false" ht="15" hidden="false" customHeight="false" outlineLevel="0" collapsed="false">
      <c r="A28" s="11" t="n">
        <v>9.6</v>
      </c>
      <c r="B28" s="24" t="n">
        <f aca="false">IFERROR(EXP(-$B$7*A28)*NORMSDIST(-((($B$7+$B$5^2/2)*A28/($B$5*SQRT(A28)))-$B$5*SQRT(A28)))-NORMSDIST(-(($B$7+$B$5^2/2)*A28/($B$5*SQRT(A28)))),"")</f>
        <v>0.286465068656475</v>
      </c>
      <c r="D28" s="13" t="str">
        <f aca="false">IF(A28=9.6,"the maximum this method reaches at this volatility","")</f>
        <v>the maximum this method reaches at this volatility</v>
      </c>
    </row>
    <row r="29" customFormat="false" ht="15" hidden="false" customHeight="false" outlineLevel="0" collapsed="false">
      <c r="A29" s="11" t="n">
        <v>15</v>
      </c>
      <c r="B29" s="24" t="n">
        <f aca="false">IFERROR(EXP(-$B$7*A29)*NORMSDIST(-((($B$7+$B$5^2/2)*A29/($B$5*SQRT(A29)))-$B$5*SQRT(A29)))-NORMSDIST(-(($B$7+$B$5^2/2)*A29/($B$5*SQRT(A29)))),"")</f>
        <v>0.272641377521393</v>
      </c>
      <c r="D29" s="13" t="str">
        <f aca="false">IF(A29=9.6,"the maximum this method reaches at this volatility","")</f>
        <v/>
      </c>
    </row>
    <row r="30" customFormat="false" ht="15" hidden="false" customHeight="false" outlineLevel="0" collapsed="false">
      <c r="A30" s="11" t="n">
        <v>25</v>
      </c>
      <c r="B30" s="24" t="n">
        <f aca="false">IFERROR(EXP(-$B$7*A30)*NORMSDIST(-((($B$7+$B$5^2/2)*A30/($B$5*SQRT(A30)))-$B$5*SQRT(A30)))-NORMSDIST(-(($B$7+$B$5^2/2)*A30/($B$5*SQRT(A30)))),"")</f>
        <v>0.218345034142415</v>
      </c>
      <c r="D30" s="13" t="str">
        <f aca="false">IF(A30=9.6,"the maximum this method reaches at this volatility","")</f>
        <v/>
      </c>
    </row>
    <row r="32" customFormat="false" ht="15" hidden="false" customHeight="false" outlineLevel="0" collapsed="false">
      <c r="A32" s="18" t="s">
        <v>111</v>
      </c>
      <c r="B32" s="22" t="n">
        <f aca="false">MAX(B25:B30)</f>
        <v>0.286465068656475</v>
      </c>
      <c r="D32" s="13" t="str">
        <f aca="false">IF(B32&lt;B14,"the convention is UNREACHABLE at this volatility","reachable")</f>
        <v>the convention is UNREACHABLE at this volatility</v>
      </c>
    </row>
    <row r="34" customFormat="false" ht="51.75" hidden="false" customHeight="true" outlineLevel="0" collapsed="false">
      <c r="A34" s="27" t="s">
        <v>112</v>
      </c>
      <c r="B34" s="27"/>
      <c r="C34" s="27"/>
      <c r="D34" s="27"/>
    </row>
    <row r="38" customFormat="false" ht="39.75" hidden="false" customHeight="true" outlineLevel="0" collapsed="false">
      <c r="A38" s="27" t="s">
        <v>113</v>
      </c>
      <c r="B38" s="27"/>
      <c r="C38" s="27"/>
      <c r="D38" s="27"/>
    </row>
  </sheetData>
  <mergeCells count="2">
    <mergeCell ref="A34:D34"/>
    <mergeCell ref="A38:D3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4" min="2" style="0" width="16"/>
    <col collapsed="false" customWidth="true" hidden="false" outlineLevel="0" max="5" min="5" style="0" width="44"/>
  </cols>
  <sheetData>
    <row r="1" customFormat="false" ht="17.35" hidden="false" customHeight="false" outlineLevel="0" collapsed="false">
      <c r="A1" s="5" t="s">
        <v>114</v>
      </c>
    </row>
    <row r="2" customFormat="false" ht="15" hidden="false" customHeight="false" outlineLevel="0" collapsed="false">
      <c r="A2" s="2" t="s">
        <v>115</v>
      </c>
    </row>
    <row r="4" customFormat="false" ht="30" hidden="false" customHeight="true" outlineLevel="0" collapsed="false">
      <c r="A4" s="12" t="s">
        <v>41</v>
      </c>
      <c r="B4" s="12" t="s">
        <v>42</v>
      </c>
      <c r="C4" s="12" t="s">
        <v>43</v>
      </c>
      <c r="D4" s="12" t="s">
        <v>116</v>
      </c>
      <c r="E4" s="12"/>
    </row>
    <row r="5" customFormat="false" ht="15" hidden="false" customHeight="false" outlineLevel="0" collapsed="false">
      <c r="A5" s="13" t="str">
        <f aca="false">'1. The Inputs'!A25</f>
        <v>trade 1</v>
      </c>
      <c r="B5" s="31" t="n">
        <f aca="false">'1. The Inputs'!B25</f>
        <v>3</v>
      </c>
      <c r="C5" s="23" t="n">
        <f aca="false">'1. The Inputs'!C25</f>
        <v>71</v>
      </c>
      <c r="D5" s="30" t="n">
        <f aca="false">LN(B5)</f>
        <v>1.09861228866811</v>
      </c>
    </row>
    <row r="6" customFormat="false" ht="15" hidden="false" customHeight="false" outlineLevel="0" collapsed="false">
      <c r="A6" s="13" t="str">
        <f aca="false">'1. The Inputs'!A26</f>
        <v>trade 2</v>
      </c>
      <c r="B6" s="31" t="n">
        <f aca="false">'1. The Inputs'!B26</f>
        <v>42</v>
      </c>
      <c r="C6" s="23" t="n">
        <f aca="false">'1. The Inputs'!C26</f>
        <v>78</v>
      </c>
      <c r="D6" s="30" t="n">
        <f aca="false">LN(B6)</f>
        <v>3.73766961828337</v>
      </c>
    </row>
    <row r="7" customFormat="false" ht="15" hidden="false" customHeight="false" outlineLevel="0" collapsed="false">
      <c r="A7" s="13" t="str">
        <f aca="false">'1. The Inputs'!A27</f>
        <v>trade 3</v>
      </c>
      <c r="B7" s="31" t="n">
        <f aca="false">'1. The Inputs'!B27</f>
        <v>63</v>
      </c>
      <c r="C7" s="23" t="n">
        <f aca="false">'1. The Inputs'!C27</f>
        <v>84</v>
      </c>
      <c r="D7" s="30" t="n">
        <f aca="false">LN(B7)</f>
        <v>4.14313472639153</v>
      </c>
    </row>
    <row r="9" customFormat="false" ht="15" hidden="false" customHeight="false" outlineLevel="0" collapsed="false">
      <c r="A9" s="18" t="s">
        <v>117</v>
      </c>
    </row>
    <row r="10" customFormat="false" ht="15" hidden="false" customHeight="false" outlineLevel="0" collapsed="false">
      <c r="A10" s="6" t="s">
        <v>118</v>
      </c>
      <c r="B10" s="32" t="n">
        <f aca="false">SLOPE(C5:C7,D5:D7)</f>
        <v>3.68852654827517</v>
      </c>
    </row>
    <row r="11" customFormat="false" ht="15" hidden="false" customHeight="false" outlineLevel="0" collapsed="false">
      <c r="A11" s="6" t="s">
        <v>119</v>
      </c>
      <c r="B11" s="32" t="n">
        <f aca="false">INTERCEPT(C5:C7,D5:D7)</f>
        <v>66.6263944532969</v>
      </c>
    </row>
    <row r="13" customFormat="false" ht="15" hidden="false" customHeight="false" outlineLevel="0" collapsed="false">
      <c r="A13" s="6" t="s">
        <v>48</v>
      </c>
      <c r="B13" s="31" t="n">
        <f aca="false">'1. The Inputs'!B29</f>
        <v>60</v>
      </c>
    </row>
    <row r="14" customFormat="false" ht="15" hidden="false" customHeight="false" outlineLevel="0" collapsed="false">
      <c r="A14" s="18" t="s">
        <v>120</v>
      </c>
      <c r="B14" s="25" t="n">
        <f aca="false">IFERROR(B11+B10*LN(B13),"")</f>
        <v>81.7284930688392</v>
      </c>
    </row>
    <row r="16" customFormat="false" ht="15" hidden="false" customHeight="false" outlineLevel="0" collapsed="false">
      <c r="A16" s="4" t="s">
        <v>121</v>
      </c>
    </row>
    <row r="17" customFormat="false" ht="30" hidden="false" customHeight="true" outlineLevel="0" collapsed="false">
      <c r="A17" s="12"/>
      <c r="B17" s="12" t="s">
        <v>122</v>
      </c>
      <c r="C17" s="12" t="s">
        <v>123</v>
      </c>
      <c r="D17" s="12"/>
      <c r="E17" s="12"/>
    </row>
    <row r="18" customFormat="false" ht="15" hidden="false" customHeight="false" outlineLevel="0" collapsed="false">
      <c r="A18" s="6" t="s">
        <v>124</v>
      </c>
      <c r="B18" s="23" t="n">
        <f aca="false">'1. The Inputs'!B28</f>
        <v>96</v>
      </c>
      <c r="C18" s="21" t="n">
        <f aca="false">IFERROR((B18-$B$14)/$B$14,"")</f>
        <v>0.174620947912744</v>
      </c>
      <c r="E18" s="13" t="s">
        <v>125</v>
      </c>
    </row>
    <row r="19" customFormat="false" ht="15" hidden="false" customHeight="false" outlineLevel="0" collapsed="false">
      <c r="A19" s="6" t="s">
        <v>126</v>
      </c>
      <c r="B19" s="23" t="n">
        <f aca="false">C5</f>
        <v>71</v>
      </c>
      <c r="C19" s="21" t="n">
        <f aca="false">IFERROR((B19-$B$14)/$B$14,"")</f>
        <v>-0.131269923939533</v>
      </c>
      <c r="E19" s="13" t="s">
        <v>127</v>
      </c>
    </row>
    <row r="20" customFormat="false" ht="15" hidden="false" customHeight="false" outlineLevel="0" collapsed="false">
      <c r="A20" s="18" t="s">
        <v>128</v>
      </c>
      <c r="C20" s="22" t="n">
        <f aca="false">IFERROR(C18-C19,"")</f>
        <v>0.305890871852277</v>
      </c>
    </row>
    <row r="22" customFormat="false" ht="43.5" hidden="false" customHeight="true" outlineLevel="0" collapsed="false">
      <c r="A22" s="27" t="s">
        <v>129</v>
      </c>
      <c r="B22" s="27"/>
      <c r="C22" s="27"/>
      <c r="D22" s="27"/>
      <c r="E22" s="27"/>
    </row>
  </sheetData>
  <mergeCells count="1">
    <mergeCell ref="A22:E2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4" min="2" style="0" width="16"/>
    <col collapsed="false" customWidth="true" hidden="false" outlineLevel="0" max="5" min="5" style="0" width="46"/>
  </cols>
  <sheetData>
    <row r="1" customFormat="false" ht="17.35" hidden="false" customHeight="false" outlineLevel="0" collapsed="false">
      <c r="A1" s="5" t="s">
        <v>130</v>
      </c>
    </row>
    <row r="2" customFormat="false" ht="15" hidden="false" customHeight="false" outlineLevel="0" collapsed="false">
      <c r="A2" s="2" t="s">
        <v>131</v>
      </c>
    </row>
    <row r="4" customFormat="false" ht="30" hidden="false" customHeight="true" outlineLevel="0" collapsed="false">
      <c r="A4" s="12"/>
      <c r="B4" s="12" t="s">
        <v>132</v>
      </c>
      <c r="C4" s="12" t="s">
        <v>56</v>
      </c>
      <c r="D4" s="12"/>
      <c r="E4" s="12"/>
    </row>
    <row r="5" customFormat="false" ht="15" hidden="false" customHeight="false" outlineLevel="0" collapsed="false">
      <c r="A5" s="6" t="s">
        <v>51</v>
      </c>
      <c r="B5" s="33" t="n">
        <f aca="false">'1. The Inputs'!B33</f>
        <v>0.0525</v>
      </c>
      <c r="C5" s="23" t="n">
        <f aca="false">IFERROR('1. The Inputs'!$B$32/B5,"")</f>
        <v>121.904761904762</v>
      </c>
    </row>
    <row r="6" customFormat="false" ht="15" hidden="false" customHeight="false" outlineLevel="0" collapsed="false">
      <c r="A6" s="6" t="s">
        <v>52</v>
      </c>
      <c r="B6" s="33" t="n">
        <f aca="false">'1. The Inputs'!B34</f>
        <v>0.05</v>
      </c>
      <c r="C6" s="23" t="n">
        <f aca="false">IFERROR('1. The Inputs'!$B$32/B6,"")</f>
        <v>128</v>
      </c>
    </row>
    <row r="7" customFormat="false" ht="15" hidden="false" customHeight="false" outlineLevel="0" collapsed="false">
      <c r="A7" s="6" t="s">
        <v>53</v>
      </c>
      <c r="B7" s="33" t="n">
        <f aca="false">'1. The Inputs'!B35</f>
        <v>0.0575</v>
      </c>
      <c r="C7" s="23" t="n">
        <f aca="false">IFERROR('1. The Inputs'!$B$32/B7,"")</f>
        <v>111.304347826087</v>
      </c>
    </row>
    <row r="9" customFormat="false" ht="15" hidden="false" customHeight="false" outlineLevel="0" collapsed="false">
      <c r="A9" s="18" t="s">
        <v>133</v>
      </c>
      <c r="C9" s="25" t="n">
        <f aca="false">IFERROR(C6-C7,"")</f>
        <v>16.695652173913</v>
      </c>
    </row>
    <row r="10" customFormat="false" ht="15" hidden="false" customHeight="false" outlineLevel="0" collapsed="false">
      <c r="A10" s="18" t="s">
        <v>134</v>
      </c>
      <c r="C10" s="22" t="n">
        <f aca="false">IFERROR(C9/C5,"")</f>
        <v>0.13695652173913</v>
      </c>
    </row>
    <row r="11" customFormat="false" ht="15" hidden="false" customHeight="false" outlineLevel="0" collapsed="false">
      <c r="A11" s="18" t="s">
        <v>135</v>
      </c>
      <c r="B11" s="34" t="n">
        <f aca="false">IFERROR(B7-B6,"")</f>
        <v>0.0075</v>
      </c>
    </row>
    <row r="13" customFormat="false" ht="42" hidden="false" customHeight="true" outlineLevel="0" collapsed="false">
      <c r="A13" s="27" t="s">
        <v>136</v>
      </c>
      <c r="B13" s="27"/>
      <c r="C13" s="27"/>
      <c r="D13" s="27"/>
      <c r="E13" s="27"/>
    </row>
  </sheetData>
  <mergeCells count="1">
    <mergeCell ref="A13:E1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4" min="2" style="0" width="17"/>
    <col collapsed="false" customWidth="true" hidden="false" outlineLevel="0" max="5" min="5" style="0" width="22"/>
  </cols>
  <sheetData>
    <row r="1" customFormat="false" ht="17.35" hidden="false" customHeight="false" outlineLevel="0" collapsed="false">
      <c r="A1" s="5" t="s">
        <v>137</v>
      </c>
    </row>
    <row r="2" customFormat="false" ht="15" hidden="false" customHeight="false" outlineLevel="0" collapsed="false">
      <c r="A2" s="2" t="s">
        <v>138</v>
      </c>
    </row>
    <row r="4" customFormat="false" ht="30" hidden="false" customHeight="true" outlineLevel="0" collapsed="false">
      <c r="A4" s="12" t="s">
        <v>139</v>
      </c>
      <c r="B4" s="12" t="s">
        <v>140</v>
      </c>
      <c r="C4" s="12" t="s">
        <v>141</v>
      </c>
      <c r="D4" s="12" t="s">
        <v>142</v>
      </c>
      <c r="E4" s="12" t="s">
        <v>143</v>
      </c>
    </row>
    <row r="5" customFormat="false" ht="15" hidden="false" customHeight="false" outlineLevel="0" collapsed="false">
      <c r="A5" s="13" t="s">
        <v>144</v>
      </c>
      <c r="B5" s="17" t="n">
        <v>45</v>
      </c>
      <c r="C5" s="17" t="n">
        <f aca="false">'2. The Secondary Bid'!B8</f>
        <v>45</v>
      </c>
      <c r="D5" s="35" t="str">
        <f aca="false">IF(ISNUMBER(C5)=FALSE(),"CHECK",IF(ABS(C5-B5)&lt;=0.01,"OK","CHECK"))</f>
        <v>OK</v>
      </c>
      <c r="E5" s="13" t="s">
        <v>145</v>
      </c>
    </row>
    <row r="6" customFormat="false" ht="15" hidden="false" customHeight="false" outlineLevel="0" collapsed="false">
      <c r="A6" s="13" t="s">
        <v>146</v>
      </c>
      <c r="B6" s="17" t="n">
        <v>34.41</v>
      </c>
      <c r="C6" s="17" t="n">
        <f aca="false">'2. The Secondary Bid'!B10</f>
        <v>34.4118351771999</v>
      </c>
      <c r="D6" s="35" t="str">
        <f aca="false">IF(ISNUMBER(C6)=FALSE(),"CHECK",IF(ABS(C6-B6)&lt;=0.02,"OK","CHECK"))</f>
        <v>OK</v>
      </c>
      <c r="E6" s="13" t="s">
        <v>147</v>
      </c>
    </row>
    <row r="7" customFormat="false" ht="15" hidden="false" customHeight="false" outlineLevel="0" collapsed="false">
      <c r="A7" s="13" t="s">
        <v>148</v>
      </c>
      <c r="B7" s="24" t="n">
        <v>0.688</v>
      </c>
      <c r="C7" s="24" t="n">
        <f aca="false">'2. The Secondary Bid'!B13</f>
        <v>0.688236703543997</v>
      </c>
      <c r="D7" s="35" t="str">
        <f aca="false">IF(ISNUMBER(C7)=FALSE(),"CHECK",IF(ABS(C7-B7)&lt;=0.002,"OK","CHECK"))</f>
        <v>OK</v>
      </c>
      <c r="E7" s="13" t="s">
        <v>149</v>
      </c>
    </row>
    <row r="8" customFormat="false" ht="15" hidden="false" customHeight="false" outlineLevel="0" collapsed="false">
      <c r="A8" s="13" t="s">
        <v>150</v>
      </c>
      <c r="B8" s="23" t="n">
        <v>10</v>
      </c>
      <c r="C8" s="23" t="n">
        <f aca="false">'2. The Secondary Bid'!B18</f>
        <v>10</v>
      </c>
      <c r="D8" s="35" t="str">
        <f aca="false">IF(ISNUMBER(C8)=FALSE(),"CHECK",IF(ABS(C8-B8)&lt;=0.05,"OK","CHECK"))</f>
        <v>OK</v>
      </c>
      <c r="E8" s="13" t="s">
        <v>151</v>
      </c>
    </row>
    <row r="9" customFormat="false" ht="15" hidden="false" customHeight="false" outlineLevel="0" collapsed="false">
      <c r="A9" s="13" t="s">
        <v>152</v>
      </c>
      <c r="B9" s="23" t="n">
        <v>21.2</v>
      </c>
      <c r="C9" s="23" t="n">
        <f aca="false">'2. The Secondary Bid'!B19</f>
        <v>21.1763296456003</v>
      </c>
      <c r="D9" s="35" t="str">
        <f aca="false">IF(ISNUMBER(C9)=FALSE(),"CHECK",IF(ABS(C9-B9)&lt;=0.05,"OK","CHECK"))</f>
        <v>OK</v>
      </c>
      <c r="E9" s="13" t="s">
        <v>151</v>
      </c>
    </row>
    <row r="10" customFormat="false" ht="15" hidden="false" customHeight="false" outlineLevel="0" collapsed="false">
      <c r="A10" s="13" t="s">
        <v>153</v>
      </c>
      <c r="B10" s="23" t="n">
        <v>31.2</v>
      </c>
      <c r="C10" s="23" t="n">
        <f aca="false">'2. The Secondary Bid'!B20</f>
        <v>31.1763296456003</v>
      </c>
      <c r="D10" s="35" t="str">
        <f aca="false">IF(ISNUMBER(C10)=FALSE(),"CHECK",IF(ABS(C10-B10)&lt;=0.05,"OK","CHECK"))</f>
        <v>OK</v>
      </c>
      <c r="E10" s="13" t="s">
        <v>151</v>
      </c>
    </row>
    <row r="11" customFormat="false" ht="15" hidden="false" customHeight="false" outlineLevel="0" collapsed="false">
      <c r="A11" s="13" t="s">
        <v>154</v>
      </c>
      <c r="B11" s="24" t="n">
        <v>0.18</v>
      </c>
      <c r="C11" s="24" t="n">
        <f aca="false">'3. The Double-Count'!B7</f>
        <v>0.179775280898877</v>
      </c>
      <c r="D11" s="35" t="str">
        <f aca="false">IF(ISNUMBER(C11)=FALSE(),"CHECK",IF(ABS(C11-B11)&lt;=0.002,"OK","CHECK"))</f>
        <v>OK</v>
      </c>
      <c r="E11" s="13" t="s">
        <v>149</v>
      </c>
    </row>
    <row r="12" customFormat="false" ht="15" hidden="false" customHeight="false" outlineLevel="0" collapsed="false">
      <c r="A12" s="13" t="s">
        <v>155</v>
      </c>
      <c r="B12" s="24" t="n">
        <v>0.344</v>
      </c>
      <c r="C12" s="24" t="n">
        <f aca="false">'3. The Double-Count'!B9</f>
        <v>0.343820224719101</v>
      </c>
      <c r="D12" s="35" t="str">
        <f aca="false">IF(ISNUMBER(C12)=FALSE(),"CHECK",IF(ABS(C12-B12)&lt;=0.002,"OK","CHECK"))</f>
        <v>OK</v>
      </c>
      <c r="E12" s="13" t="s">
        <v>149</v>
      </c>
    </row>
    <row r="13" customFormat="false" ht="15" hidden="false" customHeight="false" outlineLevel="0" collapsed="false">
      <c r="A13" s="13" t="s">
        <v>156</v>
      </c>
      <c r="B13" s="24" t="n">
        <v>0.164</v>
      </c>
      <c r="C13" s="24" t="n">
        <f aca="false">'3. The Double-Count'!B11</f>
        <v>0.164044943820225</v>
      </c>
      <c r="D13" s="35" t="str">
        <f aca="false">IF(ISNUMBER(C13)=FALSE(),"CHECK",IF(ABS(C13-B13)&lt;=0.002,"OK","CHECK"))</f>
        <v>OK</v>
      </c>
      <c r="E13" s="13" t="s">
        <v>149</v>
      </c>
    </row>
    <row r="14" customFormat="false" ht="15" hidden="false" customHeight="false" outlineLevel="0" collapsed="false">
      <c r="A14" s="13" t="s">
        <v>157</v>
      </c>
      <c r="B14" s="23" t="n">
        <v>19.7</v>
      </c>
      <c r="C14" s="23" t="n">
        <f aca="false">'3. The Double-Count'!B12</f>
        <v>19.685393258427</v>
      </c>
      <c r="D14" s="35" t="str">
        <f aca="false">IF(ISNUMBER(C14)=FALSE(),"CHECK",IF(ABS(C14-B14)&lt;=0.1,"OK","CHECK"))</f>
        <v>OK</v>
      </c>
      <c r="E14" s="13" t="s">
        <v>158</v>
      </c>
    </row>
    <row r="15" customFormat="false" ht="15" hidden="false" customHeight="false" outlineLevel="0" collapsed="false">
      <c r="A15" s="13" t="s">
        <v>159</v>
      </c>
      <c r="B15" s="24" t="n">
        <v>0.22</v>
      </c>
      <c r="C15" s="24" t="n">
        <f aca="false">'4. The Marketability Discount'!B10</f>
        <v>0.219668720022823</v>
      </c>
      <c r="D15" s="35" t="str">
        <f aca="false">IF(ISNUMBER(C15)=FALSE(),"CHECK",IF(ABS(C15-B15)&lt;=0.003,"OK","CHECK"))</f>
        <v>OK</v>
      </c>
      <c r="E15" s="13" t="s">
        <v>160</v>
      </c>
    </row>
    <row r="16" customFormat="false" ht="15" hidden="false" customHeight="false" outlineLevel="0" collapsed="false">
      <c r="A16" s="13" t="s">
        <v>161</v>
      </c>
      <c r="B16" s="24" t="n">
        <v>0.286</v>
      </c>
      <c r="C16" s="24" t="n">
        <f aca="false">'4. The Marketability Discount'!B32</f>
        <v>0.286465068656475</v>
      </c>
      <c r="D16" s="35" t="str">
        <f aca="false">IF(ISNUMBER(C16)=FALSE(),"CHECK",IF(ABS(C16-B16)&lt;=0.004,"OK","CHECK"))</f>
        <v>OK</v>
      </c>
      <c r="E16" s="13" t="s">
        <v>162</v>
      </c>
    </row>
    <row r="17" customFormat="false" ht="15" hidden="false" customHeight="false" outlineLevel="0" collapsed="false">
      <c r="A17" s="13" t="s">
        <v>163</v>
      </c>
      <c r="B17" s="23" t="n">
        <v>81.7</v>
      </c>
      <c r="C17" s="23" t="n">
        <f aca="false">'5. Orderly or Forced'!B14</f>
        <v>81.7284930688392</v>
      </c>
      <c r="D17" s="35" t="str">
        <f aca="false">IF(ISNUMBER(C17)=FALSE(),"CHECK",IF(ABS(C17-B17)&lt;=0.15,"OK","CHECK"))</f>
        <v>OK</v>
      </c>
      <c r="E17" s="13" t="s">
        <v>164</v>
      </c>
    </row>
    <row r="18" customFormat="false" ht="15" hidden="false" customHeight="false" outlineLevel="0" collapsed="false">
      <c r="A18" s="13" t="s">
        <v>165</v>
      </c>
      <c r="B18" s="24" t="n">
        <v>0.175</v>
      </c>
      <c r="C18" s="24" t="n">
        <f aca="false">'5. Orderly or Forced'!C18</f>
        <v>0.174620947912744</v>
      </c>
      <c r="D18" s="35" t="str">
        <f aca="false">IF(ISNUMBER(C18)=FALSE(),"CHECK",IF(ABS(C18-B18)&lt;=0.003,"OK","CHECK"))</f>
        <v>OK</v>
      </c>
      <c r="E18" s="13" t="s">
        <v>160</v>
      </c>
    </row>
    <row r="19" customFormat="false" ht="15" hidden="false" customHeight="false" outlineLevel="0" collapsed="false">
      <c r="A19" s="13" t="s">
        <v>166</v>
      </c>
      <c r="B19" s="24" t="n">
        <v>-0.131</v>
      </c>
      <c r="C19" s="24" t="n">
        <f aca="false">'5. Orderly or Forced'!C19</f>
        <v>-0.131269923939533</v>
      </c>
      <c r="D19" s="35" t="str">
        <f aca="false">IF(ISNUMBER(C19)=FALSE(),"CHECK",IF(ABS(C19-B19)&lt;=0.003,"OK","CHECK"))</f>
        <v>OK</v>
      </c>
      <c r="E19" s="13" t="s">
        <v>160</v>
      </c>
    </row>
    <row r="20" customFormat="false" ht="15" hidden="false" customHeight="false" outlineLevel="0" collapsed="false">
      <c r="A20" s="13" t="s">
        <v>167</v>
      </c>
      <c r="B20" s="24" t="n">
        <v>0.137</v>
      </c>
      <c r="C20" s="24" t="n">
        <f aca="false">'6. The Appraisal'!C10</f>
        <v>0.13695652173913</v>
      </c>
      <c r="D20" s="35" t="str">
        <f aca="false">IF(ISNUMBER(C20)=FALSE(),"CHECK",IF(ABS(C20-B20)&lt;=0.002,"OK","CHECK"))</f>
        <v>OK</v>
      </c>
      <c r="E20" s="13" t="s">
        <v>149</v>
      </c>
    </row>
    <row r="22" customFormat="false" ht="15" hidden="false" customHeight="false" outlineLevel="0" collapsed="false">
      <c r="A22" s="18" t="s">
        <v>168</v>
      </c>
      <c r="B22" s="36" t="n">
        <f aca="false">COUNTIF(D5:D20,"OK")</f>
        <v>16</v>
      </c>
      <c r="C22" s="36" t="n">
        <f aca="false">COUNTA(D5:D20)</f>
        <v>16</v>
      </c>
      <c r="D22" s="37" t="str">
        <f aca="false">IF(B22=C22,"ALL PASS","SOME FAIL")</f>
        <v>ALL 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2026-08-22T08:47:00Z</dcterms:created>
  <dc:creator>openpyxl</dc:creator>
  <dc:description/>
  <dc:language>en-US</dc:language>
  <cp:lastModifiedBy/>
  <dcterms:modified xsi:type="dcterms:W3CDTF">2026-09-23T21:14:29Z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