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Assumptions" sheetId="2" state="visible" r:id="rId4"/>
    <sheet name="2. Net debt" sheetId="3" state="visible" r:id="rId5"/>
    <sheet name="3. The waterfall" sheetId="4" state="visible" r:id="rId6"/>
    <sheet name="4. Exit ladder" sheetId="5" state="visible" r:id="rId7"/>
    <sheet name="5. Check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<sst xmlns="http://schemas.openxmlformats.org/spreadsheetml/2006/main" count="148" uniqueCount="128">
  <si>
    <t xml:space="preserve">From Enterprise Value to the Value of a Security</t>
  </si>
  <si>
    <t xml:space="preserve">Chapters 8 and 9 of The Private Markets Valuation Specialist, with the waterfall solved in the cell.</t>
  </si>
  <si>
    <t xml:space="preserve">Chapter 9 calls the bridge deceptively simple and warns that a specialist who cannot walk it does not understand the valuation they have signed. Chapter 8 names the error it exists to prevent: treating the headline post-money valuation of a financing round as the value of the common equity you hold, when the round bought a senior security with a liquidation preference and the common did not.</t>
  </si>
  <si>
    <t xml:space="preserve">This file walks the bridge twice. Once at the enterprise value the market approach produced, line by line. And then across a ladder of enterprise values from distress to a strong exit, so you can watch each layer of the structure switch on and off.</t>
  </si>
  <si>
    <t xml:space="preserve">What the ladder shows</t>
  </si>
  <si>
    <t xml:space="preserve">Three things happen at three different enterprise values, and none of them is visible from a single mark.</t>
  </si>
  <si>
    <t xml:space="preserve">First, the preferences take their money off the top before anything else moves: the participating Series B, then the non-participating Series A. Below that threshold the common is worth nothing at all, whatever the company is worth.</t>
  </si>
  <si>
    <t xml:space="preserve">Second, the options come into the money. Below the strike they are worth nothing and must be excluded, because including them would dilute a price that is already below the exercise price. Sheet 4 shows why the test can be run on the undiluted price without circularity: options are in the money exactly when the residual per undiluted share exceeds the strike, and never otherwise.</t>
  </si>
  <si>
    <t xml:space="preserve">Third, the non-participating preferred switches. Below the crossover it takes its liquidation preference and refuses to convert; above it, converting is worth more and it converts. The file computes both branches on every row and takes the one the holder would actually choose, which is what the security says, and what a market participant would assume. Rows 22 to 24 of sheet 4 give the three enterprise values: 190, 302.5 and 344 on these inputs.</t>
  </si>
  <si>
    <t xml:space="preserve">What the file does not do</t>
  </si>
  <si>
    <t xml:space="preserve">No cumulative dividend or accruing preference, no multiple-on-invested-capital hurdle, no anti-dilution ratchet, no management incentive plan sitting behind the common, no foreign currency. Each of those is a real complication of a real cap table, and each would obscure the mechanic this file exists to make plain.</t>
  </si>
  <si>
    <t xml:space="preserve">The sheets</t>
  </si>
  <si>
    <t xml:space="preserve">1. Assumptions — the cap table and the components of net debt.</t>
  </si>
  <si>
    <t xml:space="preserve">2. Net debt — the eight lines, and the judgment inside each.</t>
  </si>
  <si>
    <t xml:space="preserve">3. The waterfall — one enterprise value, walked to the value of each security.</t>
  </si>
  <si>
    <t xml:space="preserve">4. Exit ladder — the same walk at fourteen enterprise values, with every branch shown.</t>
  </si>
  <si>
    <t xml:space="preserve">5. Checks — seven controls that test themselves and say so.</t>
  </si>
  <si>
    <t xml:space="preserve">Nothing is locked, protected or watermarked. Break it and rebuild it.</t>
  </si>
  <si>
    <t xml:space="preserve">Revised 23 September 2026. Check 7 compared the value of the common with the whole headline post-money (29 per cent). The common holds only 47 per cent of the shares, so that ratio reads as a warning even with no preference at all. The gap Chapter 8 names is per share: the common is worth 1.24 against the round price of 2.00, 62 per cent of what the headline implies for it (sheet 3, row 40), and check 7 now tests that. The options come into the money at an enterprise value of 302.5, before Series A converts at 344, and the common is worth nothing until both preferences are covered at 190: the order of the kinks is corrected and computed (sheet 4, rows 22 to 24). Check 8 added. No value in the waterfall changes.</t>
  </si>
  <si>
    <t xml:space="preserve">Enterprise value</t>
  </si>
  <si>
    <t xml:space="preserve">Value</t>
  </si>
  <si>
    <t xml:space="preserve">Note</t>
  </si>
  <si>
    <t xml:space="preserve">Enterprise value ($m)</t>
  </si>
  <si>
    <t xml:space="preserve">Carried across from Market_Approach_and_Calibration.xlsx.</t>
  </si>
  <si>
    <t xml:space="preserve">The capital structure</t>
  </si>
  <si>
    <t xml:space="preserve">Series B preferred — invested ($m)</t>
  </si>
  <si>
    <t xml:space="preserve">1x participating: takes its money back, then shares the rest as if converted.</t>
  </si>
  <si>
    <t xml:space="preserve">Series B preferred — shares on conversion (m)</t>
  </si>
  <si>
    <t xml:space="preserve">Series A preferred — invested ($m)</t>
  </si>
  <si>
    <t xml:space="preserve">1x non-participating: takes its money back, or converts. Never both.</t>
  </si>
  <si>
    <t xml:space="preserve">Series A preferred — shares on conversion (m)</t>
  </si>
  <si>
    <t xml:space="preserve">Common shares (m)</t>
  </si>
  <si>
    <t xml:space="preserve">What the founders and the option pool sit behind.</t>
  </si>
  <si>
    <t xml:space="preserve">Options outstanding (m)</t>
  </si>
  <si>
    <t xml:space="preserve">Option strike ($)</t>
  </si>
  <si>
    <t xml:space="preserve">Net debt at the measurement date</t>
  </si>
  <si>
    <t xml:space="preserve">Net debt, from sheet 2 ($m)</t>
  </si>
  <si>
    <t xml:space="preserve">Component</t>
  </si>
  <si>
    <t xml:space="preserve">$m</t>
  </si>
  <si>
    <t xml:space="preserve">Why it is a judgment and not a lookup</t>
  </si>
  <si>
    <t xml:space="preserve">Senior term loan</t>
  </si>
  <si>
    <t xml:space="preserve">Face value, or fair value? At par if the loan is at market; Chapter 10 applies if it is not.</t>
  </si>
  <si>
    <t xml:space="preserve">Revolving facility drawn</t>
  </si>
  <si>
    <t xml:space="preserve">The drawn balance at the measurement date, not the average and not the commitment.</t>
  </si>
  <si>
    <t xml:space="preserve">Finance leases</t>
  </si>
  <si>
    <t xml:space="preserve">In or out depends on whether the comparable multiples were struck on a pre- or post-lease EBITDA. Inconsistency here is the single most common bridge error.</t>
  </si>
  <si>
    <t xml:space="preserve">Accrued but unpaid interest</t>
  </si>
  <si>
    <t xml:space="preserve">Owed, unpaid, and routinely forgotten.</t>
  </si>
  <si>
    <t xml:space="preserve">Pension deficit, net of tax</t>
  </si>
  <si>
    <t xml:space="preserve">A debt-like claim on the same cash flows. A market participant would fund it.</t>
  </si>
  <si>
    <t xml:space="preserve">Deferred consideration on a bolt-on</t>
  </si>
  <si>
    <t xml:space="preserve">Probability-weighted, discounted. If the earn-out is unlikely to be met, this line is not its face value.</t>
  </si>
  <si>
    <t xml:space="preserve">Cash and equivalents</t>
  </si>
  <si>
    <t xml:space="preserve">Less any cash the business cannot actually distribute — trapped, restricted, or needed to run.</t>
  </si>
  <si>
    <t xml:space="preserve">Net debt</t>
  </si>
  <si>
    <t xml:space="preserve">Seven lines, six of which contain a judgment. Chapter 9: the bridge is a test of whether you understand the valuation you signed.</t>
  </si>
  <si>
    <t xml:space="preserve">The walk</t>
  </si>
  <si>
    <t xml:space="preserve">Less: net debt ($m)</t>
  </si>
  <si>
    <t xml:space="preserve">Equity value ($m)</t>
  </si>
  <si>
    <t xml:space="preserve">Everything below divides this number, and nothing creates or destroys any of it.</t>
  </si>
  <si>
    <t xml:space="preserve">If Series A converts</t>
  </si>
  <si>
    <t xml:space="preserve">Residual after the Series B preference ($m)</t>
  </si>
  <si>
    <t xml:space="preserve">Undiluted shares in the pool (m)</t>
  </si>
  <si>
    <t xml:space="preserve">Price per share, options excluded ($)</t>
  </si>
  <si>
    <t xml:space="preserve">Are the options in the money?</t>
  </si>
  <si>
    <t xml:space="preserve">The test is exact on the undiluted price. Sheet 4 note explains why.</t>
  </si>
  <si>
    <t xml:space="preserve">Price per share, options included where valid ($)</t>
  </si>
  <si>
    <t xml:space="preserve">Value to Series A on conversion ($m)</t>
  </si>
  <si>
    <t xml:space="preserve">If Series A takes its preference</t>
  </si>
  <si>
    <t xml:space="preserve">Series A preference, capped by what is left ($m)</t>
  </si>
  <si>
    <t xml:space="preserve">Residual after both preferences ($m)</t>
  </si>
  <si>
    <t xml:space="preserve">Series A is not in the pool: it took cash instead.</t>
  </si>
  <si>
    <t xml:space="preserve">What Series A actually does</t>
  </si>
  <si>
    <t xml:space="preserve">Conversion is worth more than the preference?</t>
  </si>
  <si>
    <t xml:space="preserve">The holder is assumed to do the better thing. A model that assumes otherwise is valuing a security nobody owns.</t>
  </si>
  <si>
    <t xml:space="preserve">Price per common share ($)</t>
  </si>
  <si>
    <t xml:space="preserve">The value of each security</t>
  </si>
  <si>
    <t xml:space="preserve">Series B preferred</t>
  </si>
  <si>
    <t xml:space="preserve">Its preference, then its share of the residual. That is what participating means.</t>
  </si>
  <si>
    <t xml:space="preserve">Series A preferred</t>
  </si>
  <si>
    <t xml:space="preserve">Common</t>
  </si>
  <si>
    <t xml:space="preserve">Options</t>
  </si>
  <si>
    <t xml:space="preserve">Total distributed</t>
  </si>
  <si>
    <t xml:space="preserve">Equity value, for comparison</t>
  </si>
  <si>
    <t xml:space="preserve">Residual</t>
  </si>
  <si>
    <t xml:space="preserve">Zero, or the waterfall leaks.</t>
  </si>
  <si>
    <t xml:space="preserve">The trap Chapter 8 names</t>
  </si>
  <si>
    <t xml:space="preserve">Headline post-money of the last round ($m)</t>
  </si>
  <si>
    <t xml:space="preserve">The Series B price per share, multiplied by every share outstanding. This is the number that gets quoted.</t>
  </si>
  <si>
    <t xml:space="preserve">Value of the common, on the same cap table ($m)</t>
  </si>
  <si>
    <t xml:space="preserve">Common as a share of the whole headline (not the gap: the common holds only 47 per cent of the shares)</t>
  </si>
  <si>
    <t xml:space="preserve">Row 41 is the share of the shares the common holds. The comparison that measures the preference stack is row 40.</t>
  </si>
  <si>
    <t xml:space="preserve">Round price per share ($)</t>
  </si>
  <si>
    <t xml:space="preserve">The common at the round price: what the headline implies for it ($m)</t>
  </si>
  <si>
    <t xml:space="preserve">Common value as a share of that</t>
  </si>
  <si>
    <t xml:space="preserve">The headline prices every share at the round price. The common is worth 1.24 a share against 2.00: 62 per cent of what the headline implies for it. The 38 per cent gap is the preference stack, and Chapter 8 calls ignoring it a well-known error.</t>
  </si>
  <si>
    <t xml:space="preserve">Common shares as a share of the shares in the headline</t>
  </si>
  <si>
    <t xml:space="preserve">Equity value</t>
  </si>
  <si>
    <t xml:space="preserve">Residual after B pref</t>
  </si>
  <si>
    <t xml:space="preserve">Price if A converts, ex options</t>
  </si>
  <si>
    <t xml:space="preserve">Price if A converts</t>
  </si>
  <si>
    <t xml:space="preserve">Value to A on conversion</t>
  </si>
  <si>
    <t xml:space="preserve">A preference, capped</t>
  </si>
  <si>
    <t xml:space="preserve">Residual after both</t>
  </si>
  <si>
    <t xml:space="preserve">Price if A takes pref, ex options</t>
  </si>
  <si>
    <t xml:space="preserve">Price if A takes pref</t>
  </si>
  <si>
    <t xml:space="preserve">Series A decision</t>
  </si>
  <si>
    <t xml:space="preserve">Price per common share</t>
  </si>
  <si>
    <t xml:space="preserve">Series B</t>
  </si>
  <si>
    <t xml:space="preserve">Series A</t>
  </si>
  <si>
    <t xml:space="preserve">Total</t>
  </si>
  <si>
    <t xml:space="preserve">Why the option test is exact and not circular: including the options adds S times K of exercise proceeds and S shares. The diluted price clears the strike exactly when the residual per undiluted share does — the two inequalities are algebraically the same — so the undiluted price can be tested first and the answer is not an approximation.</t>
  </si>
  <si>
    <t xml:space="preserve">Read down column L. It is flat at zero until both preferences are covered (row 22: the Series B preference, then the Series A preference), then rises, then kinks where the options come into the money (row 23), then kinks again where Series A converts and the pool it shares with grows (row 24). Three kinks, none of them visible from a single mark, all of them load-bearing for anyone who owns the common. On these inputs the options come in first; raise the strike above the conversion price and the order reverses.</t>
  </si>
  <si>
    <t xml:space="preserve">Where the three kinks fall</t>
  </si>
  <si>
    <t xml:space="preserve">The common starts to be worth anything: both preferences covered</t>
  </si>
  <si>
    <t xml:space="preserve">The options come into the money</t>
  </si>
  <si>
    <t xml:space="preserve">Series A converts</t>
  </si>
  <si>
    <t xml:space="preserve">#</t>
  </si>
  <si>
    <t xml:space="preserve">What is tested</t>
  </si>
  <si>
    <t xml:space="preserve">Verdict</t>
  </si>
  <si>
    <t xml:space="preserve">The waterfall distributes exactly the equity value: no leak, no creation</t>
  </si>
  <si>
    <t xml:space="preserve">Net debt equals the sum of its seven named components</t>
  </si>
  <si>
    <t xml:space="preserve">Series A does the better of its two choices, never the worse</t>
  </si>
  <si>
    <t xml:space="preserve">Options are valued only where the common price clears the strike</t>
  </si>
  <si>
    <t xml:space="preserve">Every row of the exit ladder distributes exactly its equity value</t>
  </si>
  <si>
    <t xml:space="preserve">The ladder is monotonic: the common never loses value as the enterprise value rises</t>
  </si>
  <si>
    <t xml:space="preserve">The common is worth less than the headline price implies for its own shares: the gap is the preference stack</t>
  </si>
  <si>
    <t xml:space="preserve">The ladder switches Series A to conversion exactly at the threshold of sheet 4, row 24</t>
  </si>
</sst>
</file>

<file path=xl/styles.xml><?xml version="1.0" encoding="utf-8"?>
<styleSheet xmlns="http://schemas.openxmlformats.org/spreadsheetml/2006/main">
  <numFmts count="6">
    <numFmt numFmtId="164" formatCode="General"/>
    <numFmt numFmtId="165" formatCode="#,##0.00"/>
    <numFmt numFmtId="166" formatCode="#,##0.0"/>
    <numFmt numFmtId="167" formatCode="0.0%"/>
    <numFmt numFmtId="168" formatCode="0.0000"/>
    <numFmt numFmtId="169" formatCode="0"/>
  </numFmts>
  <fonts count="7">
    <font>
      <sz val="11"/>
      <color theme="1"/>
      <name val="Calibri"/>
      <family val="2"/>
      <charset val="1"/>
    </font>
    <font>
      <sz val="10"/>
      <name val="Arial"/>
      <family val="0"/>
    </font>
    <font>
      <sz val="10"/>
      <name val="Arial"/>
      <family val="0"/>
    </font>
    <font>
      <sz val="10"/>
      <name val="Arial"/>
      <family val="0"/>
    </font>
    <font>
      <b val="true"/>
      <sz val="12"/>
      <color rgb="FF172A42"/>
      <name val="Cambria"/>
      <family val="0"/>
      <charset val="1"/>
    </font>
    <font>
      <b val="true"/>
      <sz val="11"/>
      <color rgb="FFFFFFFF"/>
      <name val="Cambria"/>
      <family val="0"/>
      <charset val="1"/>
    </font>
    <font>
      <b val="true"/>
      <sz val="11"/>
      <color rgb="FF172A42"/>
      <name val="Cambria"/>
      <family val="0"/>
      <charset val="1"/>
    </font>
  </fonts>
  <fills count="5">
    <fill>
      <patternFill patternType="none"/>
    </fill>
    <fill>
      <patternFill patternType="gray125"/>
    </fill>
    <fill>
      <patternFill patternType="solid">
        <fgColor rgb="FF172A42"/>
        <bgColor rgb="FF003366"/>
      </patternFill>
    </fill>
    <fill>
      <patternFill patternType="solid">
        <fgColor rgb="FFFFF3D6"/>
        <bgColor rgb="FFEFF3F8"/>
      </patternFill>
    </fill>
    <fill>
      <patternFill patternType="solid">
        <fgColor rgb="FFEFF3F8"/>
        <bgColor rgb="FFFFFFFF"/>
      </patternFill>
    </fill>
  </fills>
  <borders count="2">
    <border diagonalUp="false" diagonalDown="false">
      <left/>
      <right/>
      <top/>
      <bottom/>
      <diagonal/>
    </border>
    <border diagonalUp="false" diagonalDown="false">
      <left style="thin">
        <color rgb="FFBFC7D2"/>
      </left>
      <right style="thin">
        <color rgb="FFBFC7D2"/>
      </right>
      <top style="thin">
        <color rgb="FFBFC7D2"/>
      </top>
      <bottom style="thin">
        <color rgb="FFBFC7D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5" fillId="2" borderId="1" xfId="0" applyFont="true" applyBorder="true" applyAlignment="true" applyProtection="false">
      <alignment horizontal="general" vertical="center" textRotation="0" wrapText="tru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5" fontId="0" fillId="3"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6" fontId="0" fillId="3"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6" fillId="4"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0" fillId="4" borderId="1" xfId="0" applyFont="false" applyBorder="true" applyAlignment="false" applyProtection="false">
      <alignment horizontal="general" vertical="bottom" textRotation="0" wrapText="false" indent="0" shrinkToFit="false"/>
      <protection locked="true" hidden="false"/>
    </xf>
    <xf numFmtId="166" fontId="0" fillId="4" borderId="1" xfId="0" applyFont="false" applyBorder="true" applyAlignment="false" applyProtection="false">
      <alignment horizontal="general" vertical="bottom" textRotation="0" wrapText="fals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4" fontId="6" fillId="4" borderId="1" xfId="0" applyFont="true" applyBorder="true" applyAlignment="false" applyProtection="false">
      <alignment horizontal="general" vertical="bottom" textRotation="0" wrapText="false" indent="0" shrinkToFit="false"/>
      <protection locked="true" hidden="false"/>
    </xf>
    <xf numFmtId="167" fontId="6" fillId="4" borderId="1" xfId="0" applyFont="true" applyBorder="true" applyAlignment="false" applyProtection="false">
      <alignment horizontal="general" vertical="bottom" textRotation="0" wrapText="false" indent="0" shrinkToFit="false"/>
      <protection locked="true" hidden="false"/>
    </xf>
    <xf numFmtId="168" fontId="0" fillId="4" borderId="1" xfId="0" applyFont="false" applyBorder="true" applyAlignment="false" applyProtection="false">
      <alignment horizontal="general" vertical="bottom" textRotation="0" wrapText="false" indent="0" shrinkToFit="false"/>
      <protection locked="true" hidden="false"/>
    </xf>
    <xf numFmtId="167" fontId="0" fillId="4" borderId="1" xfId="0" applyFont="fals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5" fontId="0" fillId="0" borderId="1" xfId="0" applyFont="true" applyBorder="true" applyAlignment="false" applyProtection="false">
      <alignment horizontal="general" vertical="bottom" textRotation="0" wrapText="false" indent="0" shrinkToFit="false"/>
      <protection locked="true" hidden="false"/>
    </xf>
    <xf numFmtId="169" fontId="0" fillId="0" borderId="1" xfId="0" applyFont="false" applyBorder="true" applyAlignment="false" applyProtection="false">
      <alignment horizontal="general" vertical="bottom" textRotation="0" wrapText="false" indent="0" shrinkToFit="false"/>
      <protection locked="true" hidden="false"/>
    </xf>
    <xf numFmtId="167" fontId="0" fillId="0" borderId="1"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7D2"/>
      <rgbColor rgb="FF808080"/>
      <rgbColor rgb="FF9999FF"/>
      <rgbColor rgb="FF993366"/>
      <rgbColor rgb="FFFFF3D6"/>
      <rgbColor rgb="FFEFF3F8"/>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72A4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5" hidden="false" customHeight="true" outlineLevel="0" collapsed="false">
      <c r="A1" s="1" t="s">
        <v>0</v>
      </c>
    </row>
    <row r="2" customFormat="false" ht="30" hidden="false" customHeight="true" outlineLevel="0" collapsed="false">
      <c r="A2" s="2" t="s">
        <v>1</v>
      </c>
    </row>
    <row r="3" customFormat="false" ht="15" hidden="false" customHeight="true" outlineLevel="0" collapsed="false">
      <c r="A3" s="2"/>
    </row>
    <row r="4" customFormat="false" ht="75" hidden="false" customHeight="true" outlineLevel="0" collapsed="false">
      <c r="A4" s="2" t="s">
        <v>2</v>
      </c>
    </row>
    <row r="5" customFormat="false" ht="15" hidden="false" customHeight="true" outlineLevel="0" collapsed="false">
      <c r="A5" s="2"/>
    </row>
    <row r="6" customFormat="false" ht="45" hidden="false" customHeight="true" outlineLevel="0" collapsed="false">
      <c r="A6" s="2" t="s">
        <v>3</v>
      </c>
    </row>
    <row r="7" customFormat="false" ht="15" hidden="false" customHeight="true" outlineLevel="0" collapsed="false">
      <c r="A7" s="2"/>
    </row>
    <row r="8" customFormat="false" ht="15" hidden="false" customHeight="true" outlineLevel="0" collapsed="false">
      <c r="A8" s="1" t="s">
        <v>4</v>
      </c>
    </row>
    <row r="9" customFormat="false" ht="30" hidden="false" customHeight="true" outlineLevel="0" collapsed="false">
      <c r="A9" s="2" t="s">
        <v>5</v>
      </c>
    </row>
    <row r="10" customFormat="false" ht="30" hidden="false" customHeight="true" outlineLevel="0" collapsed="false">
      <c r="A10" s="2" t="s">
        <v>6</v>
      </c>
    </row>
    <row r="11" customFormat="false" ht="60" hidden="false" customHeight="true" outlineLevel="0" collapsed="false">
      <c r="A11" s="2" t="s">
        <v>7</v>
      </c>
    </row>
    <row r="12" customFormat="false" ht="75" hidden="false" customHeight="true" outlineLevel="0" collapsed="false">
      <c r="A12" s="2" t="s">
        <v>8</v>
      </c>
    </row>
    <row r="13" customFormat="false" ht="15" hidden="false" customHeight="true" outlineLevel="0" collapsed="false">
      <c r="A13" s="2"/>
    </row>
    <row r="14" customFormat="false" ht="15" hidden="false" customHeight="true" outlineLevel="0" collapsed="false">
      <c r="A14" s="1" t="s">
        <v>9</v>
      </c>
    </row>
    <row r="15" customFormat="false" ht="60" hidden="false" customHeight="true" outlineLevel="0" collapsed="false">
      <c r="A15" s="2" t="s">
        <v>10</v>
      </c>
    </row>
    <row r="16" customFormat="false" ht="15" hidden="false" customHeight="true" outlineLevel="0" collapsed="false">
      <c r="A16" s="2"/>
    </row>
    <row r="17" customFormat="false" ht="15" hidden="false" customHeight="true" outlineLevel="0" collapsed="false">
      <c r="A17" s="1" t="s">
        <v>11</v>
      </c>
    </row>
    <row r="18" customFormat="false" ht="15" hidden="false" customHeight="true" outlineLevel="0" collapsed="false">
      <c r="A18" s="2" t="s">
        <v>12</v>
      </c>
    </row>
    <row r="19" customFormat="false" ht="15" hidden="false" customHeight="true" outlineLevel="0" collapsed="false">
      <c r="A19" s="2" t="s">
        <v>13</v>
      </c>
    </row>
    <row r="20" customFormat="false" ht="15" hidden="false" customHeight="true" outlineLevel="0" collapsed="false">
      <c r="A20" s="2" t="s">
        <v>14</v>
      </c>
    </row>
    <row r="21" customFormat="false" ht="15" hidden="false" customHeight="true" outlineLevel="0" collapsed="false">
      <c r="A21" s="2" t="s">
        <v>15</v>
      </c>
    </row>
    <row r="22" customFormat="false" ht="15" hidden="false" customHeight="true" outlineLevel="0" collapsed="false">
      <c r="A22" s="2" t="s">
        <v>16</v>
      </c>
    </row>
    <row r="23" customFormat="false" ht="15" hidden="false" customHeight="true" outlineLevel="0" collapsed="false">
      <c r="A23" s="2"/>
    </row>
    <row r="24" customFormat="false" ht="15" hidden="false" customHeight="true" outlineLevel="0" collapsed="false">
      <c r="A24" s="2" t="s">
        <v>17</v>
      </c>
    </row>
    <row r="26" customFormat="false" ht="82.05" hidden="false" customHeight="false" outlineLevel="0" collapsed="false">
      <c r="A26" s="2" t="s">
        <v>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2" min="2" style="0" width="16"/>
    <col collapsed="false" customWidth="true" hidden="false" outlineLevel="0" max="3" min="3" style="0" width="58"/>
  </cols>
  <sheetData>
    <row r="1" customFormat="false" ht="15" hidden="false" customHeight="false" outlineLevel="0" collapsed="false">
      <c r="A1" s="3" t="s">
        <v>19</v>
      </c>
      <c r="B1" s="3" t="s">
        <v>20</v>
      </c>
      <c r="C1" s="3" t="s">
        <v>21</v>
      </c>
    </row>
    <row r="2" customFormat="false" ht="15" hidden="false" customHeight="false" outlineLevel="0" collapsed="false">
      <c r="A2" s="4" t="s">
        <v>22</v>
      </c>
      <c r="B2" s="5" t="n">
        <v>283.24</v>
      </c>
      <c r="C2" s="6" t="s">
        <v>23</v>
      </c>
    </row>
    <row r="4" customFormat="false" ht="15" hidden="false" customHeight="false" outlineLevel="0" collapsed="false">
      <c r="A4" s="3" t="s">
        <v>24</v>
      </c>
      <c r="B4" s="3" t="s">
        <v>20</v>
      </c>
      <c r="C4" s="3" t="s">
        <v>21</v>
      </c>
    </row>
    <row r="5" customFormat="false" ht="28.35" hidden="false" customHeight="false" outlineLevel="0" collapsed="false">
      <c r="A5" s="4" t="s">
        <v>25</v>
      </c>
      <c r="B5" s="7" t="n">
        <v>60</v>
      </c>
      <c r="C5" s="6" t="s">
        <v>26</v>
      </c>
    </row>
    <row r="6" customFormat="false" ht="15" hidden="false" customHeight="false" outlineLevel="0" collapsed="false">
      <c r="A6" s="4" t="s">
        <v>27</v>
      </c>
      <c r="B6" s="7" t="n">
        <v>30</v>
      </c>
      <c r="C6" s="6"/>
    </row>
    <row r="7" customFormat="false" ht="15" hidden="false" customHeight="false" outlineLevel="0" collapsed="false">
      <c r="A7" s="4" t="s">
        <v>28</v>
      </c>
      <c r="B7" s="7" t="n">
        <v>40</v>
      </c>
      <c r="C7" s="6" t="s">
        <v>29</v>
      </c>
    </row>
    <row r="8" customFormat="false" ht="15" hidden="false" customHeight="false" outlineLevel="0" collapsed="false">
      <c r="A8" s="4" t="s">
        <v>30</v>
      </c>
      <c r="B8" s="7" t="n">
        <v>20</v>
      </c>
      <c r="C8" s="6"/>
    </row>
    <row r="9" customFormat="false" ht="15" hidden="false" customHeight="false" outlineLevel="0" collapsed="false">
      <c r="A9" s="4" t="s">
        <v>31</v>
      </c>
      <c r="B9" s="7" t="n">
        <v>45</v>
      </c>
      <c r="C9" s="6" t="s">
        <v>32</v>
      </c>
    </row>
    <row r="10" customFormat="false" ht="15" hidden="false" customHeight="false" outlineLevel="0" collapsed="false">
      <c r="A10" s="4" t="s">
        <v>33</v>
      </c>
      <c r="B10" s="7" t="n">
        <v>8</v>
      </c>
      <c r="C10" s="6"/>
    </row>
    <row r="11" customFormat="false" ht="15" hidden="false" customHeight="false" outlineLevel="0" collapsed="false">
      <c r="A11" s="4" t="s">
        <v>34</v>
      </c>
      <c r="B11" s="5" t="n">
        <v>1.5</v>
      </c>
      <c r="C11" s="6"/>
    </row>
    <row r="13" customFormat="false" ht="15" hidden="false" customHeight="false" outlineLevel="0" collapsed="false">
      <c r="A13" s="3" t="s">
        <v>35</v>
      </c>
      <c r="B13" s="3" t="s">
        <v>20</v>
      </c>
      <c r="C13" s="3" t="s">
        <v>21</v>
      </c>
    </row>
    <row r="14" customFormat="false" ht="15" hidden="false" customHeight="false" outlineLevel="0" collapsed="false">
      <c r="A14" s="8" t="s">
        <v>36</v>
      </c>
      <c r="B14" s="9" t="n">
        <f aca="false">'2. Net debt'!B10</f>
        <v>90</v>
      </c>
      <c r="C14" s="6"/>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2" min="2" style="0" width="16"/>
    <col collapsed="false" customWidth="true" hidden="false" outlineLevel="0" max="3" min="3" style="0" width="62"/>
  </cols>
  <sheetData>
    <row r="1" customFormat="false" ht="15" hidden="false" customHeight="false" outlineLevel="0" collapsed="false">
      <c r="A1" s="3" t="s">
        <v>37</v>
      </c>
      <c r="B1" s="3" t="s">
        <v>38</v>
      </c>
      <c r="C1" s="3" t="s">
        <v>39</v>
      </c>
    </row>
    <row r="2" customFormat="false" ht="28.35" hidden="false" customHeight="false" outlineLevel="0" collapsed="false">
      <c r="A2" s="4" t="s">
        <v>40</v>
      </c>
      <c r="B2" s="7" t="n">
        <v>78</v>
      </c>
      <c r="C2" s="6" t="s">
        <v>41</v>
      </c>
    </row>
    <row r="3" customFormat="false" ht="28.35" hidden="false" customHeight="false" outlineLevel="0" collapsed="false">
      <c r="A3" s="4" t="s">
        <v>42</v>
      </c>
      <c r="B3" s="7" t="n">
        <v>12</v>
      </c>
      <c r="C3" s="6" t="s">
        <v>43</v>
      </c>
    </row>
    <row r="4" customFormat="false" ht="41.75" hidden="false" customHeight="false" outlineLevel="0" collapsed="false">
      <c r="A4" s="4" t="s">
        <v>44</v>
      </c>
      <c r="B4" s="7" t="n">
        <v>9</v>
      </c>
      <c r="C4" s="6" t="s">
        <v>45</v>
      </c>
    </row>
    <row r="5" customFormat="false" ht="15" hidden="false" customHeight="false" outlineLevel="0" collapsed="false">
      <c r="A5" s="4" t="s">
        <v>46</v>
      </c>
      <c r="B5" s="7" t="n">
        <v>1.4</v>
      </c>
      <c r="C5" s="6" t="s">
        <v>47</v>
      </c>
    </row>
    <row r="6" customFormat="false" ht="28.35" hidden="false" customHeight="false" outlineLevel="0" collapsed="false">
      <c r="A6" s="4" t="s">
        <v>48</v>
      </c>
      <c r="B6" s="7" t="n">
        <v>4.6</v>
      </c>
      <c r="C6" s="6" t="s">
        <v>49</v>
      </c>
    </row>
    <row r="7" customFormat="false" ht="28.35" hidden="false" customHeight="false" outlineLevel="0" collapsed="false">
      <c r="A7" s="4" t="s">
        <v>50</v>
      </c>
      <c r="B7" s="7" t="n">
        <v>6</v>
      </c>
      <c r="C7" s="6" t="s">
        <v>51</v>
      </c>
    </row>
    <row r="8" customFormat="false" ht="28.35" hidden="false" customHeight="false" outlineLevel="0" collapsed="false">
      <c r="A8" s="4" t="s">
        <v>52</v>
      </c>
      <c r="B8" s="7" t="n">
        <v>-21</v>
      </c>
      <c r="C8" s="6" t="s">
        <v>53</v>
      </c>
    </row>
    <row r="10" customFormat="false" ht="28.35" hidden="false" customHeight="false" outlineLevel="0" collapsed="false">
      <c r="A10" s="10" t="s">
        <v>54</v>
      </c>
      <c r="B10" s="9" t="n">
        <f aca="false">SUM(B2:B8)</f>
        <v>90</v>
      </c>
      <c r="C10" s="2" t="s">
        <v>55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2" min="2" style="0" width="16"/>
    <col collapsed="false" customWidth="true" hidden="false" outlineLevel="0" max="3" min="3" style="0" width="58"/>
  </cols>
  <sheetData>
    <row r="1" customFormat="false" ht="15" hidden="false" customHeight="false" outlineLevel="0" collapsed="false">
      <c r="A1" s="3" t="s">
        <v>56</v>
      </c>
      <c r="B1" s="3" t="s">
        <v>20</v>
      </c>
      <c r="C1" s="3"/>
    </row>
    <row r="2" customFormat="false" ht="15" hidden="false" customHeight="false" outlineLevel="0" collapsed="false">
      <c r="A2" s="4" t="s">
        <v>22</v>
      </c>
      <c r="B2" s="11" t="n">
        <f aca="false">'1. Assumptions'!B2</f>
        <v>283.24</v>
      </c>
      <c r="C2" s="6"/>
    </row>
    <row r="3" customFormat="false" ht="15" hidden="false" customHeight="false" outlineLevel="0" collapsed="false">
      <c r="A3" s="4" t="s">
        <v>57</v>
      </c>
      <c r="B3" s="11" t="n">
        <f aca="false">-'1. Assumptions'!B14</f>
        <v>-90</v>
      </c>
      <c r="C3" s="6"/>
    </row>
    <row r="4" customFormat="false" ht="28.35" hidden="false" customHeight="false" outlineLevel="0" collapsed="false">
      <c r="A4" s="8" t="s">
        <v>58</v>
      </c>
      <c r="B4" s="9" t="n">
        <f aca="false">B2+B3</f>
        <v>193.24</v>
      </c>
      <c r="C4" s="6" t="s">
        <v>59</v>
      </c>
    </row>
    <row r="6" customFormat="false" ht="15" hidden="false" customHeight="false" outlineLevel="0" collapsed="false">
      <c r="A6" s="3" t="s">
        <v>60</v>
      </c>
      <c r="B6" s="3" t="s">
        <v>20</v>
      </c>
      <c r="C6" s="3"/>
    </row>
    <row r="7" customFormat="false" ht="15" hidden="false" customHeight="false" outlineLevel="0" collapsed="false">
      <c r="A7" s="4" t="s">
        <v>61</v>
      </c>
      <c r="B7" s="11" t="n">
        <f aca="false">MAX(0,B4-'1. Assumptions'!B5)</f>
        <v>133.24</v>
      </c>
      <c r="C7" s="6"/>
    </row>
    <row r="8" customFormat="false" ht="15" hidden="false" customHeight="false" outlineLevel="0" collapsed="false">
      <c r="A8" s="4" t="s">
        <v>62</v>
      </c>
      <c r="B8" s="12" t="n">
        <f aca="false">'1. Assumptions'!B6+'1. Assumptions'!B8+'1. Assumptions'!B9</f>
        <v>95</v>
      </c>
      <c r="C8" s="6"/>
    </row>
    <row r="9" customFormat="false" ht="15" hidden="false" customHeight="false" outlineLevel="0" collapsed="false">
      <c r="A9" s="4" t="s">
        <v>63</v>
      </c>
      <c r="B9" s="11" t="n">
        <f aca="false">B7/B8</f>
        <v>1.40252631578947</v>
      </c>
      <c r="C9" s="6"/>
    </row>
    <row r="10" customFormat="false" ht="15" hidden="false" customHeight="false" outlineLevel="0" collapsed="false">
      <c r="A10" s="4" t="s">
        <v>64</v>
      </c>
      <c r="B10" s="13" t="str">
        <f aca="false">IF(B9&gt;='1. Assumptions'!B11,"Yes","No")</f>
        <v>No</v>
      </c>
      <c r="C10" s="6" t="s">
        <v>65</v>
      </c>
    </row>
    <row r="11" customFormat="false" ht="15" hidden="false" customHeight="false" outlineLevel="0" collapsed="false">
      <c r="A11" s="8" t="s">
        <v>66</v>
      </c>
      <c r="B11" s="9" t="n">
        <f aca="false">IF(B9&gt;='1. Assumptions'!B11,(B7+'1. Assumptions'!B10*'1. Assumptions'!B11)/(B8+'1. Assumptions'!B10),B9)</f>
        <v>1.40252631578947</v>
      </c>
      <c r="C11" s="6"/>
    </row>
    <row r="12" customFormat="false" ht="15" hidden="false" customHeight="false" outlineLevel="0" collapsed="false">
      <c r="A12" s="8" t="s">
        <v>67</v>
      </c>
      <c r="B12" s="9" t="n">
        <f aca="false">'1. Assumptions'!B8*B11</f>
        <v>28.0505263157895</v>
      </c>
      <c r="C12" s="6"/>
    </row>
    <row r="14" customFormat="false" ht="15" hidden="false" customHeight="false" outlineLevel="0" collapsed="false">
      <c r="A14" s="3" t="s">
        <v>68</v>
      </c>
      <c r="B14" s="3" t="s">
        <v>20</v>
      </c>
      <c r="C14" s="3"/>
    </row>
    <row r="15" customFormat="false" ht="15" hidden="false" customHeight="false" outlineLevel="0" collapsed="false">
      <c r="A15" s="8" t="s">
        <v>69</v>
      </c>
      <c r="B15" s="9" t="n">
        <f aca="false">MIN('1. Assumptions'!B7,MAX(0,B4-'1. Assumptions'!B5))</f>
        <v>40</v>
      </c>
      <c r="C15" s="6"/>
    </row>
    <row r="16" customFormat="false" ht="15" hidden="false" customHeight="false" outlineLevel="0" collapsed="false">
      <c r="A16" s="4" t="s">
        <v>70</v>
      </c>
      <c r="B16" s="11" t="n">
        <f aca="false">MAX(0,B4-'1. Assumptions'!B5-B15)</f>
        <v>93.24</v>
      </c>
      <c r="C16" s="6"/>
    </row>
    <row r="17" customFormat="false" ht="15" hidden="false" customHeight="false" outlineLevel="0" collapsed="false">
      <c r="A17" s="4" t="s">
        <v>62</v>
      </c>
      <c r="B17" s="12" t="n">
        <f aca="false">'1. Assumptions'!B6+'1. Assumptions'!B9</f>
        <v>75</v>
      </c>
      <c r="C17" s="6" t="s">
        <v>71</v>
      </c>
    </row>
    <row r="18" customFormat="false" ht="15" hidden="false" customHeight="false" outlineLevel="0" collapsed="false">
      <c r="A18" s="4" t="s">
        <v>63</v>
      </c>
      <c r="B18" s="11" t="n">
        <f aca="false">B16/B17</f>
        <v>1.2432</v>
      </c>
      <c r="C18" s="6"/>
    </row>
    <row r="19" customFormat="false" ht="15" hidden="false" customHeight="false" outlineLevel="0" collapsed="false">
      <c r="A19" s="8" t="s">
        <v>66</v>
      </c>
      <c r="B19" s="9" t="n">
        <f aca="false">IF(B18&gt;='1. Assumptions'!B11,(B16+'1. Assumptions'!B10*'1. Assumptions'!B11)/(B17+'1. Assumptions'!B10),B18)</f>
        <v>1.2432</v>
      </c>
      <c r="C19" s="6"/>
    </row>
    <row r="21" customFormat="false" ht="15" hidden="false" customHeight="false" outlineLevel="0" collapsed="false">
      <c r="A21" s="3" t="s">
        <v>72</v>
      </c>
      <c r="B21" s="3" t="s">
        <v>20</v>
      </c>
      <c r="C21" s="3"/>
    </row>
    <row r="22" customFormat="false" ht="28.35" hidden="false" customHeight="false" outlineLevel="0" collapsed="false">
      <c r="A22" s="8" t="s">
        <v>73</v>
      </c>
      <c r="B22" s="14" t="str">
        <f aca="false">IF(B12&gt;B15,"Converts","Takes the preference")</f>
        <v>Takes the preference</v>
      </c>
      <c r="C22" s="6" t="s">
        <v>74</v>
      </c>
    </row>
    <row r="23" customFormat="false" ht="15" hidden="false" customHeight="false" outlineLevel="0" collapsed="false">
      <c r="A23" s="8" t="s">
        <v>75</v>
      </c>
      <c r="B23" s="9" t="n">
        <f aca="false">IF(B12&gt;B15,B11,B19)</f>
        <v>1.2432</v>
      </c>
      <c r="C23" s="6"/>
    </row>
    <row r="25" customFormat="false" ht="15" hidden="false" customHeight="false" outlineLevel="0" collapsed="false">
      <c r="A25" s="3" t="s">
        <v>76</v>
      </c>
      <c r="B25" s="3" t="s">
        <v>38</v>
      </c>
      <c r="C25" s="3"/>
    </row>
    <row r="26" customFormat="false" ht="28.35" hidden="false" customHeight="false" outlineLevel="0" collapsed="false">
      <c r="A26" s="8" t="s">
        <v>77</v>
      </c>
      <c r="B26" s="9" t="n">
        <f aca="false">MIN('1. Assumptions'!B5,B4)+'1. Assumptions'!B6*B23</f>
        <v>97.296</v>
      </c>
      <c r="C26" s="6" t="s">
        <v>78</v>
      </c>
    </row>
    <row r="27" customFormat="false" ht="15" hidden="false" customHeight="false" outlineLevel="0" collapsed="false">
      <c r="A27" s="8" t="s">
        <v>79</v>
      </c>
      <c r="B27" s="9" t="n">
        <f aca="false">IF(B12&gt;B15,'1. Assumptions'!B8*B23,B15)</f>
        <v>40</v>
      </c>
      <c r="C27" s="6"/>
    </row>
    <row r="28" customFormat="false" ht="15" hidden="false" customHeight="false" outlineLevel="0" collapsed="false">
      <c r="A28" s="8" t="s">
        <v>80</v>
      </c>
      <c r="B28" s="9" t="n">
        <f aca="false">'1. Assumptions'!B9*B23</f>
        <v>55.944</v>
      </c>
      <c r="C28" s="6"/>
    </row>
    <row r="29" customFormat="false" ht="15" hidden="false" customHeight="false" outlineLevel="0" collapsed="false">
      <c r="A29" s="8" t="s">
        <v>81</v>
      </c>
      <c r="B29" s="9" t="n">
        <f aca="false">IF(B23&gt;='1. Assumptions'!B11,'1. Assumptions'!B10*(B23-'1. Assumptions'!B11),0)</f>
        <v>0</v>
      </c>
      <c r="C29" s="6"/>
    </row>
    <row r="30" customFormat="false" ht="15" hidden="false" customHeight="false" outlineLevel="0" collapsed="false">
      <c r="A30" s="8" t="s">
        <v>82</v>
      </c>
      <c r="B30" s="9" t="n">
        <f aca="false">SUM(B26:B29)</f>
        <v>193.24</v>
      </c>
      <c r="C30" s="6"/>
    </row>
    <row r="31" customFormat="false" ht="15" hidden="false" customHeight="false" outlineLevel="0" collapsed="false">
      <c r="A31" s="4" t="s">
        <v>83</v>
      </c>
      <c r="B31" s="11" t="n">
        <f aca="false">B4</f>
        <v>193.24</v>
      </c>
      <c r="C31" s="6"/>
    </row>
    <row r="32" customFormat="false" ht="15" hidden="false" customHeight="false" outlineLevel="0" collapsed="false">
      <c r="A32" s="8" t="s">
        <v>84</v>
      </c>
      <c r="B32" s="9" t="n">
        <f aca="false">B30-B31</f>
        <v>0</v>
      </c>
      <c r="C32" s="6" t="s">
        <v>85</v>
      </c>
    </row>
    <row r="34" customFormat="false" ht="15" hidden="false" customHeight="false" outlineLevel="0" collapsed="false">
      <c r="A34" s="3" t="s">
        <v>86</v>
      </c>
      <c r="B34" s="3" t="s">
        <v>20</v>
      </c>
      <c r="C34" s="3"/>
    </row>
    <row r="35" customFormat="false" ht="28.35" hidden="false" customHeight="false" outlineLevel="0" collapsed="false">
      <c r="A35" s="4" t="s">
        <v>87</v>
      </c>
      <c r="B35" s="11" t="n">
        <f aca="false">'1. Assumptions'!B5/'1. Assumptions'!B6*('1. Assumptions'!B6+'1. Assumptions'!B8+'1. Assumptions'!B9)</f>
        <v>190</v>
      </c>
      <c r="C35" s="6" t="s">
        <v>88</v>
      </c>
    </row>
    <row r="36" customFormat="false" ht="15" hidden="false" customHeight="false" outlineLevel="0" collapsed="false">
      <c r="A36" s="4" t="s">
        <v>89</v>
      </c>
      <c r="B36" s="11" t="n">
        <f aca="false">B28</f>
        <v>55.944</v>
      </c>
      <c r="C36" s="6"/>
    </row>
    <row r="37" customFormat="false" ht="28.35" hidden="false" customHeight="false" outlineLevel="0" collapsed="false">
      <c r="A37" s="8" t="s">
        <v>90</v>
      </c>
      <c r="B37" s="15" t="n">
        <f aca="false">B36/B35</f>
        <v>0.294442105263158</v>
      </c>
      <c r="C37" s="6" t="s">
        <v>91</v>
      </c>
    </row>
    <row r="38" customFormat="false" ht="15" hidden="false" customHeight="false" outlineLevel="0" collapsed="false">
      <c r="A38" s="4" t="s">
        <v>92</v>
      </c>
      <c r="B38" s="16" t="n">
        <f aca="false">'1. Assumptions'!B5/'1. Assumptions'!B6</f>
        <v>2</v>
      </c>
    </row>
    <row r="39" customFormat="false" ht="15" hidden="false" customHeight="false" outlineLevel="0" collapsed="false">
      <c r="A39" s="4" t="s">
        <v>93</v>
      </c>
      <c r="B39" s="11" t="n">
        <f aca="false">'1. Assumptions'!B9*B38</f>
        <v>90</v>
      </c>
    </row>
    <row r="40" customFormat="false" ht="55.2" hidden="false" customHeight="false" outlineLevel="0" collapsed="false">
      <c r="A40" s="4" t="s">
        <v>94</v>
      </c>
      <c r="B40" s="17" t="n">
        <f aca="false">B36/B39</f>
        <v>0.6216</v>
      </c>
      <c r="C40" s="6" t="s">
        <v>95</v>
      </c>
    </row>
    <row r="41" customFormat="false" ht="15" hidden="false" customHeight="false" outlineLevel="0" collapsed="false">
      <c r="A41" s="4" t="s">
        <v>96</v>
      </c>
      <c r="B41" s="17" t="n">
        <f aca="false">'1. Assumptions'!B9/('1. Assumptions'!B6+'1. Assumptions'!B8+'1. Assumptions'!B9)</f>
        <v>0.473684210526316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1" style="0" width="13"/>
    <col collapsed="false" customWidth="true" hidden="false" outlineLevel="0" max="3" min="3" style="0" width="15"/>
    <col collapsed="false" customWidth="true" hidden="false" outlineLevel="0" max="4" min="4" style="0" width="16"/>
    <col collapsed="false" customWidth="true" hidden="false" outlineLevel="0" max="5" min="5" style="0" width="14"/>
    <col collapsed="false" customWidth="true" hidden="false" outlineLevel="0" max="6" min="6" style="0" width="16"/>
    <col collapsed="false" customWidth="true" hidden="false" outlineLevel="0" max="7" min="7" style="0" width="15"/>
    <col collapsed="false" customWidth="true" hidden="false" outlineLevel="0" max="8" min="8" style="0" width="14"/>
    <col collapsed="false" customWidth="true" hidden="false" outlineLevel="0" max="9" min="9" style="0" width="17"/>
    <col collapsed="false" customWidth="true" hidden="false" outlineLevel="0" max="10" min="10" style="0" width="15"/>
    <col collapsed="false" customWidth="true" hidden="false" outlineLevel="0" max="11" min="11" style="0" width="17"/>
    <col collapsed="false" customWidth="true" hidden="false" outlineLevel="0" max="12" min="12" style="0" width="15"/>
    <col collapsed="false" customWidth="true" hidden="false" outlineLevel="0" max="18" min="13" style="0" width="11"/>
  </cols>
  <sheetData>
    <row r="1" customFormat="false" ht="41.75" hidden="false" customHeight="false" outlineLevel="0" collapsed="false">
      <c r="A1" s="3" t="s">
        <v>19</v>
      </c>
      <c r="B1" s="3" t="s">
        <v>97</v>
      </c>
      <c r="C1" s="3" t="s">
        <v>98</v>
      </c>
      <c r="D1" s="3" t="s">
        <v>99</v>
      </c>
      <c r="E1" s="3" t="s">
        <v>100</v>
      </c>
      <c r="F1" s="3" t="s">
        <v>101</v>
      </c>
      <c r="G1" s="3" t="s">
        <v>102</v>
      </c>
      <c r="H1" s="3" t="s">
        <v>103</v>
      </c>
      <c r="I1" s="3" t="s">
        <v>104</v>
      </c>
      <c r="J1" s="3" t="s">
        <v>105</v>
      </c>
      <c r="K1" s="3" t="s">
        <v>106</v>
      </c>
      <c r="L1" s="3" t="s">
        <v>107</v>
      </c>
      <c r="M1" s="3" t="s">
        <v>108</v>
      </c>
      <c r="N1" s="3" t="s">
        <v>109</v>
      </c>
      <c r="O1" s="3" t="s">
        <v>80</v>
      </c>
      <c r="P1" s="3" t="s">
        <v>81</v>
      </c>
      <c r="Q1" s="3" t="s">
        <v>110</v>
      </c>
      <c r="R1" s="3" t="s">
        <v>84</v>
      </c>
    </row>
    <row r="2" customFormat="false" ht="15" hidden="false" customHeight="false" outlineLevel="0" collapsed="false">
      <c r="A2" s="5" t="n">
        <v>90</v>
      </c>
      <c r="B2" s="11" t="n">
        <f aca="false">MAX(0,A2-'1. Assumptions'!B14)</f>
        <v>0</v>
      </c>
      <c r="C2" s="11" t="n">
        <f aca="false">MAX(0,B2-'1. Assumptions'!B5)</f>
        <v>0</v>
      </c>
      <c r="D2" s="11" t="n">
        <f aca="false">C2/('1. Assumptions'!B6+'1. Assumptions'!B8+'1. Assumptions'!B9)</f>
        <v>0</v>
      </c>
      <c r="E2" s="11" t="n">
        <f aca="false">IF(D2&gt;='1. Assumptions'!B11,(C2+'1. Assumptions'!B10*'1. Assumptions'!B11)/('1. Assumptions'!B6+'1. Assumptions'!B8+'1. Assumptions'!B9+'1. Assumptions'!B10),D2)</f>
        <v>0</v>
      </c>
      <c r="F2" s="11" t="n">
        <f aca="false">'1. Assumptions'!B8*E2</f>
        <v>0</v>
      </c>
      <c r="G2" s="11" t="n">
        <f aca="false">MIN('1. Assumptions'!B7,MAX(0,B2-'1. Assumptions'!B5))</f>
        <v>0</v>
      </c>
      <c r="H2" s="11" t="n">
        <f aca="false">MAX(0,B2-'1. Assumptions'!B5-G2)</f>
        <v>0</v>
      </c>
      <c r="I2" s="11" t="n">
        <f aca="false">H2/('1. Assumptions'!B6+'1. Assumptions'!B9)</f>
        <v>0</v>
      </c>
      <c r="J2" s="11" t="n">
        <f aca="false">IF(I2&gt;='1. Assumptions'!B11,(H2+'1. Assumptions'!B10*'1. Assumptions'!B11)/('1. Assumptions'!B6+'1. Assumptions'!B9+'1. Assumptions'!B10),I2)</f>
        <v>0</v>
      </c>
      <c r="K2" s="13" t="str">
        <f aca="false">IF(F2&gt;G2,"Converts","Preference")</f>
        <v>Preference</v>
      </c>
      <c r="L2" s="18" t="n">
        <f aca="false">IF(F2&gt;G2,E2,J2)</f>
        <v>0</v>
      </c>
      <c r="M2" s="11" t="n">
        <f aca="false">MIN('1. Assumptions'!B5,B2)+'1. Assumptions'!B6*L2</f>
        <v>0</v>
      </c>
      <c r="N2" s="11" t="n">
        <f aca="false">IF(F2&gt;G2,'1. Assumptions'!B8*L2,G2)</f>
        <v>0</v>
      </c>
      <c r="O2" s="11" t="n">
        <f aca="false">'1. Assumptions'!B9*L2</f>
        <v>0</v>
      </c>
      <c r="P2" s="11" t="n">
        <f aca="false">IF(L2&gt;='1. Assumptions'!B11,'1. Assumptions'!B10*(L2-'1. Assumptions'!B11),0)</f>
        <v>0</v>
      </c>
      <c r="Q2" s="11" t="n">
        <f aca="false">SUM(M2:P2)</f>
        <v>0</v>
      </c>
      <c r="R2" s="11" t="n">
        <f aca="false">Q2-B2</f>
        <v>0</v>
      </c>
    </row>
    <row r="3" customFormat="false" ht="15" hidden="false" customHeight="false" outlineLevel="0" collapsed="false">
      <c r="A3" s="5" t="n">
        <v>120</v>
      </c>
      <c r="B3" s="11" t="n">
        <f aca="false">MAX(0,A3-'1. Assumptions'!B14)</f>
        <v>30</v>
      </c>
      <c r="C3" s="11" t="n">
        <f aca="false">MAX(0,B3-'1. Assumptions'!B5)</f>
        <v>0</v>
      </c>
      <c r="D3" s="11" t="n">
        <f aca="false">C3/('1. Assumptions'!B6+'1. Assumptions'!B8+'1. Assumptions'!B9)</f>
        <v>0</v>
      </c>
      <c r="E3" s="11" t="n">
        <f aca="false">IF(D3&gt;='1. Assumptions'!B11,(C3+'1. Assumptions'!B10*'1. Assumptions'!B11)/('1. Assumptions'!B6+'1. Assumptions'!B8+'1. Assumptions'!B9+'1. Assumptions'!B10),D3)</f>
        <v>0</v>
      </c>
      <c r="F3" s="11" t="n">
        <f aca="false">'1. Assumptions'!B8*E3</f>
        <v>0</v>
      </c>
      <c r="G3" s="11" t="n">
        <f aca="false">MIN('1. Assumptions'!B7,MAX(0,B3-'1. Assumptions'!B5))</f>
        <v>0</v>
      </c>
      <c r="H3" s="11" t="n">
        <f aca="false">MAX(0,B3-'1. Assumptions'!B5-G3)</f>
        <v>0</v>
      </c>
      <c r="I3" s="11" t="n">
        <f aca="false">H3/('1. Assumptions'!B6+'1. Assumptions'!B9)</f>
        <v>0</v>
      </c>
      <c r="J3" s="11" t="n">
        <f aca="false">IF(I3&gt;='1. Assumptions'!B11,(H3+'1. Assumptions'!B10*'1. Assumptions'!B11)/('1. Assumptions'!B6+'1. Assumptions'!B9+'1. Assumptions'!B10),I3)</f>
        <v>0</v>
      </c>
      <c r="K3" s="13" t="str">
        <f aca="false">IF(F3&gt;G3,"Converts","Preference")</f>
        <v>Preference</v>
      </c>
      <c r="L3" s="18" t="n">
        <f aca="false">IF(F3&gt;G3,E3,J3)</f>
        <v>0</v>
      </c>
      <c r="M3" s="11" t="n">
        <f aca="false">MIN('1. Assumptions'!B5,B3)+'1. Assumptions'!B6*L3</f>
        <v>30</v>
      </c>
      <c r="N3" s="11" t="n">
        <f aca="false">IF(F3&gt;G3,'1. Assumptions'!B8*L3,G3)</f>
        <v>0</v>
      </c>
      <c r="O3" s="11" t="n">
        <f aca="false">'1. Assumptions'!B9*L3</f>
        <v>0</v>
      </c>
      <c r="P3" s="11" t="n">
        <f aca="false">IF(L3&gt;='1. Assumptions'!B11,'1. Assumptions'!B10*(L3-'1. Assumptions'!B11),0)</f>
        <v>0</v>
      </c>
      <c r="Q3" s="11" t="n">
        <f aca="false">SUM(M3:P3)</f>
        <v>30</v>
      </c>
      <c r="R3" s="11" t="n">
        <f aca="false">Q3-B3</f>
        <v>0</v>
      </c>
    </row>
    <row r="4" customFormat="false" ht="15" hidden="false" customHeight="false" outlineLevel="0" collapsed="false">
      <c r="A4" s="5" t="n">
        <v>150</v>
      </c>
      <c r="B4" s="11" t="n">
        <f aca="false">MAX(0,A4-'1. Assumptions'!B14)</f>
        <v>60</v>
      </c>
      <c r="C4" s="11" t="n">
        <f aca="false">MAX(0,B4-'1. Assumptions'!B5)</f>
        <v>0</v>
      </c>
      <c r="D4" s="11" t="n">
        <f aca="false">C4/('1. Assumptions'!B6+'1. Assumptions'!B8+'1. Assumptions'!B9)</f>
        <v>0</v>
      </c>
      <c r="E4" s="11" t="n">
        <f aca="false">IF(D4&gt;='1. Assumptions'!B11,(C4+'1. Assumptions'!B10*'1. Assumptions'!B11)/('1. Assumptions'!B6+'1. Assumptions'!B8+'1. Assumptions'!B9+'1. Assumptions'!B10),D4)</f>
        <v>0</v>
      </c>
      <c r="F4" s="11" t="n">
        <f aca="false">'1. Assumptions'!B8*E4</f>
        <v>0</v>
      </c>
      <c r="G4" s="11" t="n">
        <f aca="false">MIN('1. Assumptions'!B7,MAX(0,B4-'1. Assumptions'!B5))</f>
        <v>0</v>
      </c>
      <c r="H4" s="11" t="n">
        <f aca="false">MAX(0,B4-'1. Assumptions'!B5-G4)</f>
        <v>0</v>
      </c>
      <c r="I4" s="11" t="n">
        <f aca="false">H4/('1. Assumptions'!B6+'1. Assumptions'!B9)</f>
        <v>0</v>
      </c>
      <c r="J4" s="11" t="n">
        <f aca="false">IF(I4&gt;='1. Assumptions'!B11,(H4+'1. Assumptions'!B10*'1. Assumptions'!B11)/('1. Assumptions'!B6+'1. Assumptions'!B9+'1. Assumptions'!B10),I4)</f>
        <v>0</v>
      </c>
      <c r="K4" s="13" t="str">
        <f aca="false">IF(F4&gt;G4,"Converts","Preference")</f>
        <v>Preference</v>
      </c>
      <c r="L4" s="18" t="n">
        <f aca="false">IF(F4&gt;G4,E4,J4)</f>
        <v>0</v>
      </c>
      <c r="M4" s="11" t="n">
        <f aca="false">MIN('1. Assumptions'!B5,B4)+'1. Assumptions'!B6*L4</f>
        <v>60</v>
      </c>
      <c r="N4" s="11" t="n">
        <f aca="false">IF(F4&gt;G4,'1. Assumptions'!B8*L4,G4)</f>
        <v>0</v>
      </c>
      <c r="O4" s="11" t="n">
        <f aca="false">'1. Assumptions'!B9*L4</f>
        <v>0</v>
      </c>
      <c r="P4" s="11" t="n">
        <f aca="false">IF(L4&gt;='1. Assumptions'!B11,'1. Assumptions'!B10*(L4-'1. Assumptions'!B11),0)</f>
        <v>0</v>
      </c>
      <c r="Q4" s="11" t="n">
        <f aca="false">SUM(M4:P4)</f>
        <v>60</v>
      </c>
      <c r="R4" s="11" t="n">
        <f aca="false">Q4-B4</f>
        <v>0</v>
      </c>
    </row>
    <row r="5" customFormat="false" ht="15" hidden="false" customHeight="false" outlineLevel="0" collapsed="false">
      <c r="A5" s="5" t="n">
        <v>180</v>
      </c>
      <c r="B5" s="11" t="n">
        <f aca="false">MAX(0,A5-'1. Assumptions'!B14)</f>
        <v>90</v>
      </c>
      <c r="C5" s="11" t="n">
        <f aca="false">MAX(0,B5-'1. Assumptions'!B5)</f>
        <v>30</v>
      </c>
      <c r="D5" s="11" t="n">
        <f aca="false">C5/('1. Assumptions'!B6+'1. Assumptions'!B8+'1. Assumptions'!B9)</f>
        <v>0.315789473684211</v>
      </c>
      <c r="E5" s="11" t="n">
        <f aca="false">IF(D5&gt;='1. Assumptions'!B11,(C5+'1. Assumptions'!B10*'1. Assumptions'!B11)/('1. Assumptions'!B6+'1. Assumptions'!B8+'1. Assumptions'!B9+'1. Assumptions'!B10),D5)</f>
        <v>0.315789473684211</v>
      </c>
      <c r="F5" s="11" t="n">
        <f aca="false">'1. Assumptions'!B8*E5</f>
        <v>6.31578947368421</v>
      </c>
      <c r="G5" s="11" t="n">
        <f aca="false">MIN('1. Assumptions'!B7,MAX(0,B5-'1. Assumptions'!B5))</f>
        <v>30</v>
      </c>
      <c r="H5" s="11" t="n">
        <f aca="false">MAX(0,B5-'1. Assumptions'!B5-G5)</f>
        <v>0</v>
      </c>
      <c r="I5" s="11" t="n">
        <f aca="false">H5/('1. Assumptions'!B6+'1. Assumptions'!B9)</f>
        <v>0</v>
      </c>
      <c r="J5" s="11" t="n">
        <f aca="false">IF(I5&gt;='1. Assumptions'!B11,(H5+'1. Assumptions'!B10*'1. Assumptions'!B11)/('1. Assumptions'!B6+'1. Assumptions'!B9+'1. Assumptions'!B10),I5)</f>
        <v>0</v>
      </c>
      <c r="K5" s="13" t="str">
        <f aca="false">IF(F5&gt;G5,"Converts","Preference")</f>
        <v>Preference</v>
      </c>
      <c r="L5" s="18" t="n">
        <f aca="false">IF(F5&gt;G5,E5,J5)</f>
        <v>0</v>
      </c>
      <c r="M5" s="11" t="n">
        <f aca="false">MIN('1. Assumptions'!B5,B5)+'1. Assumptions'!B6*L5</f>
        <v>60</v>
      </c>
      <c r="N5" s="11" t="n">
        <f aca="false">IF(F5&gt;G5,'1. Assumptions'!B8*L5,G5)</f>
        <v>30</v>
      </c>
      <c r="O5" s="11" t="n">
        <f aca="false">'1. Assumptions'!B9*L5</f>
        <v>0</v>
      </c>
      <c r="P5" s="11" t="n">
        <f aca="false">IF(L5&gt;='1. Assumptions'!B11,'1. Assumptions'!B10*(L5-'1. Assumptions'!B11),0)</f>
        <v>0</v>
      </c>
      <c r="Q5" s="11" t="n">
        <f aca="false">SUM(M5:P5)</f>
        <v>90</v>
      </c>
      <c r="R5" s="11" t="n">
        <f aca="false">Q5-B5</f>
        <v>0</v>
      </c>
    </row>
    <row r="6" customFormat="false" ht="15" hidden="false" customHeight="false" outlineLevel="0" collapsed="false">
      <c r="A6" s="5" t="n">
        <v>210</v>
      </c>
      <c r="B6" s="11" t="n">
        <f aca="false">MAX(0,A6-'1. Assumptions'!B14)</f>
        <v>120</v>
      </c>
      <c r="C6" s="11" t="n">
        <f aca="false">MAX(0,B6-'1. Assumptions'!B5)</f>
        <v>60</v>
      </c>
      <c r="D6" s="11" t="n">
        <f aca="false">C6/('1. Assumptions'!B6+'1. Assumptions'!B8+'1. Assumptions'!B9)</f>
        <v>0.631578947368421</v>
      </c>
      <c r="E6" s="11" t="n">
        <f aca="false">IF(D6&gt;='1. Assumptions'!B11,(C6+'1. Assumptions'!B10*'1. Assumptions'!B11)/('1. Assumptions'!B6+'1. Assumptions'!B8+'1. Assumptions'!B9+'1. Assumptions'!B10),D6)</f>
        <v>0.631578947368421</v>
      </c>
      <c r="F6" s="11" t="n">
        <f aca="false">'1. Assumptions'!B8*E6</f>
        <v>12.6315789473684</v>
      </c>
      <c r="G6" s="11" t="n">
        <f aca="false">MIN('1. Assumptions'!B7,MAX(0,B6-'1. Assumptions'!B5))</f>
        <v>40</v>
      </c>
      <c r="H6" s="11" t="n">
        <f aca="false">MAX(0,B6-'1. Assumptions'!B5-G6)</f>
        <v>20</v>
      </c>
      <c r="I6" s="11" t="n">
        <f aca="false">H6/('1. Assumptions'!B6+'1. Assumptions'!B9)</f>
        <v>0.266666666666667</v>
      </c>
      <c r="J6" s="11" t="n">
        <f aca="false">IF(I6&gt;='1. Assumptions'!B11,(H6+'1. Assumptions'!B10*'1. Assumptions'!B11)/('1. Assumptions'!B6+'1. Assumptions'!B9+'1. Assumptions'!B10),I6)</f>
        <v>0.266666666666667</v>
      </c>
      <c r="K6" s="13" t="str">
        <f aca="false">IF(F6&gt;G6,"Converts","Preference")</f>
        <v>Preference</v>
      </c>
      <c r="L6" s="18" t="n">
        <f aca="false">IF(F6&gt;G6,E6,J6)</f>
        <v>0.266666666666667</v>
      </c>
      <c r="M6" s="11" t="n">
        <f aca="false">MIN('1. Assumptions'!B5,B6)+'1. Assumptions'!B6*L6</f>
        <v>68</v>
      </c>
      <c r="N6" s="11" t="n">
        <f aca="false">IF(F6&gt;G6,'1. Assumptions'!B8*L6,G6)</f>
        <v>40</v>
      </c>
      <c r="O6" s="11" t="n">
        <f aca="false">'1. Assumptions'!B9*L6</f>
        <v>12</v>
      </c>
      <c r="P6" s="11" t="n">
        <f aca="false">IF(L6&gt;='1. Assumptions'!B11,'1. Assumptions'!B10*(L6-'1. Assumptions'!B11),0)</f>
        <v>0</v>
      </c>
      <c r="Q6" s="11" t="n">
        <f aca="false">SUM(M6:P6)</f>
        <v>120</v>
      </c>
      <c r="R6" s="11" t="n">
        <f aca="false">Q6-B6</f>
        <v>0</v>
      </c>
    </row>
    <row r="7" customFormat="false" ht="15" hidden="false" customHeight="false" outlineLevel="0" collapsed="false">
      <c r="A7" s="5" t="n">
        <v>240</v>
      </c>
      <c r="B7" s="11" t="n">
        <f aca="false">MAX(0,A7-'1. Assumptions'!B14)</f>
        <v>150</v>
      </c>
      <c r="C7" s="11" t="n">
        <f aca="false">MAX(0,B7-'1. Assumptions'!B5)</f>
        <v>90</v>
      </c>
      <c r="D7" s="11" t="n">
        <f aca="false">C7/('1. Assumptions'!B6+'1. Assumptions'!B8+'1. Assumptions'!B9)</f>
        <v>0.947368421052632</v>
      </c>
      <c r="E7" s="11" t="n">
        <f aca="false">IF(D7&gt;='1. Assumptions'!B11,(C7+'1. Assumptions'!B10*'1. Assumptions'!B11)/('1. Assumptions'!B6+'1. Assumptions'!B8+'1. Assumptions'!B9+'1. Assumptions'!B10),D7)</f>
        <v>0.947368421052632</v>
      </c>
      <c r="F7" s="11" t="n">
        <f aca="false">'1. Assumptions'!B8*E7</f>
        <v>18.9473684210526</v>
      </c>
      <c r="G7" s="11" t="n">
        <f aca="false">MIN('1. Assumptions'!B7,MAX(0,B7-'1. Assumptions'!B5))</f>
        <v>40</v>
      </c>
      <c r="H7" s="11" t="n">
        <f aca="false">MAX(0,B7-'1. Assumptions'!B5-G7)</f>
        <v>50</v>
      </c>
      <c r="I7" s="11" t="n">
        <f aca="false">H7/('1. Assumptions'!B6+'1. Assumptions'!B9)</f>
        <v>0.666666666666667</v>
      </c>
      <c r="J7" s="11" t="n">
        <f aca="false">IF(I7&gt;='1. Assumptions'!B11,(H7+'1. Assumptions'!B10*'1. Assumptions'!B11)/('1. Assumptions'!B6+'1. Assumptions'!B9+'1. Assumptions'!B10),I7)</f>
        <v>0.666666666666667</v>
      </c>
      <c r="K7" s="13" t="str">
        <f aca="false">IF(F7&gt;G7,"Converts","Preference")</f>
        <v>Preference</v>
      </c>
      <c r="L7" s="18" t="n">
        <f aca="false">IF(F7&gt;G7,E7,J7)</f>
        <v>0.666666666666667</v>
      </c>
      <c r="M7" s="11" t="n">
        <f aca="false">MIN('1. Assumptions'!B5,B7)+'1. Assumptions'!B6*L7</f>
        <v>80</v>
      </c>
      <c r="N7" s="11" t="n">
        <f aca="false">IF(F7&gt;G7,'1. Assumptions'!B8*L7,G7)</f>
        <v>40</v>
      </c>
      <c r="O7" s="11" t="n">
        <f aca="false">'1. Assumptions'!B9*L7</f>
        <v>30</v>
      </c>
      <c r="P7" s="11" t="n">
        <f aca="false">IF(L7&gt;='1. Assumptions'!B11,'1. Assumptions'!B10*(L7-'1. Assumptions'!B11),0)</f>
        <v>0</v>
      </c>
      <c r="Q7" s="11" t="n">
        <f aca="false">SUM(M7:P7)</f>
        <v>150</v>
      </c>
      <c r="R7" s="11" t="n">
        <f aca="false">Q7-B7</f>
        <v>0</v>
      </c>
    </row>
    <row r="8" customFormat="false" ht="15" hidden="false" customHeight="false" outlineLevel="0" collapsed="false">
      <c r="A8" s="5" t="n">
        <v>270</v>
      </c>
      <c r="B8" s="11" t="n">
        <f aca="false">MAX(0,A8-'1. Assumptions'!B14)</f>
        <v>180</v>
      </c>
      <c r="C8" s="11" t="n">
        <f aca="false">MAX(0,B8-'1. Assumptions'!B5)</f>
        <v>120</v>
      </c>
      <c r="D8" s="11" t="n">
        <f aca="false">C8/('1. Assumptions'!B6+'1. Assumptions'!B8+'1. Assumptions'!B9)</f>
        <v>1.26315789473684</v>
      </c>
      <c r="E8" s="11" t="n">
        <f aca="false">IF(D8&gt;='1. Assumptions'!B11,(C8+'1. Assumptions'!B10*'1. Assumptions'!B11)/('1. Assumptions'!B6+'1. Assumptions'!B8+'1. Assumptions'!B9+'1. Assumptions'!B10),D8)</f>
        <v>1.26315789473684</v>
      </c>
      <c r="F8" s="11" t="n">
        <f aca="false">'1. Assumptions'!B8*E8</f>
        <v>25.2631578947368</v>
      </c>
      <c r="G8" s="11" t="n">
        <f aca="false">MIN('1. Assumptions'!B7,MAX(0,B8-'1. Assumptions'!B5))</f>
        <v>40</v>
      </c>
      <c r="H8" s="11" t="n">
        <f aca="false">MAX(0,B8-'1. Assumptions'!B5-G8)</f>
        <v>80</v>
      </c>
      <c r="I8" s="11" t="n">
        <f aca="false">H8/('1. Assumptions'!B6+'1. Assumptions'!B9)</f>
        <v>1.06666666666667</v>
      </c>
      <c r="J8" s="11" t="n">
        <f aca="false">IF(I8&gt;='1. Assumptions'!B11,(H8+'1. Assumptions'!B10*'1. Assumptions'!B11)/('1. Assumptions'!B6+'1. Assumptions'!B9+'1. Assumptions'!B10),I8)</f>
        <v>1.06666666666667</v>
      </c>
      <c r="K8" s="13" t="str">
        <f aca="false">IF(F8&gt;G8,"Converts","Preference")</f>
        <v>Preference</v>
      </c>
      <c r="L8" s="18" t="n">
        <f aca="false">IF(F8&gt;G8,E8,J8)</f>
        <v>1.06666666666667</v>
      </c>
      <c r="M8" s="11" t="n">
        <f aca="false">MIN('1. Assumptions'!B5,B8)+'1. Assumptions'!B6*L8</f>
        <v>92</v>
      </c>
      <c r="N8" s="11" t="n">
        <f aca="false">IF(F8&gt;G8,'1. Assumptions'!B8*L8,G8)</f>
        <v>40</v>
      </c>
      <c r="O8" s="11" t="n">
        <f aca="false">'1. Assumptions'!B9*L8</f>
        <v>48</v>
      </c>
      <c r="P8" s="11" t="n">
        <f aca="false">IF(L8&gt;='1. Assumptions'!B11,'1. Assumptions'!B10*(L8-'1. Assumptions'!B11),0)</f>
        <v>0</v>
      </c>
      <c r="Q8" s="11" t="n">
        <f aca="false">SUM(M8:P8)</f>
        <v>180</v>
      </c>
      <c r="R8" s="11" t="n">
        <f aca="false">Q8-B8</f>
        <v>0</v>
      </c>
    </row>
    <row r="9" customFormat="false" ht="15" hidden="false" customHeight="false" outlineLevel="0" collapsed="false">
      <c r="A9" s="5" t="n">
        <v>283.24</v>
      </c>
      <c r="B9" s="11" t="n">
        <f aca="false">MAX(0,A9-'1. Assumptions'!B14)</f>
        <v>193.24</v>
      </c>
      <c r="C9" s="11" t="n">
        <f aca="false">MAX(0,B9-'1. Assumptions'!B5)</f>
        <v>133.24</v>
      </c>
      <c r="D9" s="11" t="n">
        <f aca="false">C9/('1. Assumptions'!B6+'1. Assumptions'!B8+'1. Assumptions'!B9)</f>
        <v>1.40252631578947</v>
      </c>
      <c r="E9" s="11" t="n">
        <f aca="false">IF(D9&gt;='1. Assumptions'!B11,(C9+'1. Assumptions'!B10*'1. Assumptions'!B11)/('1. Assumptions'!B6+'1. Assumptions'!B8+'1. Assumptions'!B9+'1. Assumptions'!B10),D9)</f>
        <v>1.40252631578947</v>
      </c>
      <c r="F9" s="11" t="n">
        <f aca="false">'1. Assumptions'!B8*E9</f>
        <v>28.0505263157895</v>
      </c>
      <c r="G9" s="11" t="n">
        <f aca="false">MIN('1. Assumptions'!B7,MAX(0,B9-'1. Assumptions'!B5))</f>
        <v>40</v>
      </c>
      <c r="H9" s="11" t="n">
        <f aca="false">MAX(0,B9-'1. Assumptions'!B5-G9)</f>
        <v>93.24</v>
      </c>
      <c r="I9" s="11" t="n">
        <f aca="false">H9/('1. Assumptions'!B6+'1. Assumptions'!B9)</f>
        <v>1.2432</v>
      </c>
      <c r="J9" s="11" t="n">
        <f aca="false">IF(I9&gt;='1. Assumptions'!B11,(H9+'1. Assumptions'!B10*'1. Assumptions'!B11)/('1. Assumptions'!B6+'1. Assumptions'!B9+'1. Assumptions'!B10),I9)</f>
        <v>1.2432</v>
      </c>
      <c r="K9" s="13" t="str">
        <f aca="false">IF(F9&gt;G9,"Converts","Preference")</f>
        <v>Preference</v>
      </c>
      <c r="L9" s="18" t="n">
        <f aca="false">IF(F9&gt;G9,E9,J9)</f>
        <v>1.2432</v>
      </c>
      <c r="M9" s="11" t="n">
        <f aca="false">MIN('1. Assumptions'!B5,B9)+'1. Assumptions'!B6*L9</f>
        <v>97.296</v>
      </c>
      <c r="N9" s="11" t="n">
        <f aca="false">IF(F9&gt;G9,'1. Assumptions'!B8*L9,G9)</f>
        <v>40</v>
      </c>
      <c r="O9" s="11" t="n">
        <f aca="false">'1. Assumptions'!B9*L9</f>
        <v>55.944</v>
      </c>
      <c r="P9" s="11" t="n">
        <f aca="false">IF(L9&gt;='1. Assumptions'!B11,'1. Assumptions'!B10*(L9-'1. Assumptions'!B11),0)</f>
        <v>0</v>
      </c>
      <c r="Q9" s="11" t="n">
        <f aca="false">SUM(M9:P9)</f>
        <v>193.24</v>
      </c>
      <c r="R9" s="11" t="n">
        <f aca="false">Q9-B9</f>
        <v>0</v>
      </c>
    </row>
    <row r="10" customFormat="false" ht="15" hidden="false" customHeight="false" outlineLevel="0" collapsed="false">
      <c r="A10" s="5" t="n">
        <v>320</v>
      </c>
      <c r="B10" s="11" t="n">
        <f aca="false">MAX(0,A10-'1. Assumptions'!B14)</f>
        <v>230</v>
      </c>
      <c r="C10" s="11" t="n">
        <f aca="false">MAX(0,B10-'1. Assumptions'!B5)</f>
        <v>170</v>
      </c>
      <c r="D10" s="11" t="n">
        <f aca="false">C10/('1. Assumptions'!B6+'1. Assumptions'!B8+'1. Assumptions'!B9)</f>
        <v>1.78947368421053</v>
      </c>
      <c r="E10" s="11" t="n">
        <f aca="false">IF(D10&gt;='1. Assumptions'!B11,(C10+'1. Assumptions'!B10*'1. Assumptions'!B11)/('1. Assumptions'!B6+'1. Assumptions'!B8+'1. Assumptions'!B9+'1. Assumptions'!B10),D10)</f>
        <v>1.76699029126214</v>
      </c>
      <c r="F10" s="11" t="n">
        <f aca="false">'1. Assumptions'!B8*E10</f>
        <v>35.3398058252427</v>
      </c>
      <c r="G10" s="11" t="n">
        <f aca="false">MIN('1. Assumptions'!B7,MAX(0,B10-'1. Assumptions'!B5))</f>
        <v>40</v>
      </c>
      <c r="H10" s="11" t="n">
        <f aca="false">MAX(0,B10-'1. Assumptions'!B5-G10)</f>
        <v>130</v>
      </c>
      <c r="I10" s="11" t="n">
        <f aca="false">H10/('1. Assumptions'!B6+'1. Assumptions'!B9)</f>
        <v>1.73333333333333</v>
      </c>
      <c r="J10" s="11" t="n">
        <f aca="false">IF(I10&gt;='1. Assumptions'!B11,(H10+'1. Assumptions'!B10*'1. Assumptions'!B11)/('1. Assumptions'!B6+'1. Assumptions'!B9+'1. Assumptions'!B10),I10)</f>
        <v>1.71084337349398</v>
      </c>
      <c r="K10" s="13" t="str">
        <f aca="false">IF(F10&gt;G10,"Converts","Preference")</f>
        <v>Preference</v>
      </c>
      <c r="L10" s="18" t="n">
        <f aca="false">IF(F10&gt;G10,E10,J10)</f>
        <v>1.71084337349398</v>
      </c>
      <c r="M10" s="11" t="n">
        <f aca="false">MIN('1. Assumptions'!B5,B10)+'1. Assumptions'!B6*L10</f>
        <v>111.325301204819</v>
      </c>
      <c r="N10" s="11" t="n">
        <f aca="false">IF(F10&gt;G10,'1. Assumptions'!B8*L10,G10)</f>
        <v>40</v>
      </c>
      <c r="O10" s="11" t="n">
        <f aca="false">'1. Assumptions'!B9*L10</f>
        <v>76.9879518072289</v>
      </c>
      <c r="P10" s="11" t="n">
        <f aca="false">IF(L10&gt;='1. Assumptions'!B11,'1. Assumptions'!B10*(L10-'1. Assumptions'!B11),0)</f>
        <v>1.68674698795181</v>
      </c>
      <c r="Q10" s="11" t="n">
        <f aca="false">SUM(M10:P10)</f>
        <v>230</v>
      </c>
      <c r="R10" s="11" t="n">
        <f aca="false">Q10-B10</f>
        <v>0</v>
      </c>
    </row>
    <row r="11" customFormat="false" ht="15" hidden="false" customHeight="false" outlineLevel="0" collapsed="false">
      <c r="A11" s="5" t="n">
        <v>370</v>
      </c>
      <c r="B11" s="11" t="n">
        <f aca="false">MAX(0,A11-'1. Assumptions'!B14)</f>
        <v>280</v>
      </c>
      <c r="C11" s="11" t="n">
        <f aca="false">MAX(0,B11-'1. Assumptions'!B5)</f>
        <v>220</v>
      </c>
      <c r="D11" s="11" t="n">
        <f aca="false">C11/('1. Assumptions'!B6+'1. Assumptions'!B8+'1. Assumptions'!B9)</f>
        <v>2.31578947368421</v>
      </c>
      <c r="E11" s="11" t="n">
        <f aca="false">IF(D11&gt;='1. Assumptions'!B11,(C11+'1. Assumptions'!B10*'1. Assumptions'!B11)/('1. Assumptions'!B6+'1. Assumptions'!B8+'1. Assumptions'!B9+'1. Assumptions'!B10),D11)</f>
        <v>2.25242718446602</v>
      </c>
      <c r="F11" s="11" t="n">
        <f aca="false">'1. Assumptions'!B8*E11</f>
        <v>45.0485436893204</v>
      </c>
      <c r="G11" s="11" t="n">
        <f aca="false">MIN('1. Assumptions'!B7,MAX(0,B11-'1. Assumptions'!B5))</f>
        <v>40</v>
      </c>
      <c r="H11" s="11" t="n">
        <f aca="false">MAX(0,B11-'1. Assumptions'!B5-G11)</f>
        <v>180</v>
      </c>
      <c r="I11" s="11" t="n">
        <f aca="false">H11/('1. Assumptions'!B6+'1. Assumptions'!B9)</f>
        <v>2.4</v>
      </c>
      <c r="J11" s="11" t="n">
        <f aca="false">IF(I11&gt;='1. Assumptions'!B11,(H11+'1. Assumptions'!B10*'1. Assumptions'!B11)/('1. Assumptions'!B6+'1. Assumptions'!B9+'1. Assumptions'!B10),I11)</f>
        <v>2.31325301204819</v>
      </c>
      <c r="K11" s="13" t="str">
        <f aca="false">IF(F11&gt;G11,"Converts","Preference")</f>
        <v>Converts</v>
      </c>
      <c r="L11" s="18" t="n">
        <f aca="false">IF(F11&gt;G11,E11,J11)</f>
        <v>2.25242718446602</v>
      </c>
      <c r="M11" s="11" t="n">
        <f aca="false">MIN('1. Assumptions'!B5,B11)+'1. Assumptions'!B6*L11</f>
        <v>127.572815533981</v>
      </c>
      <c r="N11" s="11" t="n">
        <f aca="false">IF(F11&gt;G11,'1. Assumptions'!B8*L11,G11)</f>
        <v>45.0485436893204</v>
      </c>
      <c r="O11" s="11" t="n">
        <f aca="false">'1. Assumptions'!B9*L11</f>
        <v>101.359223300971</v>
      </c>
      <c r="P11" s="11" t="n">
        <f aca="false">IF(L11&gt;='1. Assumptions'!B11,'1. Assumptions'!B10*(L11-'1. Assumptions'!B11),0)</f>
        <v>6.01941747572815</v>
      </c>
      <c r="Q11" s="11" t="n">
        <f aca="false">SUM(M11:P11)</f>
        <v>280</v>
      </c>
      <c r="R11" s="11" t="n">
        <f aca="false">Q11-B11</f>
        <v>0</v>
      </c>
    </row>
    <row r="12" customFormat="false" ht="15" hidden="false" customHeight="false" outlineLevel="0" collapsed="false">
      <c r="A12" s="5" t="n">
        <v>420</v>
      </c>
      <c r="B12" s="11" t="n">
        <f aca="false">MAX(0,A12-'1. Assumptions'!B14)</f>
        <v>330</v>
      </c>
      <c r="C12" s="11" t="n">
        <f aca="false">MAX(0,B12-'1. Assumptions'!B5)</f>
        <v>270</v>
      </c>
      <c r="D12" s="11" t="n">
        <f aca="false">C12/('1. Assumptions'!B6+'1. Assumptions'!B8+'1. Assumptions'!B9)</f>
        <v>2.84210526315789</v>
      </c>
      <c r="E12" s="11" t="n">
        <f aca="false">IF(D12&gt;='1. Assumptions'!B11,(C12+'1. Assumptions'!B10*'1. Assumptions'!B11)/('1. Assumptions'!B6+'1. Assumptions'!B8+'1. Assumptions'!B9+'1. Assumptions'!B10),D12)</f>
        <v>2.7378640776699</v>
      </c>
      <c r="F12" s="11" t="n">
        <f aca="false">'1. Assumptions'!B8*E12</f>
        <v>54.7572815533981</v>
      </c>
      <c r="G12" s="11" t="n">
        <f aca="false">MIN('1. Assumptions'!B7,MAX(0,B12-'1. Assumptions'!B5))</f>
        <v>40</v>
      </c>
      <c r="H12" s="11" t="n">
        <f aca="false">MAX(0,B12-'1. Assumptions'!B5-G12)</f>
        <v>230</v>
      </c>
      <c r="I12" s="11" t="n">
        <f aca="false">H12/('1. Assumptions'!B6+'1. Assumptions'!B9)</f>
        <v>3.06666666666667</v>
      </c>
      <c r="J12" s="11" t="n">
        <f aca="false">IF(I12&gt;='1. Assumptions'!B11,(H12+'1. Assumptions'!B10*'1. Assumptions'!B11)/('1. Assumptions'!B6+'1. Assumptions'!B9+'1. Assumptions'!B10),I12)</f>
        <v>2.91566265060241</v>
      </c>
      <c r="K12" s="13" t="str">
        <f aca="false">IF(F12&gt;G12,"Converts","Preference")</f>
        <v>Converts</v>
      </c>
      <c r="L12" s="18" t="n">
        <f aca="false">IF(F12&gt;G12,E12,J12)</f>
        <v>2.7378640776699</v>
      </c>
      <c r="M12" s="11" t="n">
        <f aca="false">MIN('1. Assumptions'!B5,B12)+'1. Assumptions'!B6*L12</f>
        <v>142.135922330097</v>
      </c>
      <c r="N12" s="11" t="n">
        <f aca="false">IF(F12&gt;G12,'1. Assumptions'!B8*L12,G12)</f>
        <v>54.7572815533981</v>
      </c>
      <c r="O12" s="11" t="n">
        <f aca="false">'1. Assumptions'!B9*L12</f>
        <v>123.203883495146</v>
      </c>
      <c r="P12" s="11" t="n">
        <f aca="false">IF(L12&gt;='1. Assumptions'!B11,'1. Assumptions'!B10*(L12-'1. Assumptions'!B11),0)</f>
        <v>9.90291262135922</v>
      </c>
      <c r="Q12" s="11" t="n">
        <f aca="false">SUM(M12:P12)</f>
        <v>330</v>
      </c>
      <c r="R12" s="11" t="n">
        <f aca="false">Q12-B12</f>
        <v>0</v>
      </c>
    </row>
    <row r="13" customFormat="false" ht="15" hidden="false" customHeight="false" outlineLevel="0" collapsed="false">
      <c r="A13" s="5" t="n">
        <v>480</v>
      </c>
      <c r="B13" s="11" t="n">
        <f aca="false">MAX(0,A13-'1. Assumptions'!B14)</f>
        <v>390</v>
      </c>
      <c r="C13" s="11" t="n">
        <f aca="false">MAX(0,B13-'1. Assumptions'!B5)</f>
        <v>330</v>
      </c>
      <c r="D13" s="11" t="n">
        <f aca="false">C13/('1. Assumptions'!B6+'1. Assumptions'!B8+'1. Assumptions'!B9)</f>
        <v>3.47368421052632</v>
      </c>
      <c r="E13" s="11" t="n">
        <f aca="false">IF(D13&gt;='1. Assumptions'!B11,(C13+'1. Assumptions'!B10*'1. Assumptions'!B11)/('1. Assumptions'!B6+'1. Assumptions'!B8+'1. Assumptions'!B9+'1. Assumptions'!B10),D13)</f>
        <v>3.32038834951456</v>
      </c>
      <c r="F13" s="11" t="n">
        <f aca="false">'1. Assumptions'!B8*E13</f>
        <v>66.4077669902913</v>
      </c>
      <c r="G13" s="11" t="n">
        <f aca="false">MIN('1. Assumptions'!B7,MAX(0,B13-'1. Assumptions'!B5))</f>
        <v>40</v>
      </c>
      <c r="H13" s="11" t="n">
        <f aca="false">MAX(0,B13-'1. Assumptions'!B5-G13)</f>
        <v>290</v>
      </c>
      <c r="I13" s="11" t="n">
        <f aca="false">H13/('1. Assumptions'!B6+'1. Assumptions'!B9)</f>
        <v>3.86666666666667</v>
      </c>
      <c r="J13" s="11" t="n">
        <f aca="false">IF(I13&gt;='1. Assumptions'!B11,(H13+'1. Assumptions'!B10*'1. Assumptions'!B11)/('1. Assumptions'!B6+'1. Assumptions'!B9+'1. Assumptions'!B10),I13)</f>
        <v>3.63855421686747</v>
      </c>
      <c r="K13" s="13" t="str">
        <f aca="false">IF(F13&gt;G13,"Converts","Preference")</f>
        <v>Converts</v>
      </c>
      <c r="L13" s="18" t="n">
        <f aca="false">IF(F13&gt;G13,E13,J13)</f>
        <v>3.32038834951456</v>
      </c>
      <c r="M13" s="11" t="n">
        <f aca="false">MIN('1. Assumptions'!B5,B13)+'1. Assumptions'!B6*L13</f>
        <v>159.611650485437</v>
      </c>
      <c r="N13" s="11" t="n">
        <f aca="false">IF(F13&gt;G13,'1. Assumptions'!B8*L13,G13)</f>
        <v>66.4077669902913</v>
      </c>
      <c r="O13" s="11" t="n">
        <f aca="false">'1. Assumptions'!B9*L13</f>
        <v>149.417475728155</v>
      </c>
      <c r="P13" s="11" t="n">
        <f aca="false">IF(L13&gt;='1. Assumptions'!B11,'1. Assumptions'!B10*(L13-'1. Assumptions'!B11),0)</f>
        <v>14.5631067961165</v>
      </c>
      <c r="Q13" s="11" t="n">
        <f aca="false">SUM(M13:P13)</f>
        <v>390</v>
      </c>
      <c r="R13" s="11" t="n">
        <f aca="false">Q13-B13</f>
        <v>0</v>
      </c>
    </row>
    <row r="14" customFormat="false" ht="15" hidden="false" customHeight="false" outlineLevel="0" collapsed="false">
      <c r="A14" s="5" t="n">
        <v>550</v>
      </c>
      <c r="B14" s="11" t="n">
        <f aca="false">MAX(0,A14-'1. Assumptions'!B14)</f>
        <v>460</v>
      </c>
      <c r="C14" s="11" t="n">
        <f aca="false">MAX(0,B14-'1. Assumptions'!B5)</f>
        <v>400</v>
      </c>
      <c r="D14" s="11" t="n">
        <f aca="false">C14/('1. Assumptions'!B6+'1. Assumptions'!B8+'1. Assumptions'!B9)</f>
        <v>4.21052631578947</v>
      </c>
      <c r="E14" s="11" t="n">
        <f aca="false">IF(D14&gt;='1. Assumptions'!B11,(C14+'1. Assumptions'!B10*'1. Assumptions'!B11)/('1. Assumptions'!B6+'1. Assumptions'!B8+'1. Assumptions'!B9+'1. Assumptions'!B10),D14)</f>
        <v>4</v>
      </c>
      <c r="F14" s="11" t="n">
        <f aca="false">'1. Assumptions'!B8*E14</f>
        <v>80</v>
      </c>
      <c r="G14" s="11" t="n">
        <f aca="false">MIN('1. Assumptions'!B7,MAX(0,B14-'1. Assumptions'!B5))</f>
        <v>40</v>
      </c>
      <c r="H14" s="11" t="n">
        <f aca="false">MAX(0,B14-'1. Assumptions'!B5-G14)</f>
        <v>360</v>
      </c>
      <c r="I14" s="11" t="n">
        <f aca="false">H14/('1. Assumptions'!B6+'1. Assumptions'!B9)</f>
        <v>4.8</v>
      </c>
      <c r="J14" s="11" t="n">
        <f aca="false">IF(I14&gt;='1. Assumptions'!B11,(H14+'1. Assumptions'!B10*'1. Assumptions'!B11)/('1. Assumptions'!B6+'1. Assumptions'!B9+'1. Assumptions'!B10),I14)</f>
        <v>4.48192771084337</v>
      </c>
      <c r="K14" s="13" t="str">
        <f aca="false">IF(F14&gt;G14,"Converts","Preference")</f>
        <v>Converts</v>
      </c>
      <c r="L14" s="18" t="n">
        <f aca="false">IF(F14&gt;G14,E14,J14)</f>
        <v>4</v>
      </c>
      <c r="M14" s="11" t="n">
        <f aca="false">MIN('1. Assumptions'!B5,B14)+'1. Assumptions'!B6*L14</f>
        <v>180</v>
      </c>
      <c r="N14" s="11" t="n">
        <f aca="false">IF(F14&gt;G14,'1. Assumptions'!B8*L14,G14)</f>
        <v>80</v>
      </c>
      <c r="O14" s="11" t="n">
        <f aca="false">'1. Assumptions'!B9*L14</f>
        <v>180</v>
      </c>
      <c r="P14" s="11" t="n">
        <f aca="false">IF(L14&gt;='1. Assumptions'!B11,'1. Assumptions'!B10*(L14-'1. Assumptions'!B11),0)</f>
        <v>20</v>
      </c>
      <c r="Q14" s="11" t="n">
        <f aca="false">SUM(M14:P14)</f>
        <v>460</v>
      </c>
      <c r="R14" s="11" t="n">
        <f aca="false">Q14-B14</f>
        <v>0</v>
      </c>
    </row>
    <row r="15" customFormat="false" ht="15" hidden="false" customHeight="false" outlineLevel="0" collapsed="false">
      <c r="A15" s="5" t="n">
        <v>650</v>
      </c>
      <c r="B15" s="11" t="n">
        <f aca="false">MAX(0,A15-'1. Assumptions'!B14)</f>
        <v>560</v>
      </c>
      <c r="C15" s="11" t="n">
        <f aca="false">MAX(0,B15-'1. Assumptions'!B5)</f>
        <v>500</v>
      </c>
      <c r="D15" s="11" t="n">
        <f aca="false">C15/('1. Assumptions'!B6+'1. Assumptions'!B8+'1. Assumptions'!B9)</f>
        <v>5.26315789473684</v>
      </c>
      <c r="E15" s="11" t="n">
        <f aca="false">IF(D15&gt;='1. Assumptions'!B11,(C15+'1. Assumptions'!B10*'1. Assumptions'!B11)/('1. Assumptions'!B6+'1. Assumptions'!B8+'1. Assumptions'!B9+'1. Assumptions'!B10),D15)</f>
        <v>4.97087378640777</v>
      </c>
      <c r="F15" s="11" t="n">
        <f aca="false">'1. Assumptions'!B8*E15</f>
        <v>99.4174757281553</v>
      </c>
      <c r="G15" s="11" t="n">
        <f aca="false">MIN('1. Assumptions'!B7,MAX(0,B15-'1. Assumptions'!B5))</f>
        <v>40</v>
      </c>
      <c r="H15" s="11" t="n">
        <f aca="false">MAX(0,B15-'1. Assumptions'!B5-G15)</f>
        <v>460</v>
      </c>
      <c r="I15" s="11" t="n">
        <f aca="false">H15/('1. Assumptions'!B6+'1. Assumptions'!B9)</f>
        <v>6.13333333333333</v>
      </c>
      <c r="J15" s="11" t="n">
        <f aca="false">IF(I15&gt;='1. Assumptions'!B11,(H15+'1. Assumptions'!B10*'1. Assumptions'!B11)/('1. Assumptions'!B6+'1. Assumptions'!B9+'1. Assumptions'!B10),I15)</f>
        <v>5.68674698795181</v>
      </c>
      <c r="K15" s="13" t="str">
        <f aca="false">IF(F15&gt;G15,"Converts","Preference")</f>
        <v>Converts</v>
      </c>
      <c r="L15" s="18" t="n">
        <f aca="false">IF(F15&gt;G15,E15,J15)</f>
        <v>4.97087378640777</v>
      </c>
      <c r="M15" s="11" t="n">
        <f aca="false">MIN('1. Assumptions'!B5,B15)+'1. Assumptions'!B6*L15</f>
        <v>209.126213592233</v>
      </c>
      <c r="N15" s="11" t="n">
        <f aca="false">IF(F15&gt;G15,'1. Assumptions'!B8*L15,G15)</f>
        <v>99.4174757281553</v>
      </c>
      <c r="O15" s="11" t="n">
        <f aca="false">'1. Assumptions'!B9*L15</f>
        <v>223.68932038835</v>
      </c>
      <c r="P15" s="11" t="n">
        <f aca="false">IF(L15&gt;='1. Assumptions'!B11,'1. Assumptions'!B10*(L15-'1. Assumptions'!B11),0)</f>
        <v>27.7669902912621</v>
      </c>
      <c r="Q15" s="11" t="n">
        <f aca="false">SUM(M15:P15)</f>
        <v>560</v>
      </c>
      <c r="R15" s="11" t="n">
        <f aca="false">Q15-B15</f>
        <v>0</v>
      </c>
    </row>
    <row r="17" customFormat="false" ht="391" hidden="false" customHeight="false" outlineLevel="0" collapsed="false">
      <c r="A17" s="2" t="s">
        <v>111</v>
      </c>
    </row>
    <row r="19" customFormat="false" ht="592.5" hidden="false" customHeight="false" outlineLevel="0" collapsed="false">
      <c r="A19" s="2" t="s">
        <v>112</v>
      </c>
    </row>
    <row r="21" customFormat="false" ht="41.75" hidden="false" customHeight="false" outlineLevel="0" collapsed="false">
      <c r="A21" s="3" t="s">
        <v>113</v>
      </c>
      <c r="B21" s="3" t="s">
        <v>19</v>
      </c>
    </row>
    <row r="22" customFormat="false" ht="15" hidden="false" customHeight="false" outlineLevel="0" collapsed="false">
      <c r="A22" s="19" t="s">
        <v>114</v>
      </c>
      <c r="B22" s="11" t="n">
        <f aca="false">'1. Assumptions'!B14+'1. Assumptions'!B5+'1. Assumptions'!B7</f>
        <v>190</v>
      </c>
    </row>
    <row r="23" customFormat="false" ht="15" hidden="false" customHeight="false" outlineLevel="0" collapsed="false">
      <c r="A23" s="19" t="s">
        <v>115</v>
      </c>
      <c r="B23" s="11" t="n">
        <f aca="false">IF('1. Assumptions'!B7/'1. Assumptions'!B8&gt;='1. Assumptions'!B11,'1. Assumptions'!B14+'1. Assumptions'!B5+'1. Assumptions'!B7+'1. Assumptions'!B11*('1. Assumptions'!B6+'1. Assumptions'!B9),'1. Assumptions'!B14+'1. Assumptions'!B5+'1. Assumptions'!B11*('1. Assumptions'!B6+'1. Assumptions'!B8+'1. Assumptions'!B9))</f>
        <v>302.5</v>
      </c>
    </row>
    <row r="24" customFormat="false" ht="15" hidden="false" customHeight="false" outlineLevel="0" collapsed="false">
      <c r="A24" s="19" t="s">
        <v>116</v>
      </c>
      <c r="B24" s="11" t="n">
        <f aca="false">IF('1. Assumptions'!B7/'1. Assumptions'!B8&gt;='1. Assumptions'!B11,'1. Assumptions'!B14+'1. Assumptions'!B5+'1. Assumptions'!B7/'1. Assumptions'!B8*('1. Assumptions'!B6+'1. Assumptions'!B8+'1. Assumptions'!B9+'1. Assumptions'!B10)-'1. Assumptions'!B10*'1. Assumptions'!B11,'1. Assumptions'!B14+'1. Assumptions'!B5+'1. Assumptions'!B7/'1. Assumptions'!B8*('1. Assumptions'!B6+'1. Assumptions'!B8+'1. Assumptions'!B9))</f>
        <v>344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
    <col collapsed="false" customWidth="true" hidden="false" outlineLevel="0" max="2" min="2" style="0" width="62"/>
    <col collapsed="false" customWidth="true" hidden="false" outlineLevel="0" max="3" min="3" style="0" width="20"/>
    <col collapsed="false" customWidth="true" hidden="false" outlineLevel="0" max="4" min="4" style="0" width="14"/>
  </cols>
  <sheetData>
    <row r="1" customFormat="false" ht="15" hidden="false" customHeight="false" outlineLevel="0" collapsed="false">
      <c r="A1" s="3" t="s">
        <v>117</v>
      </c>
      <c r="B1" s="3" t="s">
        <v>118</v>
      </c>
      <c r="C1" s="3" t="s">
        <v>20</v>
      </c>
      <c r="D1" s="3" t="s">
        <v>119</v>
      </c>
    </row>
    <row r="2" customFormat="false" ht="15" hidden="false" customHeight="false" outlineLevel="0" collapsed="false">
      <c r="A2" s="4" t="n">
        <v>1</v>
      </c>
      <c r="B2" s="6" t="s">
        <v>120</v>
      </c>
      <c r="C2" s="19" t="n">
        <f aca="false">'3. The waterfall'!B32</f>
        <v>0</v>
      </c>
      <c r="D2" s="8" t="str">
        <f aca="false">IF(ABS(C2)&lt;0.0001,"PASS","FAIL")</f>
        <v>PASS</v>
      </c>
    </row>
    <row r="3" customFormat="false" ht="15" hidden="false" customHeight="false" outlineLevel="0" collapsed="false">
      <c r="A3" s="4" t="n">
        <v>2</v>
      </c>
      <c r="B3" s="6" t="s">
        <v>121</v>
      </c>
      <c r="C3" s="19" t="n">
        <f aca="false">'1. Assumptions'!B14-SUM('2. Net debt'!B2:B8)</f>
        <v>0</v>
      </c>
      <c r="D3" s="8" t="str">
        <f aca="false">IF(ABS(C3)&lt;0.0001,"PASS","FAIL")</f>
        <v>PASS</v>
      </c>
    </row>
    <row r="4" customFormat="false" ht="15" hidden="false" customHeight="false" outlineLevel="0" collapsed="false">
      <c r="A4" s="4" t="n">
        <v>3</v>
      </c>
      <c r="B4" s="6" t="s">
        <v>122</v>
      </c>
      <c r="C4" s="19" t="n">
        <f aca="false">'3. The waterfall'!B27-MAX('3. The waterfall'!B12,'3. The waterfall'!B15)</f>
        <v>0</v>
      </c>
      <c r="D4" s="8" t="str">
        <f aca="false">IF(C4&gt;-0.0001,"PASS","FAIL")</f>
        <v>PASS</v>
      </c>
    </row>
    <row r="5" customFormat="false" ht="15" hidden="false" customHeight="false" outlineLevel="0" collapsed="false">
      <c r="A5" s="4" t="n">
        <v>4</v>
      </c>
      <c r="B5" s="6" t="s">
        <v>123</v>
      </c>
      <c r="C5" s="19" t="n">
        <f aca="false">'3. The waterfall'!B29</f>
        <v>0</v>
      </c>
      <c r="D5" s="8" t="str">
        <f aca="false">IF(OR(C5=0,'3. The waterfall'!B23&gt;='1. Assumptions'!B11),"PASS","FAIL")</f>
        <v>PASS</v>
      </c>
    </row>
    <row r="6" customFormat="false" ht="15" hidden="false" customHeight="false" outlineLevel="0" collapsed="false">
      <c r="A6" s="4" t="n">
        <v>5</v>
      </c>
      <c r="B6" s="6" t="s">
        <v>124</v>
      </c>
      <c r="C6" s="19" t="n">
        <f aca="false">SUMPRODUCT(ABS('4. Exit ladder'!R2:R15))</f>
        <v>0</v>
      </c>
      <c r="D6" s="8" t="str">
        <f aca="false">IF(C6&lt;0.0001,"PASS","FAIL")</f>
        <v>PASS</v>
      </c>
    </row>
    <row r="7" customFormat="false" ht="28.35" hidden="false" customHeight="false" outlineLevel="0" collapsed="false">
      <c r="A7" s="4" t="n">
        <v>6</v>
      </c>
      <c r="B7" s="6" t="s">
        <v>125</v>
      </c>
      <c r="C7" s="20" t="n">
        <f aca="false">SUMPRODUCT(--('4. Exit ladder'!O3:O15&lt;'4. Exit ladder'!O2:O14))</f>
        <v>0</v>
      </c>
      <c r="D7" s="8" t="str">
        <f aca="false">IF(C7=0,"PASS","FAIL")</f>
        <v>PASS</v>
      </c>
    </row>
    <row r="8" customFormat="false" ht="28.35" hidden="false" customHeight="false" outlineLevel="0" collapsed="false">
      <c r="A8" s="4" t="n">
        <v>7</v>
      </c>
      <c r="B8" s="6" t="s">
        <v>126</v>
      </c>
      <c r="C8" s="21" t="n">
        <f aca="false">'3. The waterfall'!B40</f>
        <v>0.6216</v>
      </c>
      <c r="D8" s="8" t="str">
        <f aca="false">IF(C8&lt;1,"AS CHAPTER 8 WARNS","CHECK")</f>
        <v>AS CHAPTER 8 WARNS</v>
      </c>
    </row>
    <row r="9" customFormat="false" ht="28.35" hidden="false" customHeight="false" outlineLevel="0" collapsed="false">
      <c r="A9" s="4" t="n">
        <v>8</v>
      </c>
      <c r="B9" s="6" t="s">
        <v>127</v>
      </c>
      <c r="C9" s="21" t="n">
        <f aca="false">SUMPRODUCT(--(('4. Exit ladder'!A2:A15&gt;'4. Exit ladder'!B24)&lt;&gt;('4. Exit ladder'!K2:K15="Converts")))</f>
        <v>0</v>
      </c>
      <c r="D9" s="8" t="str">
        <f aca="false">IF(C9=0,"PASS","FAIL")</f>
        <v>PASS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2026-08-21T19:10:03Z</dcterms:created>
  <dc:creator>openpyxl</dc:creator>
  <dc:description/>
  <dc:language>en-US</dc:language>
  <cp:lastModifiedBy/>
  <dcterms:modified xsi:type="dcterms:W3CDTF">2026-09-23T21:14:29Z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