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Assumptions" sheetId="2" state="visible" r:id="rId4"/>
    <sheet name="2. Performing" sheetId="3" state="visible" r:id="rId5"/>
    <sheet name="3. Rates and spreads" sheetId="4" state="visible" r:id="rId6"/>
    <sheet name="4. Trouble" sheetId="5" state="visible" r:id="rId7"/>
    <sheet name="5. Payment-in-kind" sheetId="6" state="visible" r:id="rId8"/>
    <sheet name="6. 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<sst xmlns="http://schemas.openxmlformats.org/spreadsheetml/2006/main" count="176" uniqueCount="154">
  <si>
    <t xml:space="preserve">Marking a Credit Position Across the Cycle</t>
  </si>
  <si>
    <t xml:space="preserve">Chapter 10 of The Private Markets Valuation Specialist, with the arithmetic the chapter describes.</t>
  </si>
  <si>
    <t xml:space="preserve">Chapter 10 walks one loan from performing, through a move in rates and spreads, into trouble, and asks for symmetry: a specialist who marks a credit down for bad news must be willing to mark it up for good news, and one who does not is not valuing, but reporting a preference. This file makes each of those steps a number.</t>
  </si>
  <si>
    <t xml:space="preserve">The instrument</t>
  </si>
  <si>
    <t xml:space="preserve">A senior secured term loan of fifty million, floating over a base rate with a floor, four years to run, paid semi-annually. Nothing exotic. The exotic part is what happens to it.</t>
  </si>
  <si>
    <t xml:space="preserve">The four things the file is built to show</t>
  </si>
  <si>
    <t xml:space="preserve">A floating-rate loan does not move when the base rate moves. Its coupon moves with the base rate and so does the rate it is discounted at, and the two cancel. What moves the mark is the spread the market now requires for that risk. Sheet 3 separates the two so you can see one do nothing and the other do everything \u2014 which is the single most common misunderstanding about marking floating-rate debt.</t>
  </si>
  <si>
    <t xml:space="preserve">The floor is worth something only in one state of the world. When the base rate sits above it, it is inert. When the base rate falls below it, the coupon stops falling while the market\u2019s required return keeps falling, and the loan is worth more than par for that reason alone. Sheet 3 prices it.</t>
  </si>
  <si>
    <t xml:space="preserve">When the borrower is in trouble, the question stops being a yield and becomes a recovery. Sheet 4 asks what the enterprise is worth, subtracts what ranks ahead, caps the answer at the face amount, discounts it for the time it takes to get there, and probability-weights three states. That is a valuation. Holding at par because no default has been declared is not.</t>
  </si>
  <si>
    <t xml:space="preserve">And payment-in-kind is a trap with a shape. The balance compounds at the accrual rate while the enterprise grows at its own rate, and if the first exceeds the second the position gets worse every quarter while the carrying value gets larger every quarter. Sheet 5 draws the two lines and marks the year they cross.</t>
  </si>
  <si>
    <t xml:space="preserve">What the file does not do</t>
  </si>
  <si>
    <t xml:space="preserve">No option-adjusted spread, no default-intensity model, no covenant schedule, no amortisation or cash sweep, no currency. The loan pays interest and repays at maturity.</t>
  </si>
  <si>
    <t xml:space="preserve">The sheets</t>
  </si>
  <si>
    <t xml:space="preserve">1. Assumptions — the loan, the market, the stress case and the payment-in-kind position.</t>
  </si>
  <si>
    <t xml:space="preserve">2. Performing — the cash flows and the price, period by period.</t>
  </si>
  <si>
    <t xml:space="preserve">3. Rates and spreads — what moves the mark, and what does not.</t>
  </si>
  <si>
    <t xml:space="preserve">4. Trouble — recovery, ranking, time, and three weighted states.</t>
  </si>
  <si>
    <t xml:space="preserve">5. Payment-in-kind — the accreted balance against the value that has to cover it.</t>
  </si>
  <si>
    <t xml:space="preserve">6. Checks — eight controls that test themselves and say so.</t>
  </si>
  <si>
    <t xml:space="preserve">Nothing is locked, protected or watermarked. Break it and rebuild it.</t>
  </si>
  <si>
    <t xml:space="preserve">Revised 23 September 2026. The value in the "cures" state was read from a scenario row whose base rate and spread were typed in, so the cure spread on sheet 1, row 21 changed nothing: it is now priced from that cell. The scenarios on sheet 3 are built from sheet 1 (the base rate and required spread, plus or minus the move each row names), and the label of row 11 names the rows it uses (2, 7 and 8). The chart this read-me promised on sheet 5 is drawn. And check 8 claimed coverage falls whenever the accrual rate beats the growth of the enterprise: the value available to the position grows faster than the enterprise (8.1 per cent in the first year, not 3) because the 60 ahead of it is fixed, so the test is now against that value. Two checks added, ten in all. No value in the file changes.</t>
  </si>
  <si>
    <t xml:space="preserve">The loan</t>
  </si>
  <si>
    <t xml:space="preserve">Value</t>
  </si>
  <si>
    <t xml:space="preserve">Note</t>
  </si>
  <si>
    <t xml:space="preserve">Face amount ($m)</t>
  </si>
  <si>
    <t xml:space="preserve">Contractual spread over the base rate</t>
  </si>
  <si>
    <t xml:space="preserve">575 basis points.</t>
  </si>
  <si>
    <t xml:space="preserve">Base rate floor</t>
  </si>
  <si>
    <t xml:space="preserve">The coupon cannot fall below the floor plus the spread.</t>
  </si>
  <si>
    <t xml:space="preserve">Years remaining</t>
  </si>
  <si>
    <t xml:space="preserve">Payments per year</t>
  </si>
  <si>
    <t xml:space="preserve">Semi-annual.</t>
  </si>
  <si>
    <t xml:space="preserve">The market at the measurement date</t>
  </si>
  <si>
    <t xml:space="preserve">Base rate</t>
  </si>
  <si>
    <t xml:space="preserve">Spread the market now requires</t>
  </si>
  <si>
    <t xml:space="preserve">Equal to the contractual spread means the loan is worth par. Move it and watch sheet 3.</t>
  </si>
  <si>
    <t xml:space="preserve">If the borrower is in trouble</t>
  </si>
  <si>
    <t xml:space="preserve">Enterprise value in the restructuring case ($m)</t>
  </si>
  <si>
    <t xml:space="preserve">What a buyer would pay for the business as it then is.</t>
  </si>
  <si>
    <t xml:space="preserve">Claims ranking ahead of this loan ($m)</t>
  </si>
  <si>
    <t xml:space="preserve">A super-senior revolving facility.</t>
  </si>
  <si>
    <t xml:space="preserve">Enterprise value in the liquidation case ($m)</t>
  </si>
  <si>
    <t xml:space="preserve">Assets sold piecemeal, not as a going concern.</t>
  </si>
  <si>
    <t xml:space="preserve">Years to resolution</t>
  </si>
  <si>
    <t xml:space="preserve">Restructurings take time, and time has a price.</t>
  </si>
  <si>
    <t xml:space="preserve">Discount rate on a distressed claim</t>
  </si>
  <si>
    <t xml:space="preserve">What a distressed buyer would demand to underwrite the outcome.</t>
  </si>
  <si>
    <t xml:space="preserve">Probability the credit cures</t>
  </si>
  <si>
    <t xml:space="preserve">Probability of a restructuring</t>
  </si>
  <si>
    <t xml:space="preserve">Probability of a liquidation</t>
  </si>
  <si>
    <t xml:space="preserve">Spread required if the credit merely cures</t>
  </si>
  <si>
    <t xml:space="preserve">It cured, but it frightened people. The spread does not come all the way back.</t>
  </si>
  <si>
    <t xml:space="preserve">The payment-in-kind position</t>
  </si>
  <si>
    <t xml:space="preserve">Face amount at issue ($m)</t>
  </si>
  <si>
    <t xml:space="preserve">Payment-in-kind rate</t>
  </si>
  <si>
    <t xml:space="preserve">Nothing is paid in cash. The balance compounds.</t>
  </si>
  <si>
    <t xml:space="preserve">Enterprise value today ($m)</t>
  </si>
  <si>
    <t xml:space="preserve">Growth in enterprise value per year</t>
  </si>
  <si>
    <t xml:space="preserve">Claims ranking ahead of it ($m)</t>
  </si>
  <si>
    <t xml:space="preserve">Years to model</t>
  </si>
  <si>
    <t xml:space="preserve">Period</t>
  </si>
  <si>
    <t xml:space="preserve">1</t>
  </si>
  <si>
    <t xml:space="preserve">2</t>
  </si>
  <si>
    <t xml:space="preserve">3</t>
  </si>
  <si>
    <t xml:space="preserve">4</t>
  </si>
  <si>
    <t xml:space="preserve">5</t>
  </si>
  <si>
    <t xml:space="preserve">6</t>
  </si>
  <si>
    <t xml:space="preserve">7</t>
  </si>
  <si>
    <t xml:space="preserve">8</t>
  </si>
  <si>
    <t xml:space="preserve">Years from now</t>
  </si>
  <si>
    <t xml:space="preserve">Coupon rate, annualised</t>
  </si>
  <si>
    <t xml:space="preserve">Interest paid ($m)</t>
  </si>
  <si>
    <t xml:space="preserve">Principal repaid ($m)</t>
  </si>
  <si>
    <t xml:space="preserve">Total cash ($m)</t>
  </si>
  <si>
    <t xml:space="preserve">Required return, annualised</t>
  </si>
  <si>
    <t xml:space="preserve">Discount factor</t>
  </si>
  <si>
    <t xml:space="preserve">Present value ($m)</t>
  </si>
  <si>
    <t xml:space="preserve">Value of the loan ($m)</t>
  </si>
  <si>
    <t xml:space="preserve">Price, per cent of face</t>
  </si>
  <si>
    <t xml:space="preserve">Mark, in dollars of face ($m)</t>
  </si>
  <si>
    <t xml:space="preserve">With the required spread equal to the contractual spread, this is par to the cent, whatever the base rate happens to be. That is check 1, and it is the whole reason a floating-rate loan is not a bond.</t>
  </si>
  <si>
    <t xml:space="preserve">Scenario</t>
  </si>
  <si>
    <t xml:space="preserve">Required spread</t>
  </si>
  <si>
    <t xml:space="preserve">Price</t>
  </si>
  <si>
    <t xml:space="preserve">Mark ($m)</t>
  </si>
  <si>
    <t xml:space="preserve">What it tells you</t>
  </si>
  <si>
    <t xml:space="preserve">As marked</t>
  </si>
  <si>
    <t xml:space="preserve">Par, by construction.</t>
  </si>
  <si>
    <t xml:space="preserve">Base rate up two points</t>
  </si>
  <si>
    <t xml:space="preserve">The coupon rose and so did the discount rate. The price did not move at all.</t>
  </si>
  <si>
    <t xml:space="preserve">Base rate down two points</t>
  </si>
  <si>
    <t xml:space="preserve">Same in reverse. The floor is still below the base rate, so it does nothing.</t>
  </si>
  <si>
    <t xml:space="preserve">Base rate below the floor</t>
  </si>
  <si>
    <t xml:space="preserve">Now the floor bites. The coupon stops falling; the required return does not. The loan is worth more than par, and this is the only state in which the floor is worth anything.</t>
  </si>
  <si>
    <t xml:space="preserve">Spread widens one point</t>
  </si>
  <si>
    <t xml:space="preserve">Nothing about the borrower's cash changed. The market's price of that risk did, and the mark moves.</t>
  </si>
  <si>
    <t xml:space="preserve">Spread widens two points</t>
  </si>
  <si>
    <t xml:space="preserve">The mark the credit would carry if it cured but stayed on the watch list.</t>
  </si>
  <si>
    <t xml:space="preserve">Spread tightens one point</t>
  </si>
  <si>
    <t xml:space="preserve">Symmetry. Chapter 10: a specialist who will mark down but not up is not valuing.</t>
  </si>
  <si>
    <t xml:space="preserve">Price move from the base rate alone (rows 2 to 4)</t>
  </si>
  <si>
    <t xml:space="preserve">Price move from the spread alone (rows 2, 7 and 8: one point tighter to two points wider)</t>
  </si>
  <si>
    <t xml:space="preserve">Two numbers, one of them essentially zero. That is the sentence Chapter 10 spends three pages on.</t>
  </si>
  <si>
    <t xml:space="preserve">If the credit cures</t>
  </si>
  <si>
    <t xml:space="preserve">Spread the market would then require</t>
  </si>
  <si>
    <t xml:space="preserve">Priced at the cure spread on sheet 1, row 21, and today's base rate.</t>
  </si>
  <si>
    <t xml:space="preserve">Value in this state ($m)</t>
  </si>
  <si>
    <t xml:space="preserve">If the credit is restructured</t>
  </si>
  <si>
    <t xml:space="preserve">Enterprise value ($m)</t>
  </si>
  <si>
    <t xml:space="preserve">Less: claims ranking ahead ($m)</t>
  </si>
  <si>
    <t xml:space="preserve">Available to this loan ($m)</t>
  </si>
  <si>
    <t xml:space="preserve">Capped at the face amount ($m)</t>
  </si>
  <si>
    <t xml:space="preserve">A lender cannot recover more than it is owed, however well the business does. That cap is what makes debt debt.</t>
  </si>
  <si>
    <t xml:space="preserve">Recovery, per cent of face</t>
  </si>
  <si>
    <t xml:space="preserve">Discounted for the time it takes ($m)</t>
  </si>
  <si>
    <t xml:space="preserve">If the business is liquidated</t>
  </si>
  <si>
    <t xml:space="preserve">Available to this loan, after senior claims ($m)</t>
  </si>
  <si>
    <t xml:space="preserve">The weighted mark</t>
  </si>
  <si>
    <t xml:space="preserve">Weight</t>
  </si>
  <si>
    <t xml:space="preserve">Value ($m)</t>
  </si>
  <si>
    <t xml:space="preserve">Cures</t>
  </si>
  <si>
    <t xml:space="preserve">Restructured</t>
  </si>
  <si>
    <t xml:space="preserve">Liquidated</t>
  </si>
  <si>
    <t xml:space="preserve">Total</t>
  </si>
  <si>
    <t xml:space="preserve">The mark, per cent of face</t>
  </si>
  <si>
    <t xml:space="preserve">Held at par, it would be ($m)</t>
  </si>
  <si>
    <t xml:space="preserve">The difference ($m)</t>
  </si>
  <si>
    <t xml:space="preserve">What holding at par until a default is formally declared would have cost the fund's investors, on this set of facts.</t>
  </si>
  <si>
    <t xml:space="preserve">Year</t>
  </si>
  <si>
    <t xml:space="preserve">0</t>
  </si>
  <si>
    <t xml:space="preserve">Accreted balance ($m)</t>
  </si>
  <si>
    <t xml:space="preserve">Available to the position ($m)</t>
  </si>
  <si>
    <t xml:space="preserve">Coverage of the accreted balance</t>
  </si>
  <si>
    <t xml:space="preserve">Value of the position ($m)</t>
  </si>
  <si>
    <t xml:space="preserve">Carried at accreted cost, it would be ($m)</t>
  </si>
  <si>
    <t xml:space="preserve">Overstatement if carried at cost ($m)</t>
  </si>
  <si>
    <t xml:space="preserve">First year coverage falls below one</t>
  </si>
  <si>
    <t xml:space="preserve">Accrual rate less enterprise growth</t>
  </si>
  <si>
    <t xml:space="preserve">The balance compounds at twelve per cent and the enterprise grows at three. What has to cover the balance is the enterprise less the 60 that ranks ahead, and that grows faster than the enterprise because the senior claim does not grow: 8.1 per cent in the first year, 6.6 in the sixth (rows 15 and 16). The gap is four to five and a half points a year, and it widens as the cushion thins. Chapter 10 calls this the accrual trap: the carrying value rises every period while the thing that has to cover it does not keep up, so the position looks better in the accounts precisely as it becomes worse in fact. The chart draws the two lines; they cross in year four.</t>
  </si>
  <si>
    <t xml:space="preserve">Growth of the value available to the position, first year</t>
  </si>
  <si>
    <t xml:space="preserve">Growth of the value available to the position, last year</t>
  </si>
  <si>
    <t xml:space="preserve">#</t>
  </si>
  <si>
    <t xml:space="preserve">What is tested</t>
  </si>
  <si>
    <t xml:space="preserve">Verdict</t>
  </si>
  <si>
    <t xml:space="preserve">A loan whose required spread equals its contractual spread is worth par, to the cent</t>
  </si>
  <si>
    <t xml:space="preserve">A move in the base rate alone, with the floor inert, does not move the price</t>
  </si>
  <si>
    <t xml:space="preserve">A move in the spread alone does move the price, and materially</t>
  </si>
  <si>
    <t xml:space="preserve">The floor is worth something only when the base rate is below it</t>
  </si>
  <si>
    <t xml:space="preserve">Recovery never exceeds the face amount, however well the enterprise does</t>
  </si>
  <si>
    <t xml:space="preserve">The three states are exhaustive: the weights sum to one</t>
  </si>
  <si>
    <t xml:space="preserve">The payment-in-kind balance is the face amount compounded at the accrual rate</t>
  </si>
  <si>
    <t xml:space="preserve">Coverage falls over the horizon exactly when the balance outgrows the value available to cover it</t>
  </si>
  <si>
    <t xml:space="preserve">The "as marked" scenario on sheet 3 is the price on sheet 2</t>
  </si>
  <si>
    <t xml:space="preserve">The cure value is priced at the cure spread on sheet 1, row 21</t>
  </si>
</sst>
</file>

<file path=xl/styles.xml><?xml version="1.0" encoding="utf-8"?>
<styleSheet xmlns="http://schemas.openxmlformats.org/spreadsheetml/2006/main">
  <numFmts count="9">
    <numFmt numFmtId="164" formatCode="General"/>
    <numFmt numFmtId="165" formatCode="#,##0.0"/>
    <numFmt numFmtId="166" formatCode="0.00%"/>
    <numFmt numFmtId="167" formatCode="0.0%"/>
    <numFmt numFmtId="168" formatCode="0.00"/>
    <numFmt numFmtId="169" formatCode="#,##0.00"/>
    <numFmt numFmtId="170" formatCode="0.0000"/>
    <numFmt numFmtId="171" formatCode="0.0000%"/>
    <numFmt numFmtId="172" formatCode="General"/>
  </numFmts>
  <fonts count="10">
    <font>
      <sz val="11"/>
      <color theme="1"/>
      <name val="Calibri"/>
      <family val="2"/>
      <charset val="1"/>
    </font>
    <font>
      <sz val="10"/>
      <name val="Arial"/>
      <family val="0"/>
    </font>
    <font>
      <sz val="10"/>
      <name val="Arial"/>
      <family val="0"/>
    </font>
    <font>
      <sz val="10"/>
      <name val="Arial"/>
      <family val="0"/>
    </font>
    <font>
      <b val="true"/>
      <sz val="12"/>
      <color rgb="FF172A42"/>
      <name val="Cambria"/>
      <family val="0"/>
      <charset val="1"/>
    </font>
    <font>
      <b val="true"/>
      <sz val="11"/>
      <color rgb="FFFFFFFF"/>
      <name val="Cambria"/>
      <family val="0"/>
      <charset val="1"/>
    </font>
    <font>
      <b val="true"/>
      <sz val="11"/>
      <color rgb="FF172A42"/>
      <name val="Cambria"/>
      <family val="0"/>
      <charset val="1"/>
    </font>
    <font>
      <b val="true"/>
      <sz val="18"/>
      <color rgb="FF000000"/>
      <name val="Calibri"/>
      <family val="2"/>
    </font>
    <font>
      <sz val="10"/>
      <color rgb="FF000000"/>
      <name val="Calibri"/>
      <family val="2"/>
    </font>
    <font>
      <b val="true"/>
      <sz val="10"/>
      <color rgb="FF000000"/>
      <name val="Calibri"/>
      <family val="2"/>
    </font>
  </fonts>
  <fills count="5">
    <fill>
      <patternFill patternType="none"/>
    </fill>
    <fill>
      <patternFill patternType="gray125"/>
    </fill>
    <fill>
      <patternFill patternType="solid">
        <fgColor rgb="FF172A42"/>
        <bgColor rgb="FF003366"/>
      </patternFill>
    </fill>
    <fill>
      <patternFill patternType="solid">
        <fgColor rgb="FFFFF3D6"/>
        <bgColor rgb="FFEFF3F8"/>
      </patternFill>
    </fill>
    <fill>
      <patternFill patternType="solid">
        <fgColor rgb="FFEFF3F8"/>
        <bgColor rgb="FFFFFFFF"/>
      </patternFill>
    </fill>
  </fills>
  <borders count="2">
    <border diagonalUp="false" diagonalDown="false">
      <left/>
      <right/>
      <top/>
      <bottom/>
      <diagonal/>
    </border>
    <border diagonalUp="false" diagonalDown="false">
      <left style="thin">
        <color rgb="FFBFC7D2"/>
      </left>
      <right style="thin">
        <color rgb="FFBFC7D2"/>
      </right>
      <top style="thin">
        <color rgb="FFBFC7D2"/>
      </top>
      <bottom style="thin">
        <color rgb="FFBFC7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2" borderId="1" xfId="0" applyFont="true" applyBorder="true" applyAlignment="true" applyProtection="false">
      <alignment horizontal="general" vertical="center" textRotation="0" wrapText="tru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5" fontId="0" fillId="3" borderId="1"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general" vertical="top" textRotation="0" wrapText="true" indent="0" shrinkToFit="false"/>
      <protection locked="true" hidden="false"/>
    </xf>
    <xf numFmtId="166" fontId="0" fillId="3" borderId="1" xfId="0" applyFont="fals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7" fontId="0" fillId="3" borderId="1" xfId="0" applyFont="false" applyBorder="true" applyAlignment="false" applyProtection="false">
      <alignment horizontal="general" vertical="bottom" textRotation="0" wrapText="false" indent="0" shrinkToFit="false"/>
      <protection locked="true" hidden="false"/>
    </xf>
    <xf numFmtId="168" fontId="0" fillId="4" borderId="1" xfId="0" applyFont="false" applyBorder="true" applyAlignment="false" applyProtection="false">
      <alignment horizontal="general" vertical="bottom" textRotation="0" wrapText="false" indent="0" shrinkToFit="false"/>
      <protection locked="true" hidden="false"/>
    </xf>
    <xf numFmtId="166" fontId="0" fillId="4" borderId="1" xfId="0" applyFont="false" applyBorder="true" applyAlignment="false" applyProtection="false">
      <alignment horizontal="general" vertical="bottom" textRotation="0" wrapText="false" indent="0" shrinkToFit="false"/>
      <protection locked="true" hidden="false"/>
    </xf>
    <xf numFmtId="169" fontId="0" fillId="4" borderId="1" xfId="0" applyFont="false" applyBorder="true" applyAlignment="false" applyProtection="false">
      <alignment horizontal="general" vertical="bottom" textRotation="0" wrapText="false" indent="0" shrinkToFit="false"/>
      <protection locked="true" hidden="false"/>
    </xf>
    <xf numFmtId="170" fontId="0" fillId="4"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71" fontId="0" fillId="4"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0" fillId="4" borderId="1" xfId="0" applyFont="false" applyBorder="true" applyAlignment="false" applyProtection="false">
      <alignment horizontal="general" vertical="bottom" textRotation="0" wrapText="false" indent="0" shrinkToFit="false"/>
      <protection locked="true" hidden="false"/>
    </xf>
    <xf numFmtId="167" fontId="0" fillId="4" borderId="1" xfId="0" applyFont="fals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72" fontId="0" fillId="4" borderId="1" xfId="0" applyFont="false" applyBorder="true" applyAlignment="false" applyProtection="false">
      <alignment horizontal="general" vertical="bottom" textRotation="0" wrapText="false" indent="0" shrinkToFit="false"/>
      <protection locked="true" hidden="false"/>
    </xf>
    <xf numFmtId="171" fontId="0" fillId="0" borderId="1" xfId="0" applyFont="false" applyBorder="true" applyAlignment="false" applyProtection="false">
      <alignment horizontal="general" vertical="bottom" textRotation="0" wrapText="false" indent="0" shrinkToFit="false"/>
      <protection locked="true" hidden="false"/>
    </xf>
    <xf numFmtId="169" fontId="0" fillId="0" borderId="1" xfId="0" applyFont="fals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8" fontId="0" fillId="0"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7D2"/>
      <rgbColor rgb="FF878787"/>
      <rgbColor rgb="FF9999FF"/>
      <rgbColor rgb="FFBE4B48"/>
      <rgbColor rgb="FFFFF3D6"/>
      <rgbColor rgb="FFEFF3F8"/>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A7EBB"/>
      <rgbColor rgb="FF969696"/>
      <rgbColor rgb="FF003366"/>
      <rgbColor rgb="FF339966"/>
      <rgbColor rgb="FF003300"/>
      <rgbColor rgb="FF333300"/>
      <rgbColor rgb="FF993300"/>
      <rgbColor rgb="FF993366"/>
      <rgbColor rgb="FF333399"/>
      <rgbColor rgb="FF172A4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Accreted balance against the value available to cover it</a:t>
            </a:r>
          </a:p>
        </c:rich>
      </c:tx>
      <c:overlay val="0"/>
      <c:spPr>
        <a:noFill/>
        <a:ln w="0">
          <a:noFill/>
        </a:ln>
      </c:spPr>
    </c:title>
    <c:autoTitleDeleted val="0"/>
    <c:plotArea>
      <c:lineChart>
        <c:grouping val="standard"/>
        <c:varyColors val="0"/>
        <c:ser>
          <c:idx val="0"/>
          <c:order val="0"/>
          <c:tx>
            <c:strRef>
              <c:f>'5. Payment-in-kind'!A2</c:f>
              <c:strCache>
                <c:ptCount val="1"/>
                <c:pt idx="0">
                  <c:v>Accreted balance ($m)</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'5. Payment-in-kind'!$B$1:$H$1</c:f>
              <c:strCache>
                <c:ptCount val="7"/>
                <c:pt idx="0">
                  <c:v>0</c:v>
                </c:pt>
                <c:pt idx="1">
                  <c:v>1</c:v>
                </c:pt>
                <c:pt idx="2">
                  <c:v>2</c:v>
                </c:pt>
                <c:pt idx="3">
                  <c:v>3</c:v>
                </c:pt>
                <c:pt idx="4">
                  <c:v>4</c:v>
                </c:pt>
                <c:pt idx="5">
                  <c:v>5</c:v>
                </c:pt>
                <c:pt idx="6">
                  <c:v>6</c:v>
                </c:pt>
              </c:strCache>
            </c:strRef>
          </c:cat>
          <c:val>
            <c:numRef>
              <c:f>'5. Payment-in-kind'!$B$2:$H$2</c:f>
              <c:numCache>
                <c:formatCode>#,##0.00</c:formatCode>
                <c:ptCount val="7"/>
                <c:pt idx="0">
                  <c:v>30</c:v>
                </c:pt>
                <c:pt idx="1">
                  <c:v>33.6</c:v>
                </c:pt>
                <c:pt idx="2">
                  <c:v>37.632</c:v>
                </c:pt>
                <c:pt idx="3">
                  <c:v>42.14784</c:v>
                </c:pt>
                <c:pt idx="4">
                  <c:v>47.2055808</c:v>
                </c:pt>
                <c:pt idx="5">
                  <c:v>52.870250496</c:v>
                </c:pt>
                <c:pt idx="6">
                  <c:v>59.21468055552</c:v>
                </c:pt>
              </c:numCache>
            </c:numRef>
          </c:val>
          <c:smooth val="1"/>
        </c:ser>
        <c:ser>
          <c:idx val="1"/>
          <c:order val="1"/>
          <c:tx>
            <c:strRef>
              <c:f>'5. Payment-in-kind'!A5</c:f>
              <c:strCache>
                <c:ptCount val="1"/>
                <c:pt idx="0">
                  <c:v>Available to the position ($m)</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'5. Payment-in-kind'!$B$1:$H$1</c:f>
              <c:strCache>
                <c:ptCount val="7"/>
                <c:pt idx="0">
                  <c:v>0</c:v>
                </c:pt>
                <c:pt idx="1">
                  <c:v>1</c:v>
                </c:pt>
                <c:pt idx="2">
                  <c:v>2</c:v>
                </c:pt>
                <c:pt idx="3">
                  <c:v>3</c:v>
                </c:pt>
                <c:pt idx="4">
                  <c:v>4</c:v>
                </c:pt>
                <c:pt idx="5">
                  <c:v>5</c:v>
                </c:pt>
                <c:pt idx="6">
                  <c:v>6</c:v>
                </c:pt>
              </c:strCache>
            </c:strRef>
          </c:cat>
          <c:val>
            <c:numRef>
              <c:f>'5. Payment-in-kind'!$B$5:$H$5</c:f>
              <c:numCache>
                <c:formatCode>#,##0.00</c:formatCode>
                <c:ptCount val="7"/>
                <c:pt idx="0">
                  <c:v>35</c:v>
                </c:pt>
                <c:pt idx="1">
                  <c:v>37.85</c:v>
                </c:pt>
                <c:pt idx="2">
                  <c:v>40.7855</c:v>
                </c:pt>
                <c:pt idx="3">
                  <c:v>43.809065</c:v>
                </c:pt>
                <c:pt idx="4">
                  <c:v>46.92333695</c:v>
                </c:pt>
                <c:pt idx="5">
                  <c:v>50.1310370585</c:v>
                </c:pt>
                <c:pt idx="6">
                  <c:v>53.434968170255</c:v>
                </c:pt>
              </c:numCache>
            </c:numRef>
          </c:val>
          <c:smooth val="1"/>
        </c:ser>
        <c:hiLowLines>
          <c:spPr>
            <a:ln w="0">
              <a:noFill/>
            </a:ln>
          </c:spPr>
        </c:hiLowLines>
        <c:marker val="0"/>
        <c:axId val="2548560"/>
        <c:axId val="95891306"/>
      </c:lineChart>
      <c:catAx>
        <c:axId val="2548560"/>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Year</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5891306"/>
        <c:crosses val="autoZero"/>
        <c:auto val="1"/>
        <c:lblAlgn val="ctr"/>
        <c:lblOffset val="100"/>
        <c:noMultiLvlLbl val="0"/>
      </c:catAx>
      <c:valAx>
        <c:axId val="95891306"/>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$m</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548560"/>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13</xdr:row>
      <xdr:rowOff>762120</xdr:rowOff>
    </xdr:from>
    <xdr:to>
      <xdr:col>3</xdr:col>
      <xdr:colOff>70200</xdr:colOff>
      <xdr:row>18</xdr:row>
      <xdr:rowOff>122400</xdr:rowOff>
    </xdr:to>
    <xdr:graphicFrame>
      <xdr:nvGraphicFramePr>
        <xdr:cNvPr id="0" name="Chart 1"/>
        <xdr:cNvGraphicFramePr/>
      </xdr:nvGraphicFramePr>
      <xdr:xfrm>
        <a:off x="0" y="3238560"/>
        <a:ext cx="575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5" hidden="false" customHeight="true" outlineLevel="0" collapsed="false">
      <c r="A1" s="1" t="s">
        <v>0</v>
      </c>
    </row>
    <row r="2" customFormat="false" ht="30" hidden="false" customHeight="true" outlineLevel="0" collapsed="false">
      <c r="A2" s="2" t="s">
        <v>1</v>
      </c>
    </row>
    <row r="3" customFormat="false" ht="15" hidden="false" customHeight="true" outlineLevel="0" collapsed="false">
      <c r="A3" s="2"/>
    </row>
    <row r="4" customFormat="false" ht="60" hidden="false" customHeight="true" outlineLevel="0" collapsed="false">
      <c r="A4" s="2" t="s">
        <v>2</v>
      </c>
    </row>
    <row r="5" customFormat="false" ht="15" hidden="false" customHeight="true" outlineLevel="0" collapsed="false">
      <c r="A5" s="2"/>
    </row>
    <row r="6" customFormat="false" ht="15" hidden="false" customHeight="true" outlineLevel="0" collapsed="false">
      <c r="A6" s="1" t="s">
        <v>3</v>
      </c>
    </row>
    <row r="7" customFormat="false" ht="30" hidden="false" customHeight="true" outlineLevel="0" collapsed="false">
      <c r="A7" s="2" t="s">
        <v>4</v>
      </c>
    </row>
    <row r="8" customFormat="false" ht="15" hidden="false" customHeight="true" outlineLevel="0" collapsed="false">
      <c r="A8" s="2"/>
    </row>
    <row r="9" customFormat="false" ht="15" hidden="false" customHeight="true" outlineLevel="0" collapsed="false">
      <c r="A9" s="1" t="s">
        <v>5</v>
      </c>
    </row>
    <row r="10" customFormat="false" ht="75" hidden="false" customHeight="true" outlineLevel="0" collapsed="false">
      <c r="A10" s="2" t="s">
        <v>6</v>
      </c>
    </row>
    <row r="11" customFormat="false" ht="15" hidden="false" customHeight="true" outlineLevel="0" collapsed="false">
      <c r="A11" s="2"/>
    </row>
    <row r="12" customFormat="false" ht="60" hidden="false" customHeight="true" outlineLevel="0" collapsed="false">
      <c r="A12" s="2" t="s">
        <v>7</v>
      </c>
    </row>
    <row r="13" customFormat="false" ht="15" hidden="false" customHeight="true" outlineLevel="0" collapsed="false">
      <c r="A13" s="2"/>
    </row>
    <row r="14" customFormat="false" ht="60" hidden="false" customHeight="true" outlineLevel="0" collapsed="false">
      <c r="A14" s="2" t="s">
        <v>8</v>
      </c>
    </row>
    <row r="15" customFormat="false" ht="15" hidden="false" customHeight="true" outlineLevel="0" collapsed="false">
      <c r="A15" s="2"/>
    </row>
    <row r="16" customFormat="false" ht="60" hidden="false" customHeight="true" outlineLevel="0" collapsed="false">
      <c r="A16" s="2" t="s">
        <v>9</v>
      </c>
    </row>
    <row r="17" customFormat="false" ht="15" hidden="false" customHeight="true" outlineLevel="0" collapsed="false">
      <c r="A17" s="2"/>
    </row>
    <row r="18" customFormat="false" ht="15" hidden="false" customHeight="true" outlineLevel="0" collapsed="false">
      <c r="A18" s="1" t="s">
        <v>10</v>
      </c>
    </row>
    <row r="19" customFormat="false" ht="30" hidden="false" customHeight="true" outlineLevel="0" collapsed="false">
      <c r="A19" s="2" t="s">
        <v>11</v>
      </c>
    </row>
    <row r="20" customFormat="false" ht="15" hidden="false" customHeight="true" outlineLevel="0" collapsed="false">
      <c r="A20" s="2"/>
    </row>
    <row r="21" customFormat="false" ht="15" hidden="false" customHeight="true" outlineLevel="0" collapsed="false">
      <c r="A21" s="1" t="s">
        <v>12</v>
      </c>
    </row>
    <row r="22" customFormat="false" ht="15" hidden="false" customHeight="true" outlineLevel="0" collapsed="false">
      <c r="A22" s="2" t="s">
        <v>13</v>
      </c>
    </row>
    <row r="23" customFormat="false" ht="15" hidden="false" customHeight="true" outlineLevel="0" collapsed="false">
      <c r="A23" s="2" t="s">
        <v>14</v>
      </c>
    </row>
    <row r="24" customFormat="false" ht="15" hidden="false" customHeight="true" outlineLevel="0" collapsed="false">
      <c r="A24" s="2" t="s">
        <v>15</v>
      </c>
    </row>
    <row r="25" customFormat="false" ht="15" hidden="false" customHeight="true" outlineLevel="0" collapsed="false">
      <c r="A25" s="2" t="s">
        <v>16</v>
      </c>
    </row>
    <row r="26" customFormat="false" ht="15" hidden="false" customHeight="true" outlineLevel="0" collapsed="false">
      <c r="A26" s="2" t="s">
        <v>17</v>
      </c>
    </row>
    <row r="27" customFormat="false" ht="15" hidden="false" customHeight="true" outlineLevel="0" collapsed="false">
      <c r="A27" s="2" t="s">
        <v>18</v>
      </c>
    </row>
    <row r="28" customFormat="false" ht="15" hidden="false" customHeight="true" outlineLevel="0" collapsed="false">
      <c r="A28" s="2"/>
    </row>
    <row r="29" customFormat="false" ht="15" hidden="false" customHeight="true" outlineLevel="0" collapsed="false">
      <c r="A29" s="2" t="s">
        <v>19</v>
      </c>
    </row>
    <row r="31" customFormat="false" ht="95.5" hidden="false" customHeight="false" outlineLevel="0" collapsed="false">
      <c r="A31" s="2" t="s">
        <v>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56"/>
  </cols>
  <sheetData>
    <row r="1" customFormat="false" ht="15" hidden="false" customHeight="false" outlineLevel="0" collapsed="false">
      <c r="A1" s="3" t="s">
        <v>21</v>
      </c>
      <c r="B1" s="3" t="s">
        <v>22</v>
      </c>
      <c r="C1" s="3" t="s">
        <v>23</v>
      </c>
    </row>
    <row r="2" customFormat="false" ht="15" hidden="false" customHeight="false" outlineLevel="0" collapsed="false">
      <c r="A2" s="4" t="s">
        <v>24</v>
      </c>
      <c r="B2" s="5" t="n">
        <v>50</v>
      </c>
      <c r="C2" s="6"/>
    </row>
    <row r="3" customFormat="false" ht="15" hidden="false" customHeight="false" outlineLevel="0" collapsed="false">
      <c r="A3" s="4" t="s">
        <v>25</v>
      </c>
      <c r="B3" s="7" t="n">
        <v>0.0575</v>
      </c>
      <c r="C3" s="6" t="s">
        <v>26</v>
      </c>
    </row>
    <row r="4" customFormat="false" ht="15" hidden="false" customHeight="false" outlineLevel="0" collapsed="false">
      <c r="A4" s="4" t="s">
        <v>27</v>
      </c>
      <c r="B4" s="7" t="n">
        <v>0.01</v>
      </c>
      <c r="C4" s="6" t="s">
        <v>28</v>
      </c>
    </row>
    <row r="5" customFormat="false" ht="15" hidden="false" customHeight="false" outlineLevel="0" collapsed="false">
      <c r="A5" s="4" t="s">
        <v>29</v>
      </c>
      <c r="B5" s="5" t="n">
        <v>4</v>
      </c>
      <c r="C5" s="6"/>
    </row>
    <row r="6" customFormat="false" ht="15" hidden="false" customHeight="false" outlineLevel="0" collapsed="false">
      <c r="A6" s="4" t="s">
        <v>30</v>
      </c>
      <c r="B6" s="8" t="n">
        <v>2</v>
      </c>
      <c r="C6" s="6" t="s">
        <v>31</v>
      </c>
    </row>
    <row r="8" customFormat="false" ht="15" hidden="false" customHeight="false" outlineLevel="0" collapsed="false">
      <c r="A8" s="3" t="s">
        <v>32</v>
      </c>
      <c r="B8" s="3" t="s">
        <v>22</v>
      </c>
      <c r="C8" s="3" t="s">
        <v>23</v>
      </c>
    </row>
    <row r="9" customFormat="false" ht="15" hidden="false" customHeight="false" outlineLevel="0" collapsed="false">
      <c r="A9" s="4" t="s">
        <v>33</v>
      </c>
      <c r="B9" s="7" t="n">
        <v>0.043</v>
      </c>
      <c r="C9" s="6"/>
    </row>
    <row r="10" customFormat="false" ht="28.35" hidden="false" customHeight="false" outlineLevel="0" collapsed="false">
      <c r="A10" s="4" t="s">
        <v>34</v>
      </c>
      <c r="B10" s="7" t="n">
        <v>0.0575</v>
      </c>
      <c r="C10" s="6" t="s">
        <v>35</v>
      </c>
    </row>
    <row r="12" customFormat="false" ht="15" hidden="false" customHeight="false" outlineLevel="0" collapsed="false">
      <c r="A12" s="3" t="s">
        <v>36</v>
      </c>
      <c r="B12" s="3" t="s">
        <v>22</v>
      </c>
      <c r="C12" s="3" t="s">
        <v>23</v>
      </c>
    </row>
    <row r="13" customFormat="false" ht="15" hidden="false" customHeight="false" outlineLevel="0" collapsed="false">
      <c r="A13" s="4" t="s">
        <v>37</v>
      </c>
      <c r="B13" s="5" t="n">
        <v>44</v>
      </c>
      <c r="C13" s="6" t="s">
        <v>38</v>
      </c>
    </row>
    <row r="14" customFormat="false" ht="15" hidden="false" customHeight="false" outlineLevel="0" collapsed="false">
      <c r="A14" s="4" t="s">
        <v>39</v>
      </c>
      <c r="B14" s="5" t="n">
        <v>8</v>
      </c>
      <c r="C14" s="6" t="s">
        <v>40</v>
      </c>
    </row>
    <row r="15" customFormat="false" ht="15" hidden="false" customHeight="false" outlineLevel="0" collapsed="false">
      <c r="A15" s="4" t="s">
        <v>41</v>
      </c>
      <c r="B15" s="5" t="n">
        <v>31</v>
      </c>
      <c r="C15" s="6" t="s">
        <v>42</v>
      </c>
    </row>
    <row r="16" customFormat="false" ht="15" hidden="false" customHeight="false" outlineLevel="0" collapsed="false">
      <c r="A16" s="4" t="s">
        <v>43</v>
      </c>
      <c r="B16" s="5" t="n">
        <v>1.5</v>
      </c>
      <c r="C16" s="6" t="s">
        <v>44</v>
      </c>
    </row>
    <row r="17" customFormat="false" ht="28.35" hidden="false" customHeight="false" outlineLevel="0" collapsed="false">
      <c r="A17" s="4" t="s">
        <v>45</v>
      </c>
      <c r="B17" s="7" t="n">
        <v>0.18</v>
      </c>
      <c r="C17" s="6" t="s">
        <v>46</v>
      </c>
    </row>
    <row r="18" customFormat="false" ht="15" hidden="false" customHeight="false" outlineLevel="0" collapsed="false">
      <c r="A18" s="4" t="s">
        <v>47</v>
      </c>
      <c r="B18" s="9" t="n">
        <v>0.55</v>
      </c>
      <c r="C18" s="6"/>
    </row>
    <row r="19" customFormat="false" ht="15" hidden="false" customHeight="false" outlineLevel="0" collapsed="false">
      <c r="A19" s="4" t="s">
        <v>48</v>
      </c>
      <c r="B19" s="9" t="n">
        <v>0.35</v>
      </c>
      <c r="C19" s="6"/>
    </row>
    <row r="20" customFormat="false" ht="15" hidden="false" customHeight="false" outlineLevel="0" collapsed="false">
      <c r="A20" s="4" t="s">
        <v>49</v>
      </c>
      <c r="B20" s="9" t="n">
        <v>0.1</v>
      </c>
      <c r="C20" s="6"/>
    </row>
    <row r="21" customFormat="false" ht="28.35" hidden="false" customHeight="false" outlineLevel="0" collapsed="false">
      <c r="A21" s="4" t="s">
        <v>50</v>
      </c>
      <c r="B21" s="7" t="n">
        <v>0.0775</v>
      </c>
      <c r="C21" s="6" t="s">
        <v>51</v>
      </c>
    </row>
    <row r="23" customFormat="false" ht="15" hidden="false" customHeight="false" outlineLevel="0" collapsed="false">
      <c r="A23" s="3" t="s">
        <v>52</v>
      </c>
      <c r="B23" s="3" t="s">
        <v>22</v>
      </c>
      <c r="C23" s="3" t="s">
        <v>23</v>
      </c>
    </row>
    <row r="24" customFormat="false" ht="15" hidden="false" customHeight="false" outlineLevel="0" collapsed="false">
      <c r="A24" s="4" t="s">
        <v>53</v>
      </c>
      <c r="B24" s="5" t="n">
        <v>30</v>
      </c>
      <c r="C24" s="6"/>
    </row>
    <row r="25" customFormat="false" ht="15" hidden="false" customHeight="false" outlineLevel="0" collapsed="false">
      <c r="A25" s="4" t="s">
        <v>54</v>
      </c>
      <c r="B25" s="7" t="n">
        <v>0.12</v>
      </c>
      <c r="C25" s="6" t="s">
        <v>55</v>
      </c>
    </row>
    <row r="26" customFormat="false" ht="15" hidden="false" customHeight="false" outlineLevel="0" collapsed="false">
      <c r="A26" s="4" t="s">
        <v>56</v>
      </c>
      <c r="B26" s="5" t="n">
        <v>95</v>
      </c>
      <c r="C26" s="6"/>
    </row>
    <row r="27" customFormat="false" ht="15" hidden="false" customHeight="false" outlineLevel="0" collapsed="false">
      <c r="A27" s="4" t="s">
        <v>57</v>
      </c>
      <c r="B27" s="7" t="n">
        <v>0.03</v>
      </c>
      <c r="C27" s="6"/>
    </row>
    <row r="28" customFormat="false" ht="15" hidden="false" customHeight="false" outlineLevel="0" collapsed="false">
      <c r="A28" s="4" t="s">
        <v>58</v>
      </c>
      <c r="B28" s="5" t="n">
        <v>60</v>
      </c>
      <c r="C28" s="6"/>
    </row>
    <row r="29" customFormat="false" ht="15" hidden="false" customHeight="false" outlineLevel="0" collapsed="false">
      <c r="A29" s="4" t="s">
        <v>59</v>
      </c>
      <c r="B29" s="8" t="n">
        <v>6</v>
      </c>
      <c r="C29" s="6"/>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6"/>
    <col collapsed="false" customWidth="true" hidden="false" outlineLevel="0" max="9" min="2" style="0" width="12"/>
  </cols>
  <sheetData>
    <row r="1" customFormat="false" ht="15" hidden="false" customHeight="false" outlineLevel="0" collapsed="false">
      <c r="A1" s="3" t="s">
        <v>60</v>
      </c>
      <c r="B1" s="3" t="s">
        <v>61</v>
      </c>
      <c r="C1" s="3" t="s">
        <v>62</v>
      </c>
      <c r="D1" s="3" t="s">
        <v>63</v>
      </c>
      <c r="E1" s="3" t="s">
        <v>64</v>
      </c>
      <c r="F1" s="3" t="s">
        <v>65</v>
      </c>
      <c r="G1" s="3" t="s">
        <v>66</v>
      </c>
      <c r="H1" s="3" t="s">
        <v>67</v>
      </c>
      <c r="I1" s="3" t="s">
        <v>68</v>
      </c>
    </row>
    <row r="2" customFormat="false" ht="15" hidden="false" customHeight="false" outlineLevel="0" collapsed="false">
      <c r="A2" s="4" t="s">
        <v>69</v>
      </c>
      <c r="B2" s="10" t="n">
        <f aca="false">(1)/'1. Assumptions'!B6</f>
        <v>0.5</v>
      </c>
      <c r="C2" s="10" t="n">
        <f aca="false">(2)/'1. Assumptions'!B6</f>
        <v>1</v>
      </c>
      <c r="D2" s="10" t="n">
        <f aca="false">(3)/'1. Assumptions'!B6</f>
        <v>1.5</v>
      </c>
      <c r="E2" s="10" t="n">
        <f aca="false">(4)/'1. Assumptions'!B6</f>
        <v>2</v>
      </c>
      <c r="F2" s="10" t="n">
        <f aca="false">(5)/'1. Assumptions'!B6</f>
        <v>2.5</v>
      </c>
      <c r="G2" s="10" t="n">
        <f aca="false">(6)/'1. Assumptions'!B6</f>
        <v>3</v>
      </c>
      <c r="H2" s="10" t="n">
        <f aca="false">(7)/'1. Assumptions'!B6</f>
        <v>3.5</v>
      </c>
      <c r="I2" s="10" t="n">
        <f aca="false">(8)/'1. Assumptions'!B6</f>
        <v>4</v>
      </c>
    </row>
    <row r="3" customFormat="false" ht="15" hidden="false" customHeight="false" outlineLevel="0" collapsed="false">
      <c r="A3" s="4" t="s">
        <v>70</v>
      </c>
      <c r="B3" s="11" t="n">
        <f aca="false">MAX('1. Assumptions'!B9,'1. Assumptions'!B4)+'1. Assumptions'!B3</f>
        <v>0.1005</v>
      </c>
      <c r="C3" s="11" t="n">
        <f aca="false">MAX('1. Assumptions'!B9,'1. Assumptions'!B4)+'1. Assumptions'!B3</f>
        <v>0.1005</v>
      </c>
      <c r="D3" s="11" t="n">
        <f aca="false">MAX('1. Assumptions'!B9,'1. Assumptions'!B4)+'1. Assumptions'!B3</f>
        <v>0.1005</v>
      </c>
      <c r="E3" s="11" t="n">
        <f aca="false">MAX('1. Assumptions'!B9,'1. Assumptions'!B4)+'1. Assumptions'!B3</f>
        <v>0.1005</v>
      </c>
      <c r="F3" s="11" t="n">
        <f aca="false">MAX('1. Assumptions'!B9,'1. Assumptions'!B4)+'1. Assumptions'!B3</f>
        <v>0.1005</v>
      </c>
      <c r="G3" s="11" t="n">
        <f aca="false">MAX('1. Assumptions'!B9,'1. Assumptions'!B4)+'1. Assumptions'!B3</f>
        <v>0.1005</v>
      </c>
      <c r="H3" s="11" t="n">
        <f aca="false">MAX('1. Assumptions'!B9,'1. Assumptions'!B4)+'1. Assumptions'!B3</f>
        <v>0.1005</v>
      </c>
      <c r="I3" s="11" t="n">
        <f aca="false">MAX('1. Assumptions'!B9,'1. Assumptions'!B4)+'1. Assumptions'!B3</f>
        <v>0.1005</v>
      </c>
    </row>
    <row r="4" customFormat="false" ht="15" hidden="false" customHeight="false" outlineLevel="0" collapsed="false">
      <c r="A4" s="4" t="s">
        <v>71</v>
      </c>
      <c r="B4" s="12" t="n">
        <f aca="false">'1. Assumptions'!B2*B3/'1. Assumptions'!B6</f>
        <v>2.5125</v>
      </c>
      <c r="C4" s="12" t="n">
        <f aca="false">'1. Assumptions'!B2*C3/'1. Assumptions'!B6</f>
        <v>2.5125</v>
      </c>
      <c r="D4" s="12" t="n">
        <f aca="false">'1. Assumptions'!B2*D3/'1. Assumptions'!B6</f>
        <v>2.5125</v>
      </c>
      <c r="E4" s="12" t="n">
        <f aca="false">'1. Assumptions'!B2*E3/'1. Assumptions'!B6</f>
        <v>2.5125</v>
      </c>
      <c r="F4" s="12" t="n">
        <f aca="false">'1. Assumptions'!B2*F3/'1. Assumptions'!B6</f>
        <v>2.5125</v>
      </c>
      <c r="G4" s="12" t="n">
        <f aca="false">'1. Assumptions'!B2*G3/'1. Assumptions'!B6</f>
        <v>2.5125</v>
      </c>
      <c r="H4" s="12" t="n">
        <f aca="false">'1. Assumptions'!B2*H3/'1. Assumptions'!B6</f>
        <v>2.5125</v>
      </c>
      <c r="I4" s="12" t="n">
        <f aca="false">'1. Assumptions'!B2*I3/'1. Assumptions'!B6</f>
        <v>2.5125</v>
      </c>
    </row>
    <row r="5" customFormat="false" ht="15" hidden="false" customHeight="false" outlineLevel="0" collapsed="false">
      <c r="A5" s="4" t="s">
        <v>72</v>
      </c>
      <c r="B5" s="12" t="n">
        <v>0</v>
      </c>
      <c r="C5" s="12" t="n">
        <v>0</v>
      </c>
      <c r="D5" s="12" t="n">
        <v>0</v>
      </c>
      <c r="E5" s="12" t="n">
        <v>0</v>
      </c>
      <c r="F5" s="12" t="n">
        <v>0</v>
      </c>
      <c r="G5" s="12" t="n">
        <v>0</v>
      </c>
      <c r="H5" s="12" t="n">
        <v>0</v>
      </c>
      <c r="I5" s="12" t="n">
        <f aca="false">'1. Assumptions'!B2</f>
        <v>50</v>
      </c>
    </row>
    <row r="6" customFormat="false" ht="15" hidden="false" customHeight="false" outlineLevel="0" collapsed="false">
      <c r="A6" s="4" t="s">
        <v>73</v>
      </c>
      <c r="B6" s="12" t="n">
        <f aca="false">B4+B5</f>
        <v>2.5125</v>
      </c>
      <c r="C6" s="12" t="n">
        <f aca="false">C4+C5</f>
        <v>2.5125</v>
      </c>
      <c r="D6" s="12" t="n">
        <f aca="false">D4+D5</f>
        <v>2.5125</v>
      </c>
      <c r="E6" s="12" t="n">
        <f aca="false">E4+E5</f>
        <v>2.5125</v>
      </c>
      <c r="F6" s="12" t="n">
        <f aca="false">F4+F5</f>
        <v>2.5125</v>
      </c>
      <c r="G6" s="12" t="n">
        <f aca="false">G4+G5</f>
        <v>2.5125</v>
      </c>
      <c r="H6" s="12" t="n">
        <f aca="false">H4+H5</f>
        <v>2.5125</v>
      </c>
      <c r="I6" s="12" t="n">
        <f aca="false">I4+I5</f>
        <v>52.5125</v>
      </c>
    </row>
    <row r="7" customFormat="false" ht="15" hidden="false" customHeight="false" outlineLevel="0" collapsed="false">
      <c r="A7" s="4" t="s">
        <v>74</v>
      </c>
      <c r="B7" s="11" t="n">
        <f aca="false">'1. Assumptions'!B9+'1. Assumptions'!B10</f>
        <v>0.1005</v>
      </c>
      <c r="C7" s="11" t="n">
        <f aca="false">'1. Assumptions'!B9+'1. Assumptions'!B10</f>
        <v>0.1005</v>
      </c>
      <c r="D7" s="11" t="n">
        <f aca="false">'1. Assumptions'!B9+'1. Assumptions'!B10</f>
        <v>0.1005</v>
      </c>
      <c r="E7" s="11" t="n">
        <f aca="false">'1. Assumptions'!B9+'1. Assumptions'!B10</f>
        <v>0.1005</v>
      </c>
      <c r="F7" s="11" t="n">
        <f aca="false">'1. Assumptions'!B9+'1. Assumptions'!B10</f>
        <v>0.1005</v>
      </c>
      <c r="G7" s="11" t="n">
        <f aca="false">'1. Assumptions'!B9+'1. Assumptions'!B10</f>
        <v>0.1005</v>
      </c>
      <c r="H7" s="11" t="n">
        <f aca="false">'1. Assumptions'!B9+'1. Assumptions'!B10</f>
        <v>0.1005</v>
      </c>
      <c r="I7" s="11" t="n">
        <f aca="false">'1. Assumptions'!B9+'1. Assumptions'!B10</f>
        <v>0.1005</v>
      </c>
    </row>
    <row r="8" customFormat="false" ht="15" hidden="false" customHeight="false" outlineLevel="0" collapsed="false">
      <c r="A8" s="4" t="s">
        <v>75</v>
      </c>
      <c r="B8" s="13" t="n">
        <f aca="false">1/(1+B7/'1. Assumptions'!B6)^1</f>
        <v>0.952154248988336</v>
      </c>
      <c r="C8" s="13" t="n">
        <f aca="false">1/(1+C7/'1. Assumptions'!B6)^2</f>
        <v>0.906597713866543</v>
      </c>
      <c r="D8" s="13" t="n">
        <f aca="false">1/(1+D7/'1. Assumptions'!B6)^3</f>
        <v>0.86322086538114</v>
      </c>
      <c r="E8" s="13" t="n">
        <f aca="false">1/(1+E7/'1. Assumptions'!B6)^4</f>
        <v>0.821919414788041</v>
      </c>
      <c r="F8" s="13" t="n">
        <f aca="false">1/(1+F7/'1. Assumptions'!B6)^5</f>
        <v>0.78259406311644</v>
      </c>
      <c r="G8" s="13" t="n">
        <f aca="false">1/(1+G7/'1. Assumptions'!B6)^6</f>
        <v>0.745150262429365</v>
      </c>
      <c r="H8" s="13" t="n">
        <f aca="false">1/(1+H7/'1. Assumptions'!B6)^7</f>
        <v>0.709497988506894</v>
      </c>
      <c r="I8" s="13" t="n">
        <f aca="false">1/(1+I7/'1. Assumptions'!B6)^8</f>
        <v>0.675551524405516</v>
      </c>
    </row>
    <row r="9" customFormat="false" ht="15" hidden="false" customHeight="false" outlineLevel="0" collapsed="false">
      <c r="A9" s="4" t="s">
        <v>76</v>
      </c>
      <c r="B9" s="12" t="n">
        <f aca="false">B6*B8</f>
        <v>2.3922875505832</v>
      </c>
      <c r="C9" s="12" t="n">
        <f aca="false">C6*C8</f>
        <v>2.27782675608969</v>
      </c>
      <c r="D9" s="12" t="n">
        <f aca="false">D6*D8</f>
        <v>2.16884242427012</v>
      </c>
      <c r="E9" s="12" t="n">
        <f aca="false">E6*E8</f>
        <v>2.06507252965495</v>
      </c>
      <c r="F9" s="12" t="n">
        <f aca="false">F6*F8</f>
        <v>1.96626758358006</v>
      </c>
      <c r="G9" s="12" t="n">
        <f aca="false">G6*G8</f>
        <v>1.87219003435378</v>
      </c>
      <c r="H9" s="12" t="n">
        <f aca="false">H6*H8</f>
        <v>1.78261369612357</v>
      </c>
      <c r="I9" s="12" t="n">
        <f aca="false">I6*I8</f>
        <v>35.4748994253447</v>
      </c>
    </row>
    <row r="11" customFormat="false" ht="15" hidden="false" customHeight="false" outlineLevel="0" collapsed="false">
      <c r="A11" s="14" t="s">
        <v>77</v>
      </c>
      <c r="B11" s="15" t="n">
        <f aca="false">SUM(B9:I9)</f>
        <v>50</v>
      </c>
    </row>
    <row r="12" customFormat="false" ht="15" hidden="false" customHeight="false" outlineLevel="0" collapsed="false">
      <c r="A12" s="0" t="s">
        <v>78</v>
      </c>
      <c r="B12" s="11" t="n">
        <f aca="false">B11/'1. Assumptions'!B2</f>
        <v>1</v>
      </c>
    </row>
    <row r="13" customFormat="false" ht="15" hidden="false" customHeight="false" outlineLevel="0" collapsed="false">
      <c r="A13" s="0" t="s">
        <v>79</v>
      </c>
      <c r="B13" s="12" t="n">
        <f aca="false">B11</f>
        <v>50</v>
      </c>
    </row>
    <row r="15" customFormat="false" ht="68.65" hidden="false" customHeight="false" outlineLevel="0" collapsed="false">
      <c r="A15" s="2" t="s">
        <v>80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5" min="2" style="0" width="14"/>
    <col collapsed="false" customWidth="true" hidden="false" outlineLevel="0" max="6" min="6" style="0" width="52"/>
  </cols>
  <sheetData>
    <row r="1" customFormat="false" ht="28.35" hidden="false" customHeight="false" outlineLevel="0" collapsed="false">
      <c r="A1" s="3" t="s">
        <v>81</v>
      </c>
      <c r="B1" s="3" t="s">
        <v>33</v>
      </c>
      <c r="C1" s="3" t="s">
        <v>82</v>
      </c>
      <c r="D1" s="3" t="s">
        <v>83</v>
      </c>
      <c r="E1" s="3" t="s">
        <v>84</v>
      </c>
      <c r="F1" s="3" t="s">
        <v>85</v>
      </c>
    </row>
    <row r="2" customFormat="false" ht="15" hidden="false" customHeight="false" outlineLevel="0" collapsed="false">
      <c r="A2" s="4" t="s">
        <v>86</v>
      </c>
      <c r="B2" s="11" t="n">
        <f aca="false">'1. Assumptions'!$B$9</f>
        <v>0.043</v>
      </c>
      <c r="C2" s="11" t="n">
        <f aca="false">'1. Assumptions'!$B$10</f>
        <v>0.0575</v>
      </c>
      <c r="D2" s="11" t="n">
        <f aca="false">(((MAX(B2,'1. Assumptions'!B4)+'1. Assumptions'!B3)/'1. Assumptions'!B6)*(1-(1+((B2+C2)/'1. Assumptions'!B6))^-(('1. Assumptions'!B5*'1. Assumptions'!B6)))/((B2+C2)/'1. Assumptions'!B6)+(1+((B2+C2)/'1. Assumptions'!B6))^-(('1. Assumptions'!B5*'1. Assumptions'!B6)))</f>
        <v>1</v>
      </c>
      <c r="E2" s="12" t="n">
        <f aca="false">D2*'1. Assumptions'!B2</f>
        <v>50</v>
      </c>
      <c r="F2" s="6" t="s">
        <v>87</v>
      </c>
    </row>
    <row r="3" customFormat="false" ht="28.35" hidden="false" customHeight="false" outlineLevel="0" collapsed="false">
      <c r="A3" s="4" t="s">
        <v>88</v>
      </c>
      <c r="B3" s="11" t="n">
        <f aca="false">'1. Assumptions'!$B$9+0.02</f>
        <v>0.063</v>
      </c>
      <c r="C3" s="11" t="n">
        <f aca="false">'1. Assumptions'!$B$10</f>
        <v>0.0575</v>
      </c>
      <c r="D3" s="11" t="n">
        <f aca="false">(((MAX(B3,'1. Assumptions'!B4)+'1. Assumptions'!B3)/'1. Assumptions'!B6)*(1-(1+((B3+C3)/'1. Assumptions'!B6))^-(('1. Assumptions'!B5*'1. Assumptions'!B6)))/((B3+C3)/'1. Assumptions'!B6)+(1+((B3+C3)/'1. Assumptions'!B6))^-(('1. Assumptions'!B5*'1. Assumptions'!B6)))</f>
        <v>1</v>
      </c>
      <c r="E3" s="12" t="n">
        <f aca="false">D3*'1. Assumptions'!B2</f>
        <v>50</v>
      </c>
      <c r="F3" s="6" t="s">
        <v>89</v>
      </c>
    </row>
    <row r="4" customFormat="false" ht="28.35" hidden="false" customHeight="false" outlineLevel="0" collapsed="false">
      <c r="A4" s="4" t="s">
        <v>90</v>
      </c>
      <c r="B4" s="11" t="n">
        <f aca="false">'1. Assumptions'!$B$9-0.02</f>
        <v>0.023</v>
      </c>
      <c r="C4" s="11" t="n">
        <f aca="false">'1. Assumptions'!$B$10</f>
        <v>0.0575</v>
      </c>
      <c r="D4" s="11" t="n">
        <f aca="false">(((MAX(B4,'1. Assumptions'!B4)+'1. Assumptions'!B3)/'1. Assumptions'!B6)*(1-(1+((B4+C4)/'1. Assumptions'!B6))^-(('1. Assumptions'!B5*'1. Assumptions'!B6)))/((B4+C4)/'1. Assumptions'!B6)+(1+((B4+C4)/'1. Assumptions'!B6))^-(('1. Assumptions'!B5*'1. Assumptions'!B6)))</f>
        <v>1</v>
      </c>
      <c r="E4" s="12" t="n">
        <f aca="false">D4*'1. Assumptions'!B2</f>
        <v>50</v>
      </c>
      <c r="F4" s="6" t="s">
        <v>91</v>
      </c>
    </row>
    <row r="5" customFormat="false" ht="41.75" hidden="false" customHeight="false" outlineLevel="0" collapsed="false">
      <c r="A5" s="4" t="s">
        <v>92</v>
      </c>
      <c r="B5" s="11" t="n">
        <f aca="false">'1. Assumptions'!$B$4-0.005</f>
        <v>0.005</v>
      </c>
      <c r="C5" s="11" t="n">
        <f aca="false">'1. Assumptions'!$B$10</f>
        <v>0.0575</v>
      </c>
      <c r="D5" s="11" t="n">
        <f aca="false">(((MAX(B5,'1. Assumptions'!B4)+'1. Assumptions'!B3)/'1. Assumptions'!B6)*(1-(1+((B5+C5)/'1. Assumptions'!B6))^-(('1. Assumptions'!B5*'1. Assumptions'!B6)))/((B5+C5)/'1. Assumptions'!B6)+(1+((B5+C5)/'1. Assumptions'!B6))^-(('1. Assumptions'!B5*'1. Assumptions'!B6)))</f>
        <v>1.01745705971847</v>
      </c>
      <c r="E5" s="12" t="n">
        <f aca="false">D5*'1. Assumptions'!B2</f>
        <v>50.8728529859234</v>
      </c>
      <c r="F5" s="6" t="s">
        <v>93</v>
      </c>
    </row>
    <row r="6" customFormat="false" ht="28.35" hidden="false" customHeight="false" outlineLevel="0" collapsed="false">
      <c r="A6" s="4" t="s">
        <v>94</v>
      </c>
      <c r="B6" s="11" t="n">
        <f aca="false">'1. Assumptions'!$B$9</f>
        <v>0.043</v>
      </c>
      <c r="C6" s="11" t="n">
        <f aca="false">'1. Assumptions'!$B$10+0.01</f>
        <v>0.0675</v>
      </c>
      <c r="D6" s="11" t="n">
        <f aca="false">(((MAX(B6,'1. Assumptions'!B4)+'1. Assumptions'!B3)/'1. Assumptions'!B6)*(1-(1+((B6+C6)/'1. Assumptions'!B6))^-(('1. Assumptions'!B5*'1. Assumptions'!B6)))/((B6+C6)/'1. Assumptions'!B6)+(1+((B6+C6)/'1. Assumptions'!B6))^-(('1. Assumptions'!B5*'1. Assumptions'!B6)))</f>
        <v>0.968358817042882</v>
      </c>
      <c r="E6" s="12" t="n">
        <f aca="false">D6*'1. Assumptions'!B2</f>
        <v>48.4179408521441</v>
      </c>
      <c r="F6" s="6" t="s">
        <v>95</v>
      </c>
    </row>
    <row r="7" customFormat="false" ht="28.35" hidden="false" customHeight="false" outlineLevel="0" collapsed="false">
      <c r="A7" s="4" t="s">
        <v>96</v>
      </c>
      <c r="B7" s="11" t="n">
        <f aca="false">'1. Assumptions'!$B$9</f>
        <v>0.043</v>
      </c>
      <c r="C7" s="11" t="n">
        <f aca="false">'1. Assumptions'!$B$10+0.02</f>
        <v>0.0775</v>
      </c>
      <c r="D7" s="11" t="n">
        <f aca="false">(((MAX(B7,'1. Assumptions'!B4)+'1. Assumptions'!B3)/'1. Assumptions'!B6)*(1-(1+((B7+C7)/'1. Assumptions'!B6))^-(('1. Assumptions'!B5*'1. Assumptions'!B6)))/((B7+C7)/'1. Assumptions'!B6)+(1+((B7+C7)/'1. Assumptions'!B6))^-(('1. Assumptions'!B5*'1. Assumptions'!B6)))</f>
        <v>0.93796345723086</v>
      </c>
      <c r="E7" s="12" t="n">
        <f aca="false">D7*'1. Assumptions'!B2</f>
        <v>46.898172861543</v>
      </c>
      <c r="F7" s="6" t="s">
        <v>97</v>
      </c>
    </row>
    <row r="8" customFormat="false" ht="28.35" hidden="false" customHeight="false" outlineLevel="0" collapsed="false">
      <c r="A8" s="4" t="s">
        <v>98</v>
      </c>
      <c r="B8" s="11" t="n">
        <f aca="false">'1. Assumptions'!$B$9</f>
        <v>0.043</v>
      </c>
      <c r="C8" s="11" t="n">
        <f aca="false">'1. Assumptions'!$B$10-0.01</f>
        <v>0.0475</v>
      </c>
      <c r="D8" s="11" t="n">
        <f aca="false">(((MAX(B8,'1. Assumptions'!B4)+'1. Assumptions'!B3)/'1. Assumptions'!B6)*(1-(1+((B8+C8)/'1. Assumptions'!B6))^-(('1. Assumptions'!B5*'1. Assumptions'!B6)))/((B8+C8)/'1. Assumptions'!B6)+(1+((B8+C8)/'1. Assumptions'!B6))^-(('1. Assumptions'!B5*'1. Assumptions'!B6)))</f>
        <v>1.03294577173524</v>
      </c>
      <c r="E8" s="12" t="n">
        <f aca="false">D8*'1. Assumptions'!B2</f>
        <v>51.647288586762</v>
      </c>
      <c r="F8" s="6" t="s">
        <v>99</v>
      </c>
    </row>
    <row r="10" customFormat="false" ht="15" hidden="false" customHeight="false" outlineLevel="0" collapsed="false">
      <c r="A10" s="14" t="s">
        <v>100</v>
      </c>
      <c r="B10" s="16" t="n">
        <f aca="false">MAX(D2:D4)-MIN(D2:D4)</f>
        <v>0</v>
      </c>
    </row>
    <row r="11" customFormat="false" ht="28.35" hidden="false" customHeight="false" outlineLevel="0" collapsed="false">
      <c r="A11" s="14" t="s">
        <v>101</v>
      </c>
      <c r="B11" s="16" t="n">
        <f aca="false">MAX(D2,D7,D8)-MIN(D2,D7,D8)</f>
        <v>0.0949823145043794</v>
      </c>
      <c r="F11" s="2" t="s">
        <v>102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2" min="2" style="0" width="16"/>
    <col collapsed="false" customWidth="true" hidden="false" outlineLevel="0" max="3" min="3" style="0" width="58"/>
  </cols>
  <sheetData>
    <row r="1" customFormat="false" ht="15" hidden="false" customHeight="false" outlineLevel="0" collapsed="false">
      <c r="A1" s="3" t="s">
        <v>103</v>
      </c>
      <c r="B1" s="3" t="s">
        <v>22</v>
      </c>
      <c r="C1" s="3"/>
    </row>
    <row r="2" customFormat="false" ht="15" hidden="false" customHeight="false" outlineLevel="0" collapsed="false">
      <c r="A2" s="4" t="s">
        <v>104</v>
      </c>
      <c r="B2" s="11" t="n">
        <f aca="false">'1. Assumptions'!B21</f>
        <v>0.0775</v>
      </c>
      <c r="C2" s="6"/>
    </row>
    <row r="3" customFormat="false" ht="15" hidden="false" customHeight="false" outlineLevel="0" collapsed="false">
      <c r="A3" s="4" t="s">
        <v>83</v>
      </c>
      <c r="B3" s="11" t="n">
        <f aca="false">((MAX('1. Assumptions'!B9,'1. Assumptions'!B4)+'1. Assumptions'!B3)/'1. Assumptions'!B6)*(1-(1+(('1. Assumptions'!B9+'1. Assumptions'!B21)/'1. Assumptions'!B6))^-('1. Assumptions'!B5*'1. Assumptions'!B6))/(('1. Assumptions'!B9+'1. Assumptions'!B21)/'1. Assumptions'!B6)+(1+(('1. Assumptions'!B9+'1. Assumptions'!B21)/'1. Assumptions'!B6))^-('1. Assumptions'!B5*'1. Assumptions'!B6)</f>
        <v>0.93796345723086</v>
      </c>
      <c r="C3" s="6" t="s">
        <v>105</v>
      </c>
    </row>
    <row r="4" customFormat="false" ht="15" hidden="false" customHeight="false" outlineLevel="0" collapsed="false">
      <c r="A4" s="17" t="s">
        <v>106</v>
      </c>
      <c r="B4" s="15" t="n">
        <f aca="false">B3*'1. Assumptions'!B2</f>
        <v>46.898172861543</v>
      </c>
      <c r="C4" s="6"/>
    </row>
    <row r="6" customFormat="false" ht="15" hidden="false" customHeight="false" outlineLevel="0" collapsed="false">
      <c r="A6" s="3" t="s">
        <v>107</v>
      </c>
      <c r="B6" s="3" t="s">
        <v>22</v>
      </c>
      <c r="C6" s="3"/>
    </row>
    <row r="7" customFormat="false" ht="15" hidden="false" customHeight="false" outlineLevel="0" collapsed="false">
      <c r="A7" s="4" t="s">
        <v>108</v>
      </c>
      <c r="B7" s="18" t="n">
        <f aca="false">'1. Assumptions'!B13</f>
        <v>44</v>
      </c>
      <c r="C7" s="6"/>
    </row>
    <row r="8" customFormat="false" ht="15" hidden="false" customHeight="false" outlineLevel="0" collapsed="false">
      <c r="A8" s="4" t="s">
        <v>109</v>
      </c>
      <c r="B8" s="18" t="n">
        <f aca="false">-'1. Assumptions'!B14</f>
        <v>-8</v>
      </c>
      <c r="C8" s="6"/>
    </row>
    <row r="9" customFormat="false" ht="15" hidden="false" customHeight="false" outlineLevel="0" collapsed="false">
      <c r="A9" s="4" t="s">
        <v>110</v>
      </c>
      <c r="B9" s="12" t="n">
        <f aca="false">MAX(0,B7+B8)</f>
        <v>36</v>
      </c>
      <c r="C9" s="6"/>
    </row>
    <row r="10" customFormat="false" ht="28.35" hidden="false" customHeight="false" outlineLevel="0" collapsed="false">
      <c r="A10" s="17" t="s">
        <v>111</v>
      </c>
      <c r="B10" s="15" t="n">
        <f aca="false">MIN(B9,'1. Assumptions'!B2)</f>
        <v>36</v>
      </c>
      <c r="C10" s="6" t="s">
        <v>112</v>
      </c>
    </row>
    <row r="11" customFormat="false" ht="15" hidden="false" customHeight="false" outlineLevel="0" collapsed="false">
      <c r="A11" s="4" t="s">
        <v>113</v>
      </c>
      <c r="B11" s="19" t="n">
        <f aca="false">B10/'1. Assumptions'!B2</f>
        <v>0.72</v>
      </c>
      <c r="C11" s="6"/>
    </row>
    <row r="12" customFormat="false" ht="15" hidden="false" customHeight="false" outlineLevel="0" collapsed="false">
      <c r="A12" s="17" t="s">
        <v>114</v>
      </c>
      <c r="B12" s="15" t="n">
        <f aca="false">B10/(1+'1. Assumptions'!B17)^'1. Assumptions'!B16</f>
        <v>28.0853273257116</v>
      </c>
      <c r="C12" s="6"/>
    </row>
    <row r="14" customFormat="false" ht="15" hidden="false" customHeight="false" outlineLevel="0" collapsed="false">
      <c r="A14" s="3" t="s">
        <v>115</v>
      </c>
      <c r="B14" s="3" t="s">
        <v>22</v>
      </c>
      <c r="C14" s="3"/>
    </row>
    <row r="15" customFormat="false" ht="15" hidden="false" customHeight="false" outlineLevel="0" collapsed="false">
      <c r="A15" s="4" t="s">
        <v>108</v>
      </c>
      <c r="B15" s="18" t="n">
        <f aca="false">'1. Assumptions'!B15</f>
        <v>31</v>
      </c>
      <c r="C15" s="6"/>
    </row>
    <row r="16" customFormat="false" ht="15" hidden="false" customHeight="false" outlineLevel="0" collapsed="false">
      <c r="A16" s="4" t="s">
        <v>116</v>
      </c>
      <c r="B16" s="12" t="n">
        <f aca="false">MIN(MAX(0,B15-'1. Assumptions'!B14),'1. Assumptions'!B2)</f>
        <v>23</v>
      </c>
      <c r="C16" s="6"/>
    </row>
    <row r="17" customFormat="false" ht="15" hidden="false" customHeight="false" outlineLevel="0" collapsed="false">
      <c r="A17" s="17" t="s">
        <v>114</v>
      </c>
      <c r="B17" s="15" t="n">
        <f aca="false">B16/(1+'1. Assumptions'!B17)^'1. Assumptions'!B16</f>
        <v>17.9434035692046</v>
      </c>
      <c r="C17" s="6"/>
    </row>
    <row r="19" customFormat="false" ht="15" hidden="false" customHeight="false" outlineLevel="0" collapsed="false">
      <c r="A19" s="3" t="s">
        <v>117</v>
      </c>
      <c r="B19" s="3" t="s">
        <v>118</v>
      </c>
      <c r="C19" s="3" t="s">
        <v>119</v>
      </c>
    </row>
    <row r="20" customFormat="false" ht="15" hidden="false" customHeight="false" outlineLevel="0" collapsed="false">
      <c r="A20" s="4" t="s">
        <v>120</v>
      </c>
      <c r="B20" s="19" t="n">
        <f aca="false">'1. Assumptions'!B18</f>
        <v>0.55</v>
      </c>
      <c r="C20" s="12" t="n">
        <f aca="false">B20*B4</f>
        <v>25.7939950738486</v>
      </c>
    </row>
    <row r="21" customFormat="false" ht="15" hidden="false" customHeight="false" outlineLevel="0" collapsed="false">
      <c r="A21" s="4" t="s">
        <v>121</v>
      </c>
      <c r="B21" s="19" t="n">
        <f aca="false">'1. Assumptions'!B19</f>
        <v>0.35</v>
      </c>
      <c r="C21" s="12" t="n">
        <f aca="false">B21*B12</f>
        <v>9.82986456399905</v>
      </c>
    </row>
    <row r="22" customFormat="false" ht="15" hidden="false" customHeight="false" outlineLevel="0" collapsed="false">
      <c r="A22" s="4" t="s">
        <v>122</v>
      </c>
      <c r="B22" s="19" t="n">
        <f aca="false">'1. Assumptions'!B20</f>
        <v>0.1</v>
      </c>
      <c r="C22" s="12" t="n">
        <f aca="false">B22*B17</f>
        <v>1.79434035692046</v>
      </c>
    </row>
    <row r="23" customFormat="false" ht="15" hidden="false" customHeight="false" outlineLevel="0" collapsed="false">
      <c r="A23" s="14" t="s">
        <v>123</v>
      </c>
      <c r="B23" s="20" t="n">
        <f aca="false">SUM(B20:B22)</f>
        <v>1</v>
      </c>
      <c r="C23" s="15" t="n">
        <f aca="false">SUM(C20:C22)</f>
        <v>37.4181999947681</v>
      </c>
    </row>
    <row r="25" customFormat="false" ht="15" hidden="false" customHeight="false" outlineLevel="0" collapsed="false">
      <c r="A25" s="17" t="s">
        <v>124</v>
      </c>
      <c r="B25" s="20" t="n">
        <f aca="false">C23/'1. Assumptions'!B2</f>
        <v>0.748363999895363</v>
      </c>
      <c r="C25" s="6"/>
    </row>
    <row r="26" customFormat="false" ht="15" hidden="false" customHeight="false" outlineLevel="0" collapsed="false">
      <c r="A26" s="4" t="s">
        <v>125</v>
      </c>
      <c r="B26" s="12" t="n">
        <f aca="false">'1. Assumptions'!B2</f>
        <v>50</v>
      </c>
      <c r="C26" s="6"/>
    </row>
    <row r="27" customFormat="false" ht="28.35" hidden="false" customHeight="false" outlineLevel="0" collapsed="false">
      <c r="A27" s="17" t="s">
        <v>126</v>
      </c>
      <c r="B27" s="15" t="n">
        <f aca="false">C23-B26</f>
        <v>-12.5818000052319</v>
      </c>
      <c r="C27" s="6" t="s">
        <v>127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8" min="2" style="0" width="12"/>
  </cols>
  <sheetData>
    <row r="1" customFormat="false" ht="15" hidden="false" customHeight="false" outlineLevel="0" collapsed="false">
      <c r="A1" s="3" t="s">
        <v>128</v>
      </c>
      <c r="B1" s="3" t="s">
        <v>129</v>
      </c>
      <c r="C1" s="3" t="s">
        <v>61</v>
      </c>
      <c r="D1" s="3" t="s">
        <v>62</v>
      </c>
      <c r="E1" s="3" t="s">
        <v>63</v>
      </c>
      <c r="F1" s="3" t="s">
        <v>64</v>
      </c>
      <c r="G1" s="3" t="s">
        <v>65</v>
      </c>
      <c r="H1" s="3" t="s">
        <v>66</v>
      </c>
    </row>
    <row r="2" customFormat="false" ht="15" hidden="false" customHeight="false" outlineLevel="0" collapsed="false">
      <c r="A2" s="4" t="s">
        <v>130</v>
      </c>
      <c r="B2" s="12" t="n">
        <f aca="false">'1. Assumptions'!B24*(1+'1. Assumptions'!B25)^0</f>
        <v>30</v>
      </c>
      <c r="C2" s="12" t="n">
        <f aca="false">'1. Assumptions'!B24*(1+'1. Assumptions'!B25)^1</f>
        <v>33.6</v>
      </c>
      <c r="D2" s="12" t="n">
        <f aca="false">'1. Assumptions'!B24*(1+'1. Assumptions'!B25)^2</f>
        <v>37.632</v>
      </c>
      <c r="E2" s="12" t="n">
        <f aca="false">'1. Assumptions'!B24*(1+'1. Assumptions'!B25)^3</f>
        <v>42.14784</v>
      </c>
      <c r="F2" s="12" t="n">
        <f aca="false">'1. Assumptions'!B24*(1+'1. Assumptions'!B25)^4</f>
        <v>47.2055808</v>
      </c>
      <c r="G2" s="12" t="n">
        <f aca="false">'1. Assumptions'!B24*(1+'1. Assumptions'!B25)^5</f>
        <v>52.870250496</v>
      </c>
      <c r="H2" s="12" t="n">
        <f aca="false">'1. Assumptions'!B24*(1+'1. Assumptions'!B25)^6</f>
        <v>59.21468055552</v>
      </c>
    </row>
    <row r="3" customFormat="false" ht="15" hidden="false" customHeight="false" outlineLevel="0" collapsed="false">
      <c r="A3" s="4" t="s">
        <v>108</v>
      </c>
      <c r="B3" s="12" t="n">
        <f aca="false">'1. Assumptions'!B26*(1+'1. Assumptions'!B27)^0</f>
        <v>95</v>
      </c>
      <c r="C3" s="12" t="n">
        <f aca="false">'1. Assumptions'!B26*(1+'1. Assumptions'!B27)^1</f>
        <v>97.85</v>
      </c>
      <c r="D3" s="12" t="n">
        <f aca="false">'1. Assumptions'!B26*(1+'1. Assumptions'!B27)^2</f>
        <v>100.7855</v>
      </c>
      <c r="E3" s="12" t="n">
        <f aca="false">'1. Assumptions'!B26*(1+'1. Assumptions'!B27)^3</f>
        <v>103.809065</v>
      </c>
      <c r="F3" s="12" t="n">
        <f aca="false">'1. Assumptions'!B26*(1+'1. Assumptions'!B27)^4</f>
        <v>106.92333695</v>
      </c>
      <c r="G3" s="12" t="n">
        <f aca="false">'1. Assumptions'!B26*(1+'1. Assumptions'!B27)^5</f>
        <v>110.1310370585</v>
      </c>
      <c r="H3" s="12" t="n">
        <f aca="false">'1. Assumptions'!B26*(1+'1. Assumptions'!B27)^6</f>
        <v>113.434968170255</v>
      </c>
    </row>
    <row r="4" customFormat="false" ht="15" hidden="false" customHeight="false" outlineLevel="0" collapsed="false">
      <c r="A4" s="4" t="s">
        <v>109</v>
      </c>
      <c r="B4" s="12" t="n">
        <f aca="false">-'1. Assumptions'!B28</f>
        <v>-60</v>
      </c>
      <c r="C4" s="12" t="n">
        <f aca="false">-'1. Assumptions'!B28</f>
        <v>-60</v>
      </c>
      <c r="D4" s="12" t="n">
        <f aca="false">-'1. Assumptions'!B28</f>
        <v>-60</v>
      </c>
      <c r="E4" s="12" t="n">
        <f aca="false">-'1. Assumptions'!B28</f>
        <v>-60</v>
      </c>
      <c r="F4" s="12" t="n">
        <f aca="false">-'1. Assumptions'!B28</f>
        <v>-60</v>
      </c>
      <c r="G4" s="12" t="n">
        <f aca="false">-'1. Assumptions'!B28</f>
        <v>-60</v>
      </c>
      <c r="H4" s="12" t="n">
        <f aca="false">-'1. Assumptions'!B28</f>
        <v>-60</v>
      </c>
    </row>
    <row r="5" customFormat="false" ht="15" hidden="false" customHeight="false" outlineLevel="0" collapsed="false">
      <c r="A5" s="4" t="s">
        <v>131</v>
      </c>
      <c r="B5" s="12" t="n">
        <f aca="false">MAX(0,B3+B4)</f>
        <v>35</v>
      </c>
      <c r="C5" s="12" t="n">
        <f aca="false">MAX(0,C3+C4)</f>
        <v>37.85</v>
      </c>
      <c r="D5" s="12" t="n">
        <f aca="false">MAX(0,D3+D4)</f>
        <v>40.7855</v>
      </c>
      <c r="E5" s="12" t="n">
        <f aca="false">MAX(0,E3+E4)</f>
        <v>43.809065</v>
      </c>
      <c r="F5" s="12" t="n">
        <f aca="false">MAX(0,F3+F4)</f>
        <v>46.92333695</v>
      </c>
      <c r="G5" s="12" t="n">
        <f aca="false">MAX(0,G3+G4)</f>
        <v>50.1310370585</v>
      </c>
      <c r="H5" s="12" t="n">
        <f aca="false">MAX(0,H3+H4)</f>
        <v>53.434968170255</v>
      </c>
    </row>
    <row r="6" customFormat="false" ht="15" hidden="false" customHeight="false" outlineLevel="0" collapsed="false">
      <c r="A6" s="4" t="s">
        <v>132</v>
      </c>
      <c r="B6" s="10" t="n">
        <f aca="false">B5/B2</f>
        <v>1.16666666666667</v>
      </c>
      <c r="C6" s="10" t="n">
        <f aca="false">C5/C2</f>
        <v>1.1264880952381</v>
      </c>
      <c r="D6" s="10" t="n">
        <f aca="false">D5/D2</f>
        <v>1.08379836309524</v>
      </c>
      <c r="E6" s="10" t="n">
        <f aca="false">E5/E2</f>
        <v>1.03941423807246</v>
      </c>
      <c r="F6" s="10" t="n">
        <f aca="false">F5/F2</f>
        <v>0.994020964360214</v>
      </c>
      <c r="G6" s="10" t="n">
        <f aca="false">G5/G2</f>
        <v>0.948189891067241</v>
      </c>
      <c r="H6" s="10" t="n">
        <f aca="false">H5/H2</f>
        <v>0.902393927805691</v>
      </c>
    </row>
    <row r="7" customFormat="false" ht="15" hidden="false" customHeight="false" outlineLevel="0" collapsed="false">
      <c r="A7" s="4" t="s">
        <v>133</v>
      </c>
      <c r="B7" s="12" t="n">
        <f aca="false">MIN(B2,B5)</f>
        <v>30</v>
      </c>
      <c r="C7" s="12" t="n">
        <f aca="false">MIN(C2,C5)</f>
        <v>33.6</v>
      </c>
      <c r="D7" s="12" t="n">
        <f aca="false">MIN(D2,D5)</f>
        <v>37.632</v>
      </c>
      <c r="E7" s="12" t="n">
        <f aca="false">MIN(E2,E5)</f>
        <v>42.14784</v>
      </c>
      <c r="F7" s="12" t="n">
        <f aca="false">MIN(F2,F5)</f>
        <v>46.92333695</v>
      </c>
      <c r="G7" s="12" t="n">
        <f aca="false">MIN(G2,G5)</f>
        <v>50.1310370585</v>
      </c>
      <c r="H7" s="12" t="n">
        <f aca="false">MIN(H2,H5)</f>
        <v>53.434968170255</v>
      </c>
    </row>
    <row r="8" customFormat="false" ht="15" hidden="false" customHeight="false" outlineLevel="0" collapsed="false">
      <c r="A8" s="4" t="s">
        <v>134</v>
      </c>
      <c r="B8" s="12" t="n">
        <f aca="false">B2</f>
        <v>30</v>
      </c>
      <c r="C8" s="12" t="n">
        <f aca="false">C2</f>
        <v>33.6</v>
      </c>
      <c r="D8" s="12" t="n">
        <f aca="false">D2</f>
        <v>37.632</v>
      </c>
      <c r="E8" s="12" t="n">
        <f aca="false">E2</f>
        <v>42.14784</v>
      </c>
      <c r="F8" s="12" t="n">
        <f aca="false">F2</f>
        <v>47.2055808</v>
      </c>
      <c r="G8" s="12" t="n">
        <f aca="false">G2</f>
        <v>52.870250496</v>
      </c>
      <c r="H8" s="12" t="n">
        <f aca="false">H2</f>
        <v>59.21468055552</v>
      </c>
    </row>
    <row r="9" customFormat="false" ht="15" hidden="false" customHeight="false" outlineLevel="0" collapsed="false">
      <c r="A9" s="4" t="s">
        <v>135</v>
      </c>
      <c r="B9" s="12" t="n">
        <f aca="false">B8-B7</f>
        <v>0</v>
      </c>
      <c r="C9" s="12" t="n">
        <f aca="false">C8-C7</f>
        <v>0</v>
      </c>
      <c r="D9" s="12" t="n">
        <f aca="false">D8-D7</f>
        <v>0</v>
      </c>
      <c r="E9" s="12" t="n">
        <f aca="false">E8-E7</f>
        <v>0</v>
      </c>
      <c r="F9" s="12" t="n">
        <f aca="false">F8-F7</f>
        <v>0.282243850000015</v>
      </c>
      <c r="G9" s="12" t="n">
        <f aca="false">G8-G7</f>
        <v>2.73921343750001</v>
      </c>
      <c r="H9" s="12" t="n">
        <f aca="false">H8-H7</f>
        <v>5.77971238526501</v>
      </c>
    </row>
    <row r="11" customFormat="false" ht="15" hidden="false" customHeight="false" outlineLevel="0" collapsed="false">
      <c r="A11" s="14" t="s">
        <v>136</v>
      </c>
      <c r="B11" s="21" t="n">
        <f aca="false">IFERROR(MATCH(TRUE(),INDEX(B6:H6&lt;1,0),0)-1,"never")</f>
        <v>4</v>
      </c>
    </row>
    <row r="12" customFormat="false" ht="15" hidden="false" customHeight="false" outlineLevel="0" collapsed="false">
      <c r="A12" s="0" t="s">
        <v>137</v>
      </c>
      <c r="B12" s="11" t="n">
        <f aca="false">'1. Assumptions'!B25-'1. Assumptions'!B27</f>
        <v>0.09</v>
      </c>
    </row>
    <row r="14" customFormat="false" ht="202.95" hidden="false" customHeight="false" outlineLevel="0" collapsed="false">
      <c r="A14" s="2" t="s">
        <v>138</v>
      </c>
    </row>
    <row r="15" customFormat="false" ht="15" hidden="false" customHeight="false" outlineLevel="0" collapsed="false">
      <c r="A15" s="0" t="s">
        <v>139</v>
      </c>
      <c r="B15" s="19" t="n">
        <f aca="false">C5/B5-1</f>
        <v>0.0814285714285716</v>
      </c>
    </row>
    <row r="16" customFormat="false" ht="15" hidden="false" customHeight="false" outlineLevel="0" collapsed="false">
      <c r="A16" s="0" t="s">
        <v>140</v>
      </c>
      <c r="B16" s="19" t="n">
        <f aca="false">H5/G5-1</f>
        <v>0.0659058999298081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62"/>
    <col collapsed="false" customWidth="true" hidden="false" outlineLevel="0" max="3" min="3" style="0" width="20"/>
    <col collapsed="false" customWidth="true" hidden="false" outlineLevel="0" max="4" min="4" style="0" width="14"/>
  </cols>
  <sheetData>
    <row r="1" customFormat="false" ht="15" hidden="false" customHeight="false" outlineLevel="0" collapsed="false">
      <c r="A1" s="3" t="s">
        <v>141</v>
      </c>
      <c r="B1" s="3" t="s">
        <v>142</v>
      </c>
      <c r="C1" s="3" t="s">
        <v>22</v>
      </c>
      <c r="D1" s="3" t="s">
        <v>143</v>
      </c>
    </row>
    <row r="2" customFormat="false" ht="28.35" hidden="false" customHeight="false" outlineLevel="0" collapsed="false">
      <c r="A2" s="4" t="n">
        <v>1</v>
      </c>
      <c r="B2" s="6" t="s">
        <v>144</v>
      </c>
      <c r="C2" s="22" t="n">
        <f aca="false">'2. Performing'!B12-1</f>
        <v>0</v>
      </c>
      <c r="D2" s="17" t="str">
        <f aca="false">IF(ABS(C2)&lt;0.000001,"PASS","FAIL")</f>
        <v>PASS</v>
      </c>
    </row>
    <row r="3" customFormat="false" ht="28.35" hidden="false" customHeight="false" outlineLevel="0" collapsed="false">
      <c r="A3" s="4" t="n">
        <v>2</v>
      </c>
      <c r="B3" s="6" t="s">
        <v>145</v>
      </c>
      <c r="C3" s="22" t="n">
        <f aca="false">'3. Rates and spreads'!B10</f>
        <v>0</v>
      </c>
      <c r="D3" s="17" t="str">
        <f aca="false">IF(ABS(C3)&lt;0.000001,"PASS","FAIL")</f>
        <v>PASS</v>
      </c>
    </row>
    <row r="4" customFormat="false" ht="15" hidden="false" customHeight="false" outlineLevel="0" collapsed="false">
      <c r="A4" s="4" t="n">
        <v>3</v>
      </c>
      <c r="B4" s="6" t="s">
        <v>146</v>
      </c>
      <c r="C4" s="22" t="n">
        <f aca="false">'3. Rates and spreads'!B11</f>
        <v>0.0949823145043794</v>
      </c>
      <c r="D4" s="17" t="str">
        <f aca="false">IF(C4&gt;0.02,"PASS","CHECK")</f>
        <v>PASS</v>
      </c>
    </row>
    <row r="5" customFormat="false" ht="15" hidden="false" customHeight="false" outlineLevel="0" collapsed="false">
      <c r="A5" s="4" t="n">
        <v>4</v>
      </c>
      <c r="B5" s="6" t="s">
        <v>147</v>
      </c>
      <c r="C5" s="22" t="n">
        <f aca="false">'3. Rates and spreads'!D5-1</f>
        <v>0.0174570597184671</v>
      </c>
      <c r="D5" s="17" t="str">
        <f aca="false">IF(C5&gt;0,"PASS","FAIL")</f>
        <v>PASS</v>
      </c>
    </row>
    <row r="6" customFormat="false" ht="28.35" hidden="false" customHeight="false" outlineLevel="0" collapsed="false">
      <c r="A6" s="4" t="n">
        <v>5</v>
      </c>
      <c r="B6" s="6" t="s">
        <v>148</v>
      </c>
      <c r="C6" s="23" t="n">
        <f aca="false">'4. Trouble'!B10-MIN('4. Trouble'!B9,'1. Assumptions'!B2)</f>
        <v>0</v>
      </c>
      <c r="D6" s="17" t="str">
        <f aca="false">IF(ABS(C6)&lt;0.0001,"PASS","FAIL")</f>
        <v>PASS</v>
      </c>
    </row>
    <row r="7" customFormat="false" ht="15" hidden="false" customHeight="false" outlineLevel="0" collapsed="false">
      <c r="A7" s="4" t="n">
        <v>6</v>
      </c>
      <c r="B7" s="6" t="s">
        <v>149</v>
      </c>
      <c r="C7" s="24" t="n">
        <f aca="false">'4. Trouble'!B23-1</f>
        <v>0</v>
      </c>
      <c r="D7" s="17" t="str">
        <f aca="false">IF(ABS(C7)&lt;0.000001,"PASS","FAIL")</f>
        <v>PASS</v>
      </c>
    </row>
    <row r="8" customFormat="false" ht="28.35" hidden="false" customHeight="false" outlineLevel="0" collapsed="false">
      <c r="A8" s="4" t="n">
        <v>7</v>
      </c>
      <c r="B8" s="6" t="s">
        <v>150</v>
      </c>
      <c r="C8" s="23" t="n">
        <f aca="false">'5. Payment-in-kind'!H2-'1. Assumptions'!B24*(1+'1. Assumptions'!B25)^6</f>
        <v>0</v>
      </c>
      <c r="D8" s="17" t="str">
        <f aca="false">IF(ABS(C8)&lt;0.0001,"PASS","FAIL")</f>
        <v>PASS</v>
      </c>
    </row>
    <row r="9" customFormat="false" ht="28.35" hidden="false" customHeight="false" outlineLevel="0" collapsed="false">
      <c r="A9" s="4" t="n">
        <v>8</v>
      </c>
      <c r="B9" s="6" t="s">
        <v>151</v>
      </c>
      <c r="C9" s="25" t="n">
        <f aca="false">'5. Payment-in-kind'!H6-'5. Payment-in-kind'!B6</f>
        <v>-0.264272738860975</v>
      </c>
      <c r="D9" s="17" t="str">
        <f aca="false">IF(IF('5. Payment-in-kind'!H2/'5. Payment-in-kind'!B2&gt;'5. Payment-in-kind'!H5/'5. Payment-in-kind'!B5,C9&lt;0,C9&gt;=0),"PASS","FAIL")</f>
        <v>PASS</v>
      </c>
    </row>
    <row r="10" customFormat="false" ht="15" hidden="false" customHeight="false" outlineLevel="0" collapsed="false">
      <c r="A10" s="4" t="n">
        <v>9</v>
      </c>
      <c r="B10" s="6" t="s">
        <v>152</v>
      </c>
      <c r="C10" s="25" t="n">
        <f aca="false">'3. Rates and spreads'!D2-'2. Performing'!B12</f>
        <v>0</v>
      </c>
      <c r="D10" s="17" t="str">
        <f aca="false">IF(ABS(C10)&lt;0.000001,"PASS","FAIL")</f>
        <v>PASS</v>
      </c>
    </row>
    <row r="11" customFormat="false" ht="15" hidden="false" customHeight="false" outlineLevel="0" collapsed="false">
      <c r="A11" s="4" t="n">
        <v>10</v>
      </c>
      <c r="B11" s="6" t="s">
        <v>153</v>
      </c>
      <c r="C11" s="25" t="n">
        <f aca="false">'4. Trouble'!B3-(((MAX('1. Assumptions'!B9,'1. Assumptions'!B4)+'1. Assumptions'!B3)/'1. Assumptions'!B6)*(1-(1+(('1. Assumptions'!B9+'1. Assumptions'!B21)/'1. Assumptions'!B6))^-('1. Assumptions'!B5*'1. Assumptions'!B6))/(('1. Assumptions'!B9+'1. Assumptions'!B21)/'1. Assumptions'!B6)+(1+(('1. Assumptions'!B9+'1. Assumptions'!B21)/'1. Assumptions'!B6))^-('1. Assumptions'!B5*'1. Assumptions'!B6))</f>
        <v>0</v>
      </c>
      <c r="D11" s="17" t="str">
        <f aca="false">IF(ABS(C11)&lt;0.000001,"PASS","FAIL")</f>
        <v>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2026-08-21T19:12:22Z</dcterms:created>
  <dc:creator>openpyxl</dc:creator>
  <dc:description/>
  <dc:language>en-US</dc:language>
  <cp:lastModifiedBy/>
  <dcterms:modified xsi:type="dcterms:W3CDTF">2026-09-23T21:14:29Z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