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Inputs" sheetId="1" state="visible" r:id="rId3"/>
    <sheet name="Swap" sheetId="2" state="visible" r:id="rId4"/>
    <sheet name="FX" sheetId="3" state="visible" r:id="rId5"/>
    <sheet name="Check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<sst xmlns="http://schemas.openxmlformats.org/spreadsheetml/2006/main" count="185" uniqueCount="169">
  <si>
    <t xml:space="preserve">Hedging</t>
  </si>
  <si>
    <t xml:space="preserve">Companion to Treasury Management, Chapters 13 and 14. Inputs in blue.</t>
  </si>
  <si>
    <t xml:space="preserve">How to read this workbook</t>
  </si>
  <si>
    <t xml:space="preserve">Blue figures are inputs; change them and everything recomputes.</t>
  </si>
  <si>
    <t xml:space="preserve">Black figures are formulas. Green figures on the Checks sheet are links.</t>
  </si>
  <si>
    <t xml:space="preserve">Yellow cells are the assumptions that decide the answer.</t>
  </si>
  <si>
    <t xml:space="preserve">Amounts are in the reporting currency, without a symbol. Ratios carry an x.</t>
  </si>
  <si>
    <t xml:space="preserve">The rate book</t>
  </si>
  <si>
    <t xml:space="preserve">EBITDA</t>
  </si>
  <si>
    <t xml:space="preserve">Term loan, floating</t>
  </si>
  <si>
    <t xml:space="preserve">Base rate today</t>
  </si>
  <si>
    <t xml:space="preserve">Term loan margin</t>
  </si>
  <si>
    <t xml:space="preserve">Bonds, fixed</t>
  </si>
  <si>
    <t xml:space="preserve">Bond coupon</t>
  </si>
  <si>
    <t xml:space="preserve">Revolver commitment</t>
  </si>
  <si>
    <t xml:space="preserve">Commitment fee rate</t>
  </si>
  <si>
    <t xml:space="preserve">Share of the term loan swapped</t>
  </si>
  <si>
    <t xml:space="preserve">Swap fixed rate</t>
  </si>
  <si>
    <t xml:space="preserve">Rate shock</t>
  </si>
  <si>
    <t xml:space="preserve">Interest cover covenant</t>
  </si>
  <si>
    <t xml:space="preserve">Available cash (from The Five Balances)</t>
  </si>
  <si>
    <t xml:space="preserve">Cash in the United Kingdom</t>
  </si>
  <si>
    <t xml:space="preserve">Cash in the United States</t>
  </si>
  <si>
    <t xml:space="preserve">Bramwell's half of the Polish venture's account</t>
  </si>
  <si>
    <t xml:space="preserve">Eurozone overdrafts (positive)</t>
  </si>
  <si>
    <t xml:space="preserve">The currency exposure</t>
  </si>
  <si>
    <t xml:space="preserve">Net long USD, per year</t>
  </si>
  <si>
    <t xml:space="preserve">Spot, USD per unit of home currency</t>
  </si>
  <si>
    <t xml:space="preserve">Home interest rate</t>
  </si>
  <si>
    <t xml:space="preserve">USD interest rate</t>
  </si>
  <si>
    <t xml:space="preserve">Spot in twelve months, scenario 1</t>
  </si>
  <si>
    <t xml:space="preserve">Spot in twelve months, scenario 2</t>
  </si>
  <si>
    <t xml:space="preserve">Spot in twelve months, scenario 3</t>
  </si>
  <si>
    <t xml:space="preserve">Layered programme: hedge ratio, quarter 1 ahead</t>
  </si>
  <si>
    <t xml:space="preserve">Layered programme: hedge ratio, quarter 2 ahead</t>
  </si>
  <si>
    <t xml:space="preserve">Layered programme: hedge ratio, quarter 3 ahead</t>
  </si>
  <si>
    <t xml:space="preserve">Layered programme: hedge ratio, quarter 4 ahead</t>
  </si>
  <si>
    <t xml:space="preserve">Added</t>
  </si>
  <si>
    <t xml:space="preserve">Headroom over the minimum without the revolver (from The Liquidity Test)</t>
  </si>
  <si>
    <t xml:space="preserve">Fixed or floating</t>
  </si>
  <si>
    <t xml:space="preserve">Term loan interest</t>
  </si>
  <si>
    <t xml:space="preserve">Commitment fee</t>
  </si>
  <si>
    <t xml:space="preserve">Swap carry</t>
  </si>
  <si>
    <t xml:space="preserve">Total interest</t>
  </si>
  <si>
    <t xml:space="preserve">Interest cover</t>
  </si>
  <si>
    <t xml:space="preserve">A rate shock</t>
  </si>
  <si>
    <t xml:space="preserve">Interest after the shock, unhedged</t>
  </si>
  <si>
    <t xml:space="preserve">Interest after the shock, with the swap</t>
  </si>
  <si>
    <t xml:space="preserve">Cover after the shock, unhedged</t>
  </si>
  <si>
    <t xml:space="preserve">Cover after the shock, with the swap</t>
  </si>
  <si>
    <t xml:space="preserve">The swap saves, in the shock year (difference in total interest)</t>
  </si>
  <si>
    <t xml:space="preserve">Years of carry that buy one shock year</t>
  </si>
  <si>
    <t xml:space="preserve">THE SHORTCUT: extra interest unhedged less extra interest hedged (not used)</t>
  </si>
  <si>
    <t xml:space="preserve">The base rate at which cover reaches the covenant</t>
  </si>
  <si>
    <t xml:space="preserve">Interest at the covenant</t>
  </si>
  <si>
    <t xml:space="preserve">Base rate, unhedged</t>
  </si>
  <si>
    <t xml:space="preserve">Base rate, with the swap</t>
  </si>
  <si>
    <t xml:space="preserve">The proportion, and the natural hedge</t>
  </si>
  <si>
    <t xml:space="preserve">Fixed debt (bonds + swapped loan)</t>
  </si>
  <si>
    <t xml:space="preserve">Fixed share of the 550,000,000</t>
  </si>
  <si>
    <t xml:space="preserve">Fixed share counting the overdrafts as floating borrowings</t>
  </si>
  <si>
    <t xml:space="preserve">Net floating exposure after available cash</t>
  </si>
  <si>
    <t xml:space="preserve">Home-currency available cash, at least</t>
  </si>
  <si>
    <t xml:space="preserve">Net floating exposure on home-currency cash, at most</t>
  </si>
  <si>
    <t xml:space="preserve">Interest before the shock, unhedged (total less the carry)</t>
  </si>
  <si>
    <t xml:space="preserve">Extra interest at the shock, unhedged</t>
  </si>
  <si>
    <t xml:space="preserve">Extra interest at the shock, with the swap</t>
  </si>
  <si>
    <t xml:space="preserve">Each 100 basis points, unhedged</t>
  </si>
  <si>
    <t xml:space="preserve">Each 100 basis points, with the swap</t>
  </si>
  <si>
    <t xml:space="preserve">Distance to the covenant interest, unhedged</t>
  </si>
  <si>
    <t xml:space="preserve">... in points of base rate</t>
  </si>
  <si>
    <t xml:space="preserve">Distance to the covenant interest, with the swap</t>
  </si>
  <si>
    <t xml:space="preserve">Unhedged shock, share of the margin without the revolver</t>
  </si>
  <si>
    <t xml:space="preserve">Fixed share before the swap (the bonds alone)</t>
  </si>
  <si>
    <t xml:space="preserve">Floating share after the swap</t>
  </si>
  <si>
    <t xml:space="preserve">Carry with 100 per cent of the loan swapped</t>
  </si>
  <si>
    <t xml:space="preserve">Deposit income on available cash at the shock</t>
  </si>
  <si>
    <t xml:space="preserve">... net of the extra loan interest</t>
  </si>
  <si>
    <t xml:space="preserve">Rate on the swapped loan</t>
  </si>
  <si>
    <t xml:space="preserve">Rate on the same loan unswapped, after the shock</t>
  </si>
  <si>
    <t xml:space="preserve">The hedge that lost money and was right</t>
  </si>
  <si>
    <t xml:space="preserve">Twelve-month forward = spot x (1 + USD rate) / (1 + home rate)</t>
  </si>
  <si>
    <t xml:space="preserve">Forward points</t>
  </si>
  <si>
    <t xml:space="preserve">Exposure at spot, in home currency</t>
  </si>
  <si>
    <t xml:space="preserve">Exposure at the forward (the hedged proceeds)</t>
  </si>
  <si>
    <t xml:space="preserve">The carry of the hedge</t>
  </si>
  <si>
    <t xml:space="preserve">... as a share</t>
  </si>
  <si>
    <t xml:space="preserve">Exposure at spot as a share of EBITDA</t>
  </si>
  <si>
    <t xml:space="preserve">Spot in twelve months</t>
  </si>
  <si>
    <t xml:space="preserve">Unhedged proceeds</t>
  </si>
  <si>
    <t xml:space="preserve">Hedged proceeds</t>
  </si>
  <si>
    <t xml:space="preserve">Hedge gain (loss)</t>
  </si>
  <si>
    <t xml:space="preserve">One cent on the rate is worth</t>
  </si>
  <si>
    <t xml:space="preserve">... as a share of EBITDA</t>
  </si>
  <si>
    <t xml:space="preserve">Ten cents</t>
  </si>
  <si>
    <t xml:space="preserve">Layered programme: average hedge ratio</t>
  </si>
  <si>
    <t xml:space="preserve">USD covered at any time</t>
  </si>
  <si>
    <t xml:space="preserve">Forward factor (1 + USD rate) / (1 + home rate)</t>
  </si>
  <si>
    <t xml:space="preserve">Exposure at one cent weaker (spot + 0.01)</t>
  </si>
  <si>
    <t xml:space="preserve">Exposure at ten cents weaker (spot + 0.10)</t>
  </si>
  <si>
    <t xml:space="preserve">Quarter ahead</t>
  </si>
  <si>
    <t xml:space="preserve">Exposure (USD)</t>
  </si>
  <si>
    <t xml:space="preserve">Hedge ratio</t>
  </si>
  <si>
    <t xml:space="preserve">Hedged (USD)</t>
  </si>
  <si>
    <t xml:space="preserve">First</t>
  </si>
  <si>
    <t xml:space="preserve">Second</t>
  </si>
  <si>
    <t xml:space="preserve">Third</t>
  </si>
  <si>
    <t xml:space="preserve">Fourth</t>
  </si>
  <si>
    <t xml:space="preserve">Total</t>
  </si>
  <si>
    <t xml:space="preserve">USD open at any time</t>
  </si>
  <si>
    <t xml:space="preserve">... at spot</t>
  </si>
  <si>
    <t xml:space="preserve">... at one cent weaker</t>
  </si>
  <si>
    <t xml:space="preserve">One cent on what is still open</t>
  </si>
  <si>
    <t xml:space="preserve">The spot at which the hedge neither gains nor loses: the forward</t>
  </si>
  <si>
    <t xml:space="preserve">Checks — the printed figure beside the computed one</t>
  </si>
  <si>
    <t xml:space="preserve">Blue = the figure as printed in the book. Computed = the live formula. If a check reads FAIL, the workbook is wrong, not the book.</t>
  </si>
  <si>
    <t xml:space="preserve">Figure</t>
  </si>
  <si>
    <t xml:space="preserve">Printed in the book</t>
  </si>
  <si>
    <t xml:space="preserve">Computed here</t>
  </si>
  <si>
    <t xml:space="preserve">Difference</t>
  </si>
  <si>
    <t xml:space="preserve">Status</t>
  </si>
  <si>
    <t xml:space="preserve">The swap saves in the shock year</t>
  </si>
  <si>
    <t xml:space="preserve">Years of carry per shock year</t>
  </si>
  <si>
    <t xml:space="preserve">Base rate at the covenant, unhedged</t>
  </si>
  <si>
    <t xml:space="preserve">Base rate at the covenant, with the swap</t>
  </si>
  <si>
    <t xml:space="preserve">Fixed share of gross debt</t>
  </si>
  <si>
    <t xml:space="preserve">Fixed share counting the overdrafts</t>
  </si>
  <si>
    <t xml:space="preserve">Net floating exposure after cash</t>
  </si>
  <si>
    <t xml:space="preserve">Net floating exposure on home-currency cash</t>
  </si>
  <si>
    <t xml:space="preserve">Twelve-month forward</t>
  </si>
  <si>
    <t xml:space="preserve">Exposure at spot</t>
  </si>
  <si>
    <t xml:space="preserve">Hedge gain at 1.0200</t>
  </si>
  <si>
    <t xml:space="preserve">Hedge gain at 1.0800</t>
  </si>
  <si>
    <t xml:space="preserve">Hedge gain at 1.1600</t>
  </si>
  <si>
    <t xml:space="preserve">One cent</t>
  </si>
  <si>
    <t xml:space="preserve">USD covered by the layered programme</t>
  </si>
  <si>
    <t xml:space="preserve">Unhedged interest before the shock</t>
  </si>
  <si>
    <t xml:space="preserve">Extra interest, unhedged</t>
  </si>
  <si>
    <t xml:space="preserve">Extra interest, swapped</t>
  </si>
  <si>
    <t xml:space="preserve">Each 100 bp, unhedged</t>
  </si>
  <si>
    <t xml:space="preserve">Each 100 bp, swapped</t>
  </si>
  <si>
    <t xml:space="preserve">Distance, unhedged</t>
  </si>
  <si>
    <t xml:space="preserve">... points</t>
  </si>
  <si>
    <t xml:space="preserve">Distance, swapped</t>
  </si>
  <si>
    <t xml:space="preserve">Shock share of the margin</t>
  </si>
  <si>
    <t xml:space="preserve">Fixed share before the swap</t>
  </si>
  <si>
    <t xml:space="preserve">Floating share</t>
  </si>
  <si>
    <t xml:space="preserve">Carry at 100 per cent</t>
  </si>
  <si>
    <t xml:space="preserve">Deposit income at the shock</t>
  </si>
  <si>
    <t xml:space="preserve">... net</t>
  </si>
  <si>
    <t xml:space="preserve">Unswapped after the shock</t>
  </si>
  <si>
    <t xml:space="preserve">The shortcut</t>
  </si>
  <si>
    <t xml:space="preserve">Forward factor</t>
  </si>
  <si>
    <t xml:space="preserve">Carry share</t>
  </si>
  <si>
    <t xml:space="preserve">USD exposure, share of EBITDA</t>
  </si>
  <si>
    <t xml:space="preserve">Exposure at 1.0900</t>
  </si>
  <si>
    <t xml:space="preserve">Exposure at 1.1800</t>
  </si>
  <si>
    <t xml:space="preserve">One cent, share of EBITDA</t>
  </si>
  <si>
    <t xml:space="preserve">Ten cents, share of EBITDA</t>
  </si>
  <si>
    <t xml:space="preserve">Quarterly exposure</t>
  </si>
  <si>
    <t xml:space="preserve">Hedged, second quarter</t>
  </si>
  <si>
    <t xml:space="preserve">Hedged, third quarter</t>
  </si>
  <si>
    <t xml:space="preserve">Hedged, fourth quarter</t>
  </si>
  <si>
    <t xml:space="preserve">Average ratio</t>
  </si>
  <si>
    <t xml:space="preserve">USD open</t>
  </si>
  <si>
    <t xml:space="preserve">Open at spot</t>
  </si>
  <si>
    <t xml:space="preserve">Open at 1.0900</t>
  </si>
  <si>
    <t xml:space="preserve">One cent on the open</t>
  </si>
  <si>
    <t xml:space="preserve">All checks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</si>
</sst>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.00;[RED]\-#,##0.00"/>
    <numFmt numFmtId="166" formatCode="0.00%"/>
    <numFmt numFmtId="167" formatCode="0.000%"/>
    <numFmt numFmtId="168" formatCode="0.0000\x"/>
    <numFmt numFmtId="169" formatCode="0.0000"/>
    <numFmt numFmtId="170" formatCode="0.0000%"/>
    <numFmt numFmtId="171" formatCode="0.000000"/>
    <numFmt numFmtId="172" formatCode="0%"/>
    <numFmt numFmtId="173" formatCode="#,##0;[RED]\-#,##0"/>
    <numFmt numFmtId="174" formatCode="0.00E+00"/>
    <numFmt numFmtId="175" formatCode="#,##0.0000;[RED]\-#,##0.0000"/>
    <numFmt numFmtId="176" formatCode="#,##0.000000;[RED]\-#,##0.00000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sz val="10"/>
      <color rgb="FF008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9E1F2"/>
        <bgColor rgb="FFCCFFFF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72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6" min="2" style="0" width="18"/>
  </cols>
  <sheetData>
    <row r="1" customFormat="false" ht="16.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/>
      <c r="C4" s="4"/>
      <c r="D4" s="4"/>
      <c r="E4" s="4"/>
      <c r="F4" s="4"/>
    </row>
    <row r="5" customFormat="false" ht="15" hidden="false" customHeight="false" outlineLevel="0" collapsed="false">
      <c r="A5" s="5" t="s">
        <v>3</v>
      </c>
    </row>
    <row r="6" customFormat="false" ht="15" hidden="false" customHeight="false" outlineLevel="0" collapsed="false">
      <c r="A6" s="6" t="s">
        <v>4</v>
      </c>
    </row>
    <row r="7" customFormat="false" ht="15" hidden="false" customHeight="false" outlineLevel="0" collapsed="false">
      <c r="A7" s="7" t="s">
        <v>5</v>
      </c>
    </row>
    <row r="8" customFormat="false" ht="15" hidden="false" customHeight="false" outlineLevel="0" collapsed="false">
      <c r="A8" s="6" t="s">
        <v>6</v>
      </c>
    </row>
    <row r="10" customFormat="false" ht="15" hidden="false" customHeight="false" outlineLevel="0" collapsed="false">
      <c r="A10" s="3" t="s">
        <v>7</v>
      </c>
      <c r="B10" s="4"/>
      <c r="C10" s="4"/>
      <c r="D10" s="4"/>
      <c r="E10" s="4"/>
      <c r="F10" s="4"/>
    </row>
    <row r="11" customFormat="false" ht="15" hidden="false" customHeight="false" outlineLevel="0" collapsed="false">
      <c r="A11" s="6" t="s">
        <v>8</v>
      </c>
      <c r="B11" s="8" t="n">
        <v>168000000</v>
      </c>
    </row>
    <row r="12" customFormat="false" ht="15" hidden="false" customHeight="false" outlineLevel="0" collapsed="false">
      <c r="A12" s="6" t="s">
        <v>9</v>
      </c>
      <c r="B12" s="8" t="n">
        <v>300000000</v>
      </c>
    </row>
    <row r="13" customFormat="false" ht="15" hidden="false" customHeight="false" outlineLevel="0" collapsed="false">
      <c r="A13" s="6" t="s">
        <v>10</v>
      </c>
      <c r="B13" s="9" t="n">
        <v>0.03</v>
      </c>
    </row>
    <row r="14" customFormat="false" ht="15" hidden="false" customHeight="false" outlineLevel="0" collapsed="false">
      <c r="A14" s="6" t="s">
        <v>11</v>
      </c>
      <c r="B14" s="9" t="n">
        <v>0.0175</v>
      </c>
    </row>
    <row r="15" customFormat="false" ht="15" hidden="false" customHeight="false" outlineLevel="0" collapsed="false">
      <c r="A15" s="6" t="s">
        <v>12</v>
      </c>
      <c r="B15" s="8" t="n">
        <v>250000000</v>
      </c>
    </row>
    <row r="16" customFormat="false" ht="15" hidden="false" customHeight="false" outlineLevel="0" collapsed="false">
      <c r="A16" s="6" t="s">
        <v>13</v>
      </c>
      <c r="B16" s="9" t="n">
        <v>0.0425</v>
      </c>
    </row>
    <row r="17" customFormat="false" ht="15" hidden="false" customHeight="false" outlineLevel="0" collapsed="false">
      <c r="A17" s="6" t="s">
        <v>14</v>
      </c>
      <c r="B17" s="8" t="n">
        <v>250000000</v>
      </c>
    </row>
    <row r="18" customFormat="false" ht="15" hidden="false" customHeight="false" outlineLevel="0" collapsed="false">
      <c r="A18" s="6" t="s">
        <v>15</v>
      </c>
      <c r="B18" s="10" t="n">
        <v>0.00525</v>
      </c>
    </row>
    <row r="19" customFormat="false" ht="15" hidden="false" customHeight="false" outlineLevel="0" collapsed="false">
      <c r="A19" s="6" t="s">
        <v>16</v>
      </c>
      <c r="B19" s="11" t="n">
        <v>0.6</v>
      </c>
    </row>
    <row r="20" customFormat="false" ht="15" hidden="false" customHeight="false" outlineLevel="0" collapsed="false">
      <c r="A20" s="6" t="s">
        <v>17</v>
      </c>
      <c r="B20" s="9" t="n">
        <v>0.032</v>
      </c>
    </row>
    <row r="21" customFormat="false" ht="15" hidden="false" customHeight="false" outlineLevel="0" collapsed="false">
      <c r="A21" s="6" t="s">
        <v>18</v>
      </c>
      <c r="B21" s="11" t="n">
        <v>0.02</v>
      </c>
    </row>
    <row r="22" customFormat="false" ht="15" hidden="false" customHeight="false" outlineLevel="0" collapsed="false">
      <c r="A22" s="6" t="s">
        <v>19</v>
      </c>
      <c r="B22" s="12" t="n">
        <v>4</v>
      </c>
    </row>
    <row r="23" customFormat="false" ht="15" hidden="false" customHeight="false" outlineLevel="0" collapsed="false">
      <c r="A23" s="6" t="s">
        <v>20</v>
      </c>
      <c r="B23" s="8" t="n">
        <v>120608000</v>
      </c>
    </row>
    <row r="24" customFormat="false" ht="15" hidden="false" customHeight="false" outlineLevel="0" collapsed="false">
      <c r="A24" s="6" t="s">
        <v>21</v>
      </c>
      <c r="B24" s="8" t="n">
        <v>18000000</v>
      </c>
    </row>
    <row r="25" customFormat="false" ht="15" hidden="false" customHeight="false" outlineLevel="0" collapsed="false">
      <c r="A25" s="6" t="s">
        <v>22</v>
      </c>
      <c r="B25" s="8" t="n">
        <v>41000000</v>
      </c>
    </row>
    <row r="26" customFormat="false" ht="15" hidden="false" customHeight="false" outlineLevel="0" collapsed="false">
      <c r="A26" s="6" t="s">
        <v>23</v>
      </c>
      <c r="B26" s="8" t="n">
        <v>6000000</v>
      </c>
    </row>
    <row r="27" customFormat="false" ht="15" hidden="false" customHeight="false" outlineLevel="0" collapsed="false">
      <c r="A27" s="6" t="s">
        <v>24</v>
      </c>
      <c r="B27" s="8" t="n">
        <v>35000000</v>
      </c>
    </row>
    <row r="28" customFormat="false" ht="15" hidden="false" customHeight="false" outlineLevel="0" collapsed="false">
      <c r="A28" s="3" t="s">
        <v>25</v>
      </c>
      <c r="B28" s="4"/>
      <c r="C28" s="4"/>
      <c r="D28" s="4"/>
      <c r="E28" s="4"/>
      <c r="F28" s="4"/>
    </row>
    <row r="29" customFormat="false" ht="15" hidden="false" customHeight="false" outlineLevel="0" collapsed="false">
      <c r="A29" s="6" t="s">
        <v>26</v>
      </c>
      <c r="B29" s="13" t="n">
        <v>120000000</v>
      </c>
    </row>
    <row r="30" customFormat="false" ht="15" hidden="false" customHeight="false" outlineLevel="0" collapsed="false">
      <c r="A30" s="6" t="s">
        <v>27</v>
      </c>
      <c r="B30" s="14" t="n">
        <v>1.08</v>
      </c>
    </row>
    <row r="31" customFormat="false" ht="15" hidden="false" customHeight="false" outlineLevel="0" collapsed="false">
      <c r="A31" s="6" t="s">
        <v>28</v>
      </c>
      <c r="B31" s="9" t="n">
        <v>0.03</v>
      </c>
    </row>
    <row r="32" customFormat="false" ht="15" hidden="false" customHeight="false" outlineLevel="0" collapsed="false">
      <c r="A32" s="6" t="s">
        <v>29</v>
      </c>
      <c r="B32" s="9" t="n">
        <v>0.045</v>
      </c>
    </row>
    <row r="33" customFormat="false" ht="15" hidden="false" customHeight="false" outlineLevel="0" collapsed="false">
      <c r="A33" s="6" t="s">
        <v>30</v>
      </c>
      <c r="B33" s="14" t="n">
        <v>1.02</v>
      </c>
    </row>
    <row r="34" customFormat="false" ht="15" hidden="false" customHeight="false" outlineLevel="0" collapsed="false">
      <c r="A34" s="6" t="s">
        <v>31</v>
      </c>
      <c r="B34" s="14" t="n">
        <v>1.08</v>
      </c>
    </row>
    <row r="35" customFormat="false" ht="15" hidden="false" customHeight="false" outlineLevel="0" collapsed="false">
      <c r="A35" s="6" t="s">
        <v>32</v>
      </c>
      <c r="B35" s="14" t="n">
        <v>1.16</v>
      </c>
    </row>
    <row r="36" customFormat="false" ht="15" hidden="false" customHeight="false" outlineLevel="0" collapsed="false">
      <c r="A36" s="6" t="s">
        <v>33</v>
      </c>
      <c r="B36" s="9" t="n">
        <v>1</v>
      </c>
    </row>
    <row r="37" customFormat="false" ht="15" hidden="false" customHeight="false" outlineLevel="0" collapsed="false">
      <c r="A37" s="6" t="s">
        <v>34</v>
      </c>
      <c r="B37" s="9" t="n">
        <v>0.75</v>
      </c>
    </row>
    <row r="38" customFormat="false" ht="15" hidden="false" customHeight="false" outlineLevel="0" collapsed="false">
      <c r="A38" s="6" t="s">
        <v>35</v>
      </c>
      <c r="B38" s="9" t="n">
        <v>0.5</v>
      </c>
    </row>
    <row r="39" customFormat="false" ht="15" hidden="false" customHeight="false" outlineLevel="0" collapsed="false">
      <c r="A39" s="6" t="s">
        <v>36</v>
      </c>
      <c r="B39" s="9" t="n">
        <v>0.25</v>
      </c>
    </row>
    <row r="41" customFormat="false" ht="15" hidden="false" customHeight="false" outlineLevel="0" collapsed="false">
      <c r="A41" s="15" t="s">
        <v>37</v>
      </c>
    </row>
    <row r="42" customFormat="false" ht="15" hidden="false" customHeight="false" outlineLevel="0" collapsed="false">
      <c r="A42" s="6" t="s">
        <v>38</v>
      </c>
      <c r="B42" s="8" t="n">
        <v>27403718.8412781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6" min="2" style="0" width="18"/>
  </cols>
  <sheetData>
    <row r="1" customFormat="false" ht="16.15" hidden="false" customHeight="false" outlineLevel="0" collapsed="false">
      <c r="A1" s="1" t="s">
        <v>39</v>
      </c>
    </row>
    <row r="3" customFormat="false" ht="15" hidden="false" customHeight="false" outlineLevel="0" collapsed="false">
      <c r="A3" s="6" t="s">
        <v>40</v>
      </c>
      <c r="B3" s="16" t="n">
        <f aca="false">Inputs!$B$12*(Inputs!$B$13+Inputs!$B$14)</f>
        <v>14250000</v>
      </c>
    </row>
    <row r="4" customFormat="false" ht="15" hidden="false" customHeight="false" outlineLevel="0" collapsed="false">
      <c r="A4" s="6" t="s">
        <v>13</v>
      </c>
      <c r="B4" s="16" t="n">
        <f aca="false">Inputs!$B$15*Inputs!$B$16</f>
        <v>10625000</v>
      </c>
    </row>
    <row r="5" customFormat="false" ht="15" hidden="false" customHeight="false" outlineLevel="0" collapsed="false">
      <c r="A5" s="6" t="s">
        <v>41</v>
      </c>
      <c r="B5" s="16" t="n">
        <f aca="false">Inputs!$B$17*Inputs!$B$18</f>
        <v>1312500</v>
      </c>
    </row>
    <row r="6" customFormat="false" ht="15" hidden="false" customHeight="false" outlineLevel="0" collapsed="false">
      <c r="A6" s="6" t="s">
        <v>42</v>
      </c>
      <c r="B6" s="16" t="n">
        <f aca="false">Inputs!$B$12*Inputs!$B$19*(Inputs!$B$20-Inputs!$B$13)</f>
        <v>360000</v>
      </c>
    </row>
    <row r="7" customFormat="false" ht="15" hidden="false" customHeight="false" outlineLevel="0" collapsed="false">
      <c r="A7" s="17" t="s">
        <v>43</v>
      </c>
      <c r="B7" s="18" t="n">
        <f aca="false">$B$3+$B$4+$B$5+$B$6</f>
        <v>26547500</v>
      </c>
    </row>
    <row r="8" customFormat="false" ht="15" hidden="false" customHeight="false" outlineLevel="0" collapsed="false">
      <c r="A8" s="17" t="s">
        <v>44</v>
      </c>
      <c r="B8" s="19" t="n">
        <f aca="false">Inputs!$B$11/$B$7</f>
        <v>6.32827949901121</v>
      </c>
    </row>
    <row r="9" customFormat="false" ht="15" hidden="false" customHeight="false" outlineLevel="0" collapsed="false">
      <c r="A9" s="3" t="s">
        <v>45</v>
      </c>
      <c r="B9" s="4"/>
      <c r="C9" s="4"/>
      <c r="D9" s="4"/>
      <c r="E9" s="4"/>
      <c r="F9" s="4"/>
    </row>
    <row r="10" customFormat="false" ht="15" hidden="false" customHeight="false" outlineLevel="0" collapsed="false">
      <c r="A10" s="6" t="s">
        <v>46</v>
      </c>
      <c r="B10" s="16" t="n">
        <f aca="false">Inputs!$B$12*(Inputs!$B$13+Inputs!$B$21+Inputs!$B$14)+$B$4+$B$5</f>
        <v>32187500</v>
      </c>
    </row>
    <row r="11" customFormat="false" ht="15" hidden="false" customHeight="false" outlineLevel="0" collapsed="false">
      <c r="A11" s="6" t="s">
        <v>47</v>
      </c>
      <c r="B11" s="16" t="n">
        <f aca="false">$B$7+Inputs!$B$12*(1-Inputs!$B$19)*Inputs!$B$21</f>
        <v>28947500</v>
      </c>
    </row>
    <row r="12" customFormat="false" ht="15" hidden="false" customHeight="false" outlineLevel="0" collapsed="false">
      <c r="A12" s="6" t="s">
        <v>48</v>
      </c>
      <c r="B12" s="20" t="n">
        <f aca="false">Inputs!$B$11/$B$10</f>
        <v>5.21941747572816</v>
      </c>
    </row>
    <row r="13" customFormat="false" ht="15" hidden="false" customHeight="false" outlineLevel="0" collapsed="false">
      <c r="A13" s="6" t="s">
        <v>49</v>
      </c>
      <c r="B13" s="20" t="n">
        <f aca="false">Inputs!$B$11/$B$11</f>
        <v>5.80360998359098</v>
      </c>
    </row>
    <row r="14" customFormat="false" ht="15" hidden="false" customHeight="false" outlineLevel="0" collapsed="false">
      <c r="A14" s="17" t="s">
        <v>50</v>
      </c>
      <c r="B14" s="18" t="n">
        <f aca="false">$B$10-$B$11</f>
        <v>3240000</v>
      </c>
    </row>
    <row r="15" customFormat="false" ht="15" hidden="false" customHeight="false" outlineLevel="0" collapsed="false">
      <c r="A15" s="6" t="s">
        <v>51</v>
      </c>
      <c r="B15" s="21" t="n">
        <f aca="false">$B$14/$B$6</f>
        <v>8.99999999999999</v>
      </c>
    </row>
    <row r="16" customFormat="false" ht="15" hidden="false" customHeight="false" outlineLevel="0" collapsed="false">
      <c r="A16" s="6" t="s">
        <v>52</v>
      </c>
      <c r="B16" s="16" t="n">
        <f aca="false">Inputs!$B$12*Inputs!$B$21-Inputs!$B$12*(1-Inputs!$B$19)*Inputs!$B$21</f>
        <v>3600000</v>
      </c>
    </row>
    <row r="17" customFormat="false" ht="15" hidden="false" customHeight="false" outlineLevel="0" collapsed="false">
      <c r="A17" s="3" t="s">
        <v>53</v>
      </c>
      <c r="B17" s="4"/>
      <c r="C17" s="4"/>
      <c r="D17" s="4"/>
      <c r="E17" s="4"/>
      <c r="F17" s="4"/>
    </row>
    <row r="18" customFormat="false" ht="15" hidden="false" customHeight="false" outlineLevel="0" collapsed="false">
      <c r="A18" s="6" t="s">
        <v>54</v>
      </c>
      <c r="B18" s="16" t="n">
        <f aca="false">Inputs!$B$11/Inputs!$B$22</f>
        <v>42000000</v>
      </c>
    </row>
    <row r="19" customFormat="false" ht="15" hidden="false" customHeight="false" outlineLevel="0" collapsed="false">
      <c r="A19" s="6" t="s">
        <v>55</v>
      </c>
      <c r="B19" s="22" t="n">
        <f aca="false">($B$18-$B$4-$B$5)/Inputs!$B$12-Inputs!$B$14</f>
        <v>0.0827083333333333</v>
      </c>
    </row>
    <row r="20" customFormat="false" ht="15" hidden="false" customHeight="false" outlineLevel="0" collapsed="false">
      <c r="A20" s="6" t="s">
        <v>56</v>
      </c>
      <c r="B20" s="22" t="n">
        <f aca="false">($B$18-$B$4-$B$5-Inputs!$B$12*Inputs!$B$19*(Inputs!$B$20+Inputs!$B$14))/(Inputs!$B$12*(1-Inputs!$B$19))-Inputs!$B$14</f>
        <v>0.158770833333333</v>
      </c>
    </row>
    <row r="21" customFormat="false" ht="15" hidden="false" customHeight="false" outlineLevel="0" collapsed="false">
      <c r="A21" s="3" t="s">
        <v>57</v>
      </c>
      <c r="B21" s="4"/>
      <c r="C21" s="4"/>
      <c r="D21" s="4"/>
      <c r="E21" s="4"/>
      <c r="F21" s="4"/>
    </row>
    <row r="22" customFormat="false" ht="15" hidden="false" customHeight="false" outlineLevel="0" collapsed="false">
      <c r="A22" s="6" t="s">
        <v>58</v>
      </c>
      <c r="B22" s="16" t="n">
        <f aca="false">Inputs!$B$15+Inputs!$B$12*Inputs!$B$19</f>
        <v>430000000</v>
      </c>
    </row>
    <row r="23" customFormat="false" ht="15" hidden="false" customHeight="false" outlineLevel="0" collapsed="false">
      <c r="A23" s="6" t="s">
        <v>59</v>
      </c>
      <c r="B23" s="23" t="n">
        <f aca="false">$B$22/(Inputs!$B$12+Inputs!$B$15)</f>
        <v>0.781818181818182</v>
      </c>
    </row>
    <row r="24" customFormat="false" ht="15" hidden="false" customHeight="false" outlineLevel="0" collapsed="false">
      <c r="A24" s="6" t="s">
        <v>60</v>
      </c>
      <c r="B24" s="23" t="n">
        <f aca="false">$B$22/(Inputs!$B$12+Inputs!$B$15+Inputs!$B$27)</f>
        <v>0.735042735042735</v>
      </c>
    </row>
    <row r="25" customFormat="false" ht="15" hidden="false" customHeight="false" outlineLevel="0" collapsed="false">
      <c r="A25" s="6" t="s">
        <v>61</v>
      </c>
      <c r="B25" s="16" t="n">
        <f aca="false">Inputs!$B$12*(1-Inputs!$B$19)-Inputs!$B$23</f>
        <v>-608000</v>
      </c>
    </row>
    <row r="26" customFormat="false" ht="15" hidden="false" customHeight="false" outlineLevel="0" collapsed="false">
      <c r="A26" s="6" t="s">
        <v>62</v>
      </c>
      <c r="B26" s="16" t="n">
        <f aca="false">Inputs!$B$23-Inputs!$B$24-Inputs!$B$25-Inputs!$B$26</f>
        <v>55608000</v>
      </c>
    </row>
    <row r="27" customFormat="false" ht="15" hidden="false" customHeight="false" outlineLevel="0" collapsed="false">
      <c r="A27" s="6" t="s">
        <v>63</v>
      </c>
      <c r="B27" s="16" t="n">
        <f aca="false">Inputs!$B$12*(1-Inputs!$B$19)-$B$26</f>
        <v>64392000</v>
      </c>
    </row>
    <row r="29" customFormat="false" ht="15" hidden="false" customHeight="false" outlineLevel="0" collapsed="false">
      <c r="A29" s="6" t="s">
        <v>64</v>
      </c>
      <c r="B29" s="16" t="n">
        <f aca="false">$B$7-$B$6</f>
        <v>26187500</v>
      </c>
    </row>
    <row r="30" customFormat="false" ht="15" hidden="false" customHeight="false" outlineLevel="0" collapsed="false">
      <c r="A30" s="6" t="s">
        <v>65</v>
      </c>
      <c r="B30" s="16" t="n">
        <f aca="false">Inputs!$B$12*Inputs!$B$21</f>
        <v>6000000</v>
      </c>
    </row>
    <row r="31" customFormat="false" ht="15" hidden="false" customHeight="false" outlineLevel="0" collapsed="false">
      <c r="A31" s="6" t="s">
        <v>66</v>
      </c>
      <c r="B31" s="16" t="n">
        <f aca="false">Inputs!$B$12*(1-Inputs!$B$19)*Inputs!$B$21</f>
        <v>2400000</v>
      </c>
    </row>
    <row r="32" customFormat="false" ht="15" hidden="false" customHeight="false" outlineLevel="0" collapsed="false">
      <c r="A32" s="6" t="s">
        <v>67</v>
      </c>
      <c r="B32" s="16" t="n">
        <f aca="false">Inputs!$B$12*0.01</f>
        <v>3000000</v>
      </c>
    </row>
    <row r="33" customFormat="false" ht="15" hidden="false" customHeight="false" outlineLevel="0" collapsed="false">
      <c r="A33" s="6" t="s">
        <v>68</v>
      </c>
      <c r="B33" s="16" t="n">
        <f aca="false">Inputs!$B$12*(1-Inputs!$B$19)*0.01</f>
        <v>1200000</v>
      </c>
    </row>
    <row r="34" customFormat="false" ht="15" hidden="false" customHeight="false" outlineLevel="0" collapsed="false">
      <c r="A34" s="6" t="s">
        <v>69</v>
      </c>
      <c r="B34" s="16" t="n">
        <f aca="false">$B$18-B29</f>
        <v>15812500</v>
      </c>
    </row>
    <row r="35" customFormat="false" ht="15" hidden="false" customHeight="false" outlineLevel="0" collapsed="false">
      <c r="A35" s="6" t="s">
        <v>70</v>
      </c>
      <c r="B35" s="21" t="n">
        <f aca="false">B34/B32</f>
        <v>5.27083333333333</v>
      </c>
    </row>
    <row r="36" customFormat="false" ht="15" hidden="false" customHeight="false" outlineLevel="0" collapsed="false">
      <c r="A36" s="6" t="s">
        <v>71</v>
      </c>
      <c r="B36" s="16" t="n">
        <f aca="false">$B$18-$B$7</f>
        <v>15452500</v>
      </c>
    </row>
    <row r="37" customFormat="false" ht="15" hidden="false" customHeight="false" outlineLevel="0" collapsed="false">
      <c r="A37" s="6" t="s">
        <v>70</v>
      </c>
      <c r="B37" s="21" t="n">
        <f aca="false">B36/B33</f>
        <v>12.8770833333333</v>
      </c>
    </row>
    <row r="38" customFormat="false" ht="15" hidden="false" customHeight="false" outlineLevel="0" collapsed="false">
      <c r="A38" s="6" t="s">
        <v>72</v>
      </c>
      <c r="B38" s="23" t="n">
        <f aca="false">B30/Inputs!$B$42</f>
        <v>0.218948385609702</v>
      </c>
    </row>
    <row r="39" customFormat="false" ht="15" hidden="false" customHeight="false" outlineLevel="0" collapsed="false">
      <c r="A39" s="6" t="s">
        <v>73</v>
      </c>
      <c r="B39" s="23" t="n">
        <f aca="false">Inputs!$B$15/(Inputs!$B$12+Inputs!$B$15)</f>
        <v>0.454545454545455</v>
      </c>
    </row>
    <row r="40" customFormat="false" ht="15" hidden="false" customHeight="false" outlineLevel="0" collapsed="false">
      <c r="A40" s="6" t="s">
        <v>74</v>
      </c>
      <c r="B40" s="23" t="n">
        <f aca="false">1-$B$23</f>
        <v>0.218181818181818</v>
      </c>
    </row>
    <row r="41" customFormat="false" ht="15" hidden="false" customHeight="false" outlineLevel="0" collapsed="false">
      <c r="A41" s="6" t="s">
        <v>75</v>
      </c>
      <c r="B41" s="16" t="n">
        <f aca="false">Inputs!$B$12*(Inputs!$B$20-Inputs!$B$13)</f>
        <v>600000.000000001</v>
      </c>
    </row>
    <row r="42" customFormat="false" ht="15" hidden="false" customHeight="false" outlineLevel="0" collapsed="false">
      <c r="A42" s="6" t="s">
        <v>76</v>
      </c>
      <c r="B42" s="16" t="n">
        <f aca="false">Inputs!$B$23*Inputs!$B$21</f>
        <v>2412160</v>
      </c>
    </row>
    <row r="43" customFormat="false" ht="15" hidden="false" customHeight="false" outlineLevel="0" collapsed="false">
      <c r="A43" s="6" t="s">
        <v>77</v>
      </c>
      <c r="B43" s="16" t="n">
        <f aca="false">B42-B31</f>
        <v>12160</v>
      </c>
    </row>
    <row r="44" customFormat="false" ht="15" hidden="false" customHeight="false" outlineLevel="0" collapsed="false">
      <c r="A44" s="6" t="s">
        <v>78</v>
      </c>
      <c r="B44" s="22" t="n">
        <f aca="false">Inputs!$B$20+Inputs!$B$14</f>
        <v>0.0495</v>
      </c>
    </row>
    <row r="45" customFormat="false" ht="15" hidden="false" customHeight="false" outlineLevel="0" collapsed="false">
      <c r="A45" s="6" t="s">
        <v>79</v>
      </c>
      <c r="B45" s="22" t="n">
        <f aca="false">Inputs!$B$13+Inputs!$B$21+Inputs!$B$14</f>
        <v>0.0675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6" min="2" style="0" width="18"/>
  </cols>
  <sheetData>
    <row r="1" customFormat="false" ht="16.15" hidden="false" customHeight="false" outlineLevel="0" collapsed="false">
      <c r="A1" s="1" t="s">
        <v>80</v>
      </c>
    </row>
    <row r="3" customFormat="false" ht="15" hidden="false" customHeight="false" outlineLevel="0" collapsed="false">
      <c r="A3" s="17" t="s">
        <v>81</v>
      </c>
      <c r="B3" s="24" t="n">
        <f aca="false">Inputs!$B$30*(1+Inputs!$B$32)/(1+Inputs!$B$31)</f>
        <v>1.09572815533981</v>
      </c>
    </row>
    <row r="4" customFormat="false" ht="15" hidden="false" customHeight="false" outlineLevel="0" collapsed="false">
      <c r="A4" s="6" t="s">
        <v>82</v>
      </c>
      <c r="B4" s="25" t="n">
        <f aca="false">$B$3-Inputs!$B$30</f>
        <v>0.0157281553398059</v>
      </c>
    </row>
    <row r="5" customFormat="false" ht="15" hidden="false" customHeight="false" outlineLevel="0" collapsed="false">
      <c r="A5" s="6" t="s">
        <v>83</v>
      </c>
      <c r="B5" s="16" t="n">
        <f aca="false">Inputs!$B$29/Inputs!$B$30</f>
        <v>111111111.111111</v>
      </c>
    </row>
    <row r="6" customFormat="false" ht="15" hidden="false" customHeight="false" outlineLevel="0" collapsed="false">
      <c r="A6" s="17" t="s">
        <v>84</v>
      </c>
      <c r="B6" s="18" t="n">
        <f aca="false">Inputs!$B$29/$B$3</f>
        <v>109516214.779373</v>
      </c>
    </row>
    <row r="7" customFormat="false" ht="15" hidden="false" customHeight="false" outlineLevel="0" collapsed="false">
      <c r="A7" s="6" t="s">
        <v>85</v>
      </c>
      <c r="B7" s="16" t="n">
        <f aca="false">$B$5-$B$6</f>
        <v>1594896.33173844</v>
      </c>
    </row>
    <row r="8" customFormat="false" ht="15" hidden="false" customHeight="false" outlineLevel="0" collapsed="false">
      <c r="A8" s="6" t="s">
        <v>86</v>
      </c>
      <c r="B8" s="23" t="n">
        <f aca="false">1-Inputs!$B$30/$B$3</f>
        <v>0.014354066985646</v>
      </c>
    </row>
    <row r="9" customFormat="false" ht="15" hidden="false" customHeight="false" outlineLevel="0" collapsed="false">
      <c r="A9" s="6" t="s">
        <v>87</v>
      </c>
      <c r="B9" s="23" t="n">
        <f aca="false">$B$5/Inputs!$B$11</f>
        <v>0.661375661375661</v>
      </c>
    </row>
    <row r="11" customFormat="false" ht="15" hidden="false" customHeight="false" outlineLevel="0" collapsed="false">
      <c r="A11" s="26" t="s">
        <v>88</v>
      </c>
      <c r="B11" s="26" t="s">
        <v>89</v>
      </c>
      <c r="C11" s="26" t="s">
        <v>90</v>
      </c>
      <c r="D11" s="26" t="s">
        <v>91</v>
      </c>
      <c r="E11" s="26"/>
      <c r="F11" s="26"/>
    </row>
    <row r="12" customFormat="false" ht="15" hidden="false" customHeight="false" outlineLevel="0" collapsed="false">
      <c r="A12" s="21" t="n">
        <f aca="false">Inputs!$B$33</f>
        <v>1.02</v>
      </c>
      <c r="B12" s="16" t="n">
        <f aca="false">Inputs!$B$29/Inputs!$B$33</f>
        <v>117647058.823529</v>
      </c>
      <c r="C12" s="16" t="n">
        <f aca="false">$B$6</f>
        <v>109516214.779373</v>
      </c>
      <c r="D12" s="16" t="n">
        <f aca="false">C12-B12</f>
        <v>-8130844.04415675</v>
      </c>
    </row>
    <row r="13" customFormat="false" ht="15" hidden="false" customHeight="false" outlineLevel="0" collapsed="false">
      <c r="A13" s="21" t="n">
        <f aca="false">Inputs!$B$34</f>
        <v>1.08</v>
      </c>
      <c r="B13" s="16" t="n">
        <f aca="false">Inputs!$B$29/Inputs!$B$34</f>
        <v>111111111.111111</v>
      </c>
      <c r="C13" s="16" t="n">
        <f aca="false">$B$6</f>
        <v>109516214.779373</v>
      </c>
      <c r="D13" s="16" t="n">
        <f aca="false">C13-B13</f>
        <v>-1594896.33173844</v>
      </c>
    </row>
    <row r="14" customFormat="false" ht="15" hidden="false" customHeight="false" outlineLevel="0" collapsed="false">
      <c r="A14" s="21" t="n">
        <f aca="false">Inputs!$B$35</f>
        <v>1.16</v>
      </c>
      <c r="B14" s="16" t="n">
        <f aca="false">Inputs!$B$29/Inputs!$B$35</f>
        <v>103448275.862069</v>
      </c>
      <c r="C14" s="16" t="n">
        <f aca="false">$B$6</f>
        <v>109516214.779373</v>
      </c>
      <c r="D14" s="16" t="n">
        <f aca="false">C14-B14</f>
        <v>6067938.9173037</v>
      </c>
    </row>
    <row r="16" customFormat="false" ht="15" hidden="false" customHeight="false" outlineLevel="0" collapsed="false">
      <c r="A16" s="6" t="s">
        <v>92</v>
      </c>
      <c r="B16" s="16" t="n">
        <f aca="false">Inputs!$B$29/Inputs!$B$30-Inputs!$B$29/(Inputs!$B$30+0.01)</f>
        <v>1019367.99184506</v>
      </c>
    </row>
    <row r="17" customFormat="false" ht="15" hidden="false" customHeight="false" outlineLevel="0" collapsed="false">
      <c r="A17" s="6" t="s">
        <v>93</v>
      </c>
      <c r="B17" s="23" t="n">
        <f aca="false">$B$16/Inputs!$B$11</f>
        <v>0.00606766661812534</v>
      </c>
    </row>
    <row r="18" customFormat="false" ht="15" hidden="false" customHeight="false" outlineLevel="0" collapsed="false">
      <c r="A18" s="6" t="s">
        <v>94</v>
      </c>
      <c r="B18" s="16" t="n">
        <f aca="false">Inputs!$B$29/Inputs!$B$30-Inputs!$B$29/(Inputs!$B$30+0.1)</f>
        <v>9416195.85687383</v>
      </c>
    </row>
    <row r="19" customFormat="false" ht="15" hidden="false" customHeight="false" outlineLevel="0" collapsed="false">
      <c r="A19" s="6" t="s">
        <v>93</v>
      </c>
      <c r="B19" s="23" t="n">
        <f aca="false">$B$18/Inputs!$B$11</f>
        <v>0.0560487848623442</v>
      </c>
    </row>
    <row r="20" customFormat="false" ht="15" hidden="false" customHeight="false" outlineLevel="0" collapsed="false">
      <c r="A20" s="6" t="s">
        <v>95</v>
      </c>
      <c r="B20" s="22" t="n">
        <f aca="false">AVERAGE(Inputs!$B$36,Inputs!$B$37,Inputs!$B$38,Inputs!$B$39)</f>
        <v>0.625</v>
      </c>
    </row>
    <row r="21" customFormat="false" ht="15" hidden="false" customHeight="false" outlineLevel="0" collapsed="false">
      <c r="A21" s="6" t="s">
        <v>96</v>
      </c>
      <c r="B21" s="16" t="n">
        <f aca="false">Inputs!$B$29*$B$20</f>
        <v>75000000</v>
      </c>
    </row>
    <row r="23" customFormat="false" ht="15" hidden="false" customHeight="false" outlineLevel="0" collapsed="false">
      <c r="A23" s="6" t="s">
        <v>97</v>
      </c>
      <c r="B23" s="25" t="n">
        <f aca="false">(1+Inputs!$B$32)/(1+Inputs!$B$31)</f>
        <v>1.01456310679612</v>
      </c>
    </row>
    <row r="24" customFormat="false" ht="15" hidden="false" customHeight="false" outlineLevel="0" collapsed="false">
      <c r="A24" s="6" t="s">
        <v>98</v>
      </c>
      <c r="B24" s="16" t="n">
        <f aca="false">Inputs!$B$29/(Inputs!$B$30+0.01)</f>
        <v>110091743.119266</v>
      </c>
    </row>
    <row r="25" customFormat="false" ht="15" hidden="false" customHeight="false" outlineLevel="0" collapsed="false">
      <c r="A25" s="6" t="s">
        <v>99</v>
      </c>
      <c r="B25" s="16" t="n">
        <f aca="false">Inputs!$B$29/(Inputs!$B$30+0.1)</f>
        <v>101694915.254237</v>
      </c>
    </row>
    <row r="27" customFormat="false" ht="15" hidden="false" customHeight="false" outlineLevel="0" collapsed="false">
      <c r="A27" s="15" t="s">
        <v>100</v>
      </c>
      <c r="B27" s="15" t="s">
        <v>101</v>
      </c>
      <c r="C27" s="15" t="s">
        <v>102</v>
      </c>
      <c r="D27" s="15" t="s">
        <v>103</v>
      </c>
    </row>
    <row r="28" customFormat="false" ht="15" hidden="false" customHeight="false" outlineLevel="0" collapsed="false">
      <c r="A28" s="6" t="s">
        <v>104</v>
      </c>
      <c r="B28" s="16" t="n">
        <f aca="false">Inputs!$B$29/4</f>
        <v>30000000</v>
      </c>
      <c r="C28" s="27" t="n">
        <f aca="false">Inputs!$B$36</f>
        <v>1</v>
      </c>
      <c r="D28" s="16" t="n">
        <f aca="false">B28*C28</f>
        <v>30000000</v>
      </c>
    </row>
    <row r="29" customFormat="false" ht="15" hidden="false" customHeight="false" outlineLevel="0" collapsed="false">
      <c r="A29" s="6" t="s">
        <v>105</v>
      </c>
      <c r="B29" s="16" t="n">
        <f aca="false">Inputs!$B$29/4</f>
        <v>30000000</v>
      </c>
      <c r="C29" s="27" t="n">
        <f aca="false">Inputs!$B$37</f>
        <v>0.75</v>
      </c>
      <c r="D29" s="16" t="n">
        <f aca="false">B29*C29</f>
        <v>22500000</v>
      </c>
    </row>
    <row r="30" customFormat="false" ht="15" hidden="false" customHeight="false" outlineLevel="0" collapsed="false">
      <c r="A30" s="6" t="s">
        <v>106</v>
      </c>
      <c r="B30" s="16" t="n">
        <f aca="false">Inputs!$B$29/4</f>
        <v>30000000</v>
      </c>
      <c r="C30" s="27" t="n">
        <f aca="false">Inputs!$B$38</f>
        <v>0.5</v>
      </c>
      <c r="D30" s="16" t="n">
        <f aca="false">B30*C30</f>
        <v>15000000</v>
      </c>
    </row>
    <row r="31" customFormat="false" ht="15" hidden="false" customHeight="false" outlineLevel="0" collapsed="false">
      <c r="A31" s="6" t="s">
        <v>107</v>
      </c>
      <c r="B31" s="16" t="n">
        <f aca="false">Inputs!$B$29/4</f>
        <v>30000000</v>
      </c>
      <c r="C31" s="27" t="n">
        <f aca="false">Inputs!$B$39</f>
        <v>0.25</v>
      </c>
      <c r="D31" s="16" t="n">
        <f aca="false">B31*C31</f>
        <v>7500000</v>
      </c>
    </row>
    <row r="32" customFormat="false" ht="15" hidden="false" customHeight="false" outlineLevel="0" collapsed="false">
      <c r="A32" s="17" t="s">
        <v>108</v>
      </c>
      <c r="B32" s="16" t="n">
        <f aca="false">SUM(B28:B31)</f>
        <v>120000000</v>
      </c>
      <c r="C32" s="22" t="n">
        <f aca="false">D32/B32</f>
        <v>0.625</v>
      </c>
      <c r="D32" s="16" t="n">
        <f aca="false">SUM(D28:D31)</f>
        <v>75000000</v>
      </c>
    </row>
    <row r="33" customFormat="false" ht="15" hidden="false" customHeight="false" outlineLevel="0" collapsed="false">
      <c r="A33" s="6" t="s">
        <v>109</v>
      </c>
      <c r="B33" s="16" t="n">
        <f aca="false">Inputs!$B$29-$B$21</f>
        <v>45000000</v>
      </c>
    </row>
    <row r="34" customFormat="false" ht="15" hidden="false" customHeight="false" outlineLevel="0" collapsed="false">
      <c r="A34" s="6" t="s">
        <v>110</v>
      </c>
      <c r="B34" s="16" t="n">
        <f aca="false">B33/Inputs!$B$30</f>
        <v>41666666.6666667</v>
      </c>
    </row>
    <row r="35" customFormat="false" ht="15" hidden="false" customHeight="false" outlineLevel="0" collapsed="false">
      <c r="A35" s="6" t="s">
        <v>111</v>
      </c>
      <c r="B35" s="16" t="n">
        <f aca="false">B33/(Inputs!$B$30+0.01)</f>
        <v>41284403.6697248</v>
      </c>
    </row>
    <row r="36" customFormat="false" ht="15" hidden="false" customHeight="false" outlineLevel="0" collapsed="false">
      <c r="A36" s="6" t="s">
        <v>112</v>
      </c>
      <c r="B36" s="16" t="n">
        <f aca="false">B34-B35</f>
        <v>382262.996941894</v>
      </c>
    </row>
    <row r="37" customFormat="false" ht="15" hidden="false" customHeight="false" outlineLevel="0" collapsed="false">
      <c r="A37" s="6" t="s">
        <v>113</v>
      </c>
      <c r="B37" s="25" t="n">
        <f aca="false">$B$3</f>
        <v>1.09572815533981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6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6"/>
    <col collapsed="false" customWidth="true" hidden="false" outlineLevel="0" max="3" min="2" style="0" width="20"/>
    <col collapsed="false" customWidth="true" hidden="false" outlineLevel="0" max="4" min="4" style="0" width="16"/>
    <col collapsed="false" customWidth="true" hidden="false" outlineLevel="0" max="5" min="5" style="0" width="10"/>
  </cols>
  <sheetData>
    <row r="1" customFormat="false" ht="16.15" hidden="false" customHeight="false" outlineLevel="0" collapsed="false">
      <c r="A1" s="1" t="s">
        <v>114</v>
      </c>
    </row>
    <row r="2" customFormat="false" ht="15" hidden="false" customHeight="false" outlineLevel="0" collapsed="false">
      <c r="A2" s="2" t="s">
        <v>115</v>
      </c>
    </row>
    <row r="4" customFormat="false" ht="15" hidden="false" customHeight="false" outlineLevel="0" collapsed="false">
      <c r="A4" s="26" t="s">
        <v>116</v>
      </c>
      <c r="B4" s="26" t="s">
        <v>117</v>
      </c>
      <c r="C4" s="26" t="s">
        <v>118</v>
      </c>
      <c r="D4" s="26" t="s">
        <v>119</v>
      </c>
      <c r="E4" s="26" t="s">
        <v>120</v>
      </c>
    </row>
    <row r="5" customFormat="false" ht="15" hidden="false" customHeight="false" outlineLevel="0" collapsed="false">
      <c r="A5" s="6" t="s">
        <v>43</v>
      </c>
      <c r="B5" s="8" t="n">
        <v>26547500</v>
      </c>
      <c r="C5" s="28" t="n">
        <f aca="false">Swap!$B$7</f>
        <v>26547500</v>
      </c>
      <c r="D5" s="29" t="n">
        <f aca="false">C5-B5</f>
        <v>0</v>
      </c>
      <c r="E5" s="17" t="str">
        <f aca="false">IF(ABS(D5)&lt;0.005,"PASS","FAIL")</f>
        <v>PASS</v>
      </c>
    </row>
    <row r="6" customFormat="false" ht="15" hidden="false" customHeight="false" outlineLevel="0" collapsed="false">
      <c r="A6" s="6" t="s">
        <v>44</v>
      </c>
      <c r="B6" s="12" t="n">
        <v>6.32827949901121</v>
      </c>
      <c r="C6" s="30" t="n">
        <f aca="false">Swap!$B$8</f>
        <v>6.32827949901121</v>
      </c>
      <c r="D6" s="31" t="n">
        <f aca="false">C6-B6</f>
        <v>0</v>
      </c>
      <c r="E6" s="17" t="str">
        <f aca="false">IF(ABS(D6)&lt;0.00005,"PASS","FAIL")</f>
        <v>PASS</v>
      </c>
    </row>
    <row r="7" customFormat="false" ht="15" hidden="false" customHeight="false" outlineLevel="0" collapsed="false">
      <c r="A7" s="6" t="s">
        <v>46</v>
      </c>
      <c r="B7" s="8" t="n">
        <v>32187500</v>
      </c>
      <c r="C7" s="28" t="n">
        <f aca="false">Swap!$B$10</f>
        <v>32187500</v>
      </c>
      <c r="D7" s="29" t="n">
        <f aca="false">C7-B7</f>
        <v>0</v>
      </c>
      <c r="E7" s="17" t="str">
        <f aca="false">IF(ABS(D7)&lt;0.005,"PASS","FAIL")</f>
        <v>PASS</v>
      </c>
    </row>
    <row r="8" customFormat="false" ht="15" hidden="false" customHeight="false" outlineLevel="0" collapsed="false">
      <c r="A8" s="6" t="s">
        <v>47</v>
      </c>
      <c r="B8" s="8" t="n">
        <v>28947500</v>
      </c>
      <c r="C8" s="28" t="n">
        <f aca="false">Swap!$B$11</f>
        <v>28947500</v>
      </c>
      <c r="D8" s="29" t="n">
        <f aca="false">C8-B8</f>
        <v>0</v>
      </c>
      <c r="E8" s="17" t="str">
        <f aca="false">IF(ABS(D8)&lt;0.005,"PASS","FAIL")</f>
        <v>PASS</v>
      </c>
    </row>
    <row r="9" customFormat="false" ht="15" hidden="false" customHeight="false" outlineLevel="0" collapsed="false">
      <c r="A9" s="6" t="s">
        <v>48</v>
      </c>
      <c r="B9" s="12" t="n">
        <v>5.21941747572816</v>
      </c>
      <c r="C9" s="30" t="n">
        <f aca="false">Swap!$B$12</f>
        <v>5.21941747572816</v>
      </c>
      <c r="D9" s="31" t="n">
        <f aca="false">C9-B9</f>
        <v>0</v>
      </c>
      <c r="E9" s="17" t="str">
        <f aca="false">IF(ABS(D9)&lt;0.00005,"PASS","FAIL")</f>
        <v>PASS</v>
      </c>
    </row>
    <row r="10" customFormat="false" ht="15" hidden="false" customHeight="false" outlineLevel="0" collapsed="false">
      <c r="A10" s="6" t="s">
        <v>49</v>
      </c>
      <c r="B10" s="12" t="n">
        <v>5.80360998359098</v>
      </c>
      <c r="C10" s="30" t="n">
        <f aca="false">Swap!$B$13</f>
        <v>5.80360998359098</v>
      </c>
      <c r="D10" s="31" t="n">
        <f aca="false">C10-B10</f>
        <v>0</v>
      </c>
      <c r="E10" s="17" t="str">
        <f aca="false">IF(ABS(D10)&lt;0.00005,"PASS","FAIL")</f>
        <v>PASS</v>
      </c>
    </row>
    <row r="11" customFormat="false" ht="15" hidden="false" customHeight="false" outlineLevel="0" collapsed="false">
      <c r="A11" s="6" t="s">
        <v>121</v>
      </c>
      <c r="B11" s="8" t="n">
        <v>3240000</v>
      </c>
      <c r="C11" s="28" t="n">
        <f aca="false">Swap!$B$14</f>
        <v>3240000</v>
      </c>
      <c r="D11" s="29" t="n">
        <f aca="false">C11-B11</f>
        <v>0</v>
      </c>
      <c r="E11" s="17" t="str">
        <f aca="false">IF(ABS(D11)&lt;0.005,"PASS","FAIL")</f>
        <v>PASS</v>
      </c>
    </row>
    <row r="12" customFormat="false" ht="15" hidden="false" customHeight="false" outlineLevel="0" collapsed="false">
      <c r="A12" s="6" t="s">
        <v>122</v>
      </c>
      <c r="B12" s="14" t="n">
        <v>8.99999999999999</v>
      </c>
      <c r="C12" s="32" t="n">
        <f aca="false">Swap!$B$15</f>
        <v>8.99999999999999</v>
      </c>
      <c r="D12" s="33" t="n">
        <f aca="false">C12-B12</f>
        <v>0</v>
      </c>
      <c r="E12" s="17" t="str">
        <f aca="false">IF(ABS(D12)&lt;0.00005,"PASS","FAIL")</f>
        <v>PASS</v>
      </c>
    </row>
    <row r="13" customFormat="false" ht="15" hidden="false" customHeight="false" outlineLevel="0" collapsed="false">
      <c r="A13" s="6" t="s">
        <v>123</v>
      </c>
      <c r="B13" s="34" t="n">
        <v>0.0827083333333333</v>
      </c>
      <c r="C13" s="35" t="n">
        <f aca="false">Swap!$B$19</f>
        <v>0.0827083333333333</v>
      </c>
      <c r="D13" s="36" t="n">
        <f aca="false">C13-B13</f>
        <v>0</v>
      </c>
      <c r="E13" s="17" t="str">
        <f aca="false">IF(ABS(D13)&lt;0.00005,"PASS","FAIL")</f>
        <v>PASS</v>
      </c>
    </row>
    <row r="14" customFormat="false" ht="15" hidden="false" customHeight="false" outlineLevel="0" collapsed="false">
      <c r="A14" s="6" t="s">
        <v>124</v>
      </c>
      <c r="B14" s="34" t="n">
        <v>0.158770833333333</v>
      </c>
      <c r="C14" s="35" t="n">
        <f aca="false">Swap!$B$20</f>
        <v>0.158770833333333</v>
      </c>
      <c r="D14" s="36" t="n">
        <f aca="false">C14-B14</f>
        <v>0</v>
      </c>
      <c r="E14" s="17" t="str">
        <f aca="false">IF(ABS(D14)&lt;0.00005,"PASS","FAIL")</f>
        <v>PASS</v>
      </c>
    </row>
    <row r="15" customFormat="false" ht="15" hidden="false" customHeight="false" outlineLevel="0" collapsed="false">
      <c r="A15" s="6" t="s">
        <v>125</v>
      </c>
      <c r="B15" s="34" t="n">
        <v>0.781818181818182</v>
      </c>
      <c r="C15" s="35" t="n">
        <f aca="false">Swap!$B$23</f>
        <v>0.781818181818182</v>
      </c>
      <c r="D15" s="36" t="n">
        <f aca="false">C15-B15</f>
        <v>0</v>
      </c>
      <c r="E15" s="17" t="str">
        <f aca="false">IF(ABS(D15)&lt;0.00005,"PASS","FAIL")</f>
        <v>PASS</v>
      </c>
    </row>
    <row r="16" customFormat="false" ht="15" hidden="false" customHeight="false" outlineLevel="0" collapsed="false">
      <c r="A16" s="6" t="s">
        <v>126</v>
      </c>
      <c r="B16" s="34" t="n">
        <v>0.735042735042735</v>
      </c>
      <c r="C16" s="35" t="n">
        <f aca="false">Swap!$B$24</f>
        <v>0.735042735042735</v>
      </c>
      <c r="D16" s="36" t="n">
        <f aca="false">C16-B16</f>
        <v>0</v>
      </c>
      <c r="E16" s="17" t="str">
        <f aca="false">IF(ABS(D16)&lt;0.00005,"PASS","FAIL")</f>
        <v>PASS</v>
      </c>
    </row>
    <row r="17" customFormat="false" ht="15" hidden="false" customHeight="false" outlineLevel="0" collapsed="false">
      <c r="A17" s="6" t="s">
        <v>127</v>
      </c>
      <c r="B17" s="8" t="n">
        <v>-608000</v>
      </c>
      <c r="C17" s="28" t="n">
        <f aca="false">Swap!$B$25</f>
        <v>-608000</v>
      </c>
      <c r="D17" s="29" t="n">
        <f aca="false">C17-B17</f>
        <v>0</v>
      </c>
      <c r="E17" s="17" t="str">
        <f aca="false">IF(ABS(D17)&lt;0.005,"PASS","FAIL")</f>
        <v>PASS</v>
      </c>
    </row>
    <row r="18" customFormat="false" ht="15" hidden="false" customHeight="false" outlineLevel="0" collapsed="false">
      <c r="A18" s="6" t="s">
        <v>128</v>
      </c>
      <c r="B18" s="8" t="n">
        <v>64392000</v>
      </c>
      <c r="C18" s="28" t="n">
        <f aca="false">Swap!$B$27</f>
        <v>64392000</v>
      </c>
      <c r="D18" s="29" t="n">
        <f aca="false">C18-B18</f>
        <v>0</v>
      </c>
      <c r="E18" s="17" t="str">
        <f aca="false">IF(ABS(D18)&lt;0.005,"PASS","FAIL")</f>
        <v>PASS</v>
      </c>
    </row>
    <row r="19" customFormat="false" ht="15" hidden="false" customHeight="false" outlineLevel="0" collapsed="false">
      <c r="A19" s="6" t="s">
        <v>129</v>
      </c>
      <c r="B19" s="37" t="n">
        <v>1.09572815533981</v>
      </c>
      <c r="C19" s="38" t="n">
        <f aca="false">FX!$B$3</f>
        <v>1.09572815533981</v>
      </c>
      <c r="D19" s="39" t="n">
        <f aca="false">C19-B19</f>
        <v>0</v>
      </c>
      <c r="E19" s="17" t="str">
        <f aca="false">IF(ABS(D19)&lt;0.00005,"PASS","FAIL")</f>
        <v>PASS</v>
      </c>
    </row>
    <row r="20" customFormat="false" ht="15" hidden="false" customHeight="false" outlineLevel="0" collapsed="false">
      <c r="A20" s="6" t="s">
        <v>130</v>
      </c>
      <c r="B20" s="8" t="n">
        <v>111111111.111111</v>
      </c>
      <c r="C20" s="28" t="n">
        <f aca="false">FX!$B$5</f>
        <v>111111111.111111</v>
      </c>
      <c r="D20" s="29" t="n">
        <f aca="false">C20-B20</f>
        <v>0</v>
      </c>
      <c r="E20" s="17" t="str">
        <f aca="false">IF(ABS(D20)&lt;0.005,"PASS","FAIL")</f>
        <v>PASS</v>
      </c>
    </row>
    <row r="21" customFormat="false" ht="15" hidden="false" customHeight="false" outlineLevel="0" collapsed="false">
      <c r="A21" s="6" t="s">
        <v>90</v>
      </c>
      <c r="B21" s="8" t="n">
        <v>109516214.779373</v>
      </c>
      <c r="C21" s="28" t="n">
        <f aca="false">FX!$B$6</f>
        <v>109516214.779373</v>
      </c>
      <c r="D21" s="29" t="n">
        <f aca="false">C21-B21</f>
        <v>0</v>
      </c>
      <c r="E21" s="17" t="str">
        <f aca="false">IF(ABS(D21)&lt;0.005,"PASS","FAIL")</f>
        <v>PASS</v>
      </c>
    </row>
    <row r="22" customFormat="false" ht="15" hidden="false" customHeight="false" outlineLevel="0" collapsed="false">
      <c r="A22" s="6" t="s">
        <v>85</v>
      </c>
      <c r="B22" s="8" t="n">
        <v>1594896.33173844</v>
      </c>
      <c r="C22" s="28" t="n">
        <f aca="false">FX!$B$7</f>
        <v>1594896.33173844</v>
      </c>
      <c r="D22" s="29" t="n">
        <f aca="false">C22-B22</f>
        <v>0</v>
      </c>
      <c r="E22" s="17" t="str">
        <f aca="false">IF(ABS(D22)&lt;0.005,"PASS","FAIL")</f>
        <v>PASS</v>
      </c>
    </row>
    <row r="23" customFormat="false" ht="15" hidden="false" customHeight="false" outlineLevel="0" collapsed="false">
      <c r="A23" s="6" t="s">
        <v>131</v>
      </c>
      <c r="B23" s="8" t="n">
        <v>-8130844.04415675</v>
      </c>
      <c r="C23" s="28" t="n">
        <f aca="false">FX!$D$12</f>
        <v>-8130844.04415675</v>
      </c>
      <c r="D23" s="29" t="n">
        <f aca="false">C23-B23</f>
        <v>0</v>
      </c>
      <c r="E23" s="17" t="str">
        <f aca="false">IF(ABS(D23)&lt;0.005,"PASS","FAIL")</f>
        <v>PASS</v>
      </c>
    </row>
    <row r="24" customFormat="false" ht="15" hidden="false" customHeight="false" outlineLevel="0" collapsed="false">
      <c r="A24" s="6" t="s">
        <v>132</v>
      </c>
      <c r="B24" s="8" t="n">
        <v>-1594896.33173844</v>
      </c>
      <c r="C24" s="28" t="n">
        <f aca="false">FX!$D$13</f>
        <v>-1594896.33173844</v>
      </c>
      <c r="D24" s="29" t="n">
        <f aca="false">C24-B24</f>
        <v>0</v>
      </c>
      <c r="E24" s="17" t="str">
        <f aca="false">IF(ABS(D24)&lt;0.005,"PASS","FAIL")</f>
        <v>PASS</v>
      </c>
    </row>
    <row r="25" customFormat="false" ht="15" hidden="false" customHeight="false" outlineLevel="0" collapsed="false">
      <c r="A25" s="6" t="s">
        <v>133</v>
      </c>
      <c r="B25" s="8" t="n">
        <v>6067938.9173037</v>
      </c>
      <c r="C25" s="28" t="n">
        <f aca="false">FX!$D$14</f>
        <v>6067938.9173037</v>
      </c>
      <c r="D25" s="29" t="n">
        <f aca="false">C25-B25</f>
        <v>0</v>
      </c>
      <c r="E25" s="17" t="str">
        <f aca="false">IF(ABS(D25)&lt;0.005,"PASS","FAIL")</f>
        <v>PASS</v>
      </c>
    </row>
    <row r="26" customFormat="false" ht="15" hidden="false" customHeight="false" outlineLevel="0" collapsed="false">
      <c r="A26" s="6" t="s">
        <v>134</v>
      </c>
      <c r="B26" s="8" t="n">
        <v>1019367.99184506</v>
      </c>
      <c r="C26" s="28" t="n">
        <f aca="false">FX!$B$16</f>
        <v>1019367.99184506</v>
      </c>
      <c r="D26" s="29" t="n">
        <f aca="false">C26-B26</f>
        <v>0</v>
      </c>
      <c r="E26" s="17" t="str">
        <f aca="false">IF(ABS(D26)&lt;0.005,"PASS","FAIL")</f>
        <v>PASS</v>
      </c>
    </row>
    <row r="27" customFormat="false" ht="15" hidden="false" customHeight="false" outlineLevel="0" collapsed="false">
      <c r="A27" s="6" t="s">
        <v>94</v>
      </c>
      <c r="B27" s="8" t="n">
        <v>9416195.85687383</v>
      </c>
      <c r="C27" s="28" t="n">
        <f aca="false">FX!$B$18</f>
        <v>9416195.85687383</v>
      </c>
      <c r="D27" s="29" t="n">
        <f aca="false">C27-B27</f>
        <v>0</v>
      </c>
      <c r="E27" s="17" t="str">
        <f aca="false">IF(ABS(D27)&lt;0.005,"PASS","FAIL")</f>
        <v>PASS</v>
      </c>
    </row>
    <row r="28" customFormat="false" ht="15" hidden="false" customHeight="false" outlineLevel="0" collapsed="false">
      <c r="A28" s="6" t="s">
        <v>135</v>
      </c>
      <c r="B28" s="8" t="n">
        <v>75000000</v>
      </c>
      <c r="C28" s="28" t="n">
        <f aca="false">FX!$B$21</f>
        <v>75000000</v>
      </c>
      <c r="D28" s="29" t="n">
        <f aca="false">C28-B28</f>
        <v>0</v>
      </c>
      <c r="E28" s="17" t="str">
        <f aca="false">IF(ABS(D28)&lt;0.005,"PASS","FAIL")</f>
        <v>PASS</v>
      </c>
    </row>
    <row r="29" customFormat="false" ht="15" hidden="false" customHeight="false" outlineLevel="0" collapsed="false">
      <c r="A29" s="6" t="s">
        <v>136</v>
      </c>
      <c r="B29" s="40" t="n">
        <v>26187500</v>
      </c>
      <c r="C29" s="41" t="n">
        <f aca="false">Swap!$B$29</f>
        <v>26187500</v>
      </c>
      <c r="D29" s="42" t="n">
        <f aca="false">C29-B29</f>
        <v>0</v>
      </c>
      <c r="E29" s="17" t="str">
        <f aca="false">IF(ABS(D29)&lt;0.5000000005,"PASS","FAIL")</f>
        <v>PASS</v>
      </c>
    </row>
    <row r="30" customFormat="false" ht="15" hidden="false" customHeight="false" outlineLevel="0" collapsed="false">
      <c r="A30" s="6" t="s">
        <v>137</v>
      </c>
      <c r="B30" s="40" t="n">
        <v>6000000</v>
      </c>
      <c r="C30" s="41" t="n">
        <f aca="false">Swap!$B$30</f>
        <v>6000000</v>
      </c>
      <c r="D30" s="42" t="n">
        <f aca="false">C30-B30</f>
        <v>0</v>
      </c>
      <c r="E30" s="17" t="str">
        <f aca="false">IF(ABS(D30)&lt;0.5000000005,"PASS","FAIL")</f>
        <v>PASS</v>
      </c>
    </row>
    <row r="31" customFormat="false" ht="15" hidden="false" customHeight="false" outlineLevel="0" collapsed="false">
      <c r="A31" s="6" t="s">
        <v>138</v>
      </c>
      <c r="B31" s="40" t="n">
        <v>2400000</v>
      </c>
      <c r="C31" s="41" t="n">
        <f aca="false">Swap!$B$31</f>
        <v>2400000</v>
      </c>
      <c r="D31" s="42" t="n">
        <f aca="false">C31-B31</f>
        <v>0</v>
      </c>
      <c r="E31" s="17" t="str">
        <f aca="false">IF(ABS(D31)&lt;0.5000000005,"PASS","FAIL")</f>
        <v>PASS</v>
      </c>
    </row>
    <row r="32" customFormat="false" ht="15" hidden="false" customHeight="false" outlineLevel="0" collapsed="false">
      <c r="A32" s="6" t="s">
        <v>139</v>
      </c>
      <c r="B32" s="40" t="n">
        <v>3000000</v>
      </c>
      <c r="C32" s="41" t="n">
        <f aca="false">Swap!$B$32</f>
        <v>3000000</v>
      </c>
      <c r="D32" s="42" t="n">
        <f aca="false">C32-B32</f>
        <v>0</v>
      </c>
      <c r="E32" s="17" t="str">
        <f aca="false">IF(ABS(D32)&lt;0.5000000005,"PASS","FAIL")</f>
        <v>PASS</v>
      </c>
    </row>
    <row r="33" customFormat="false" ht="15" hidden="false" customHeight="false" outlineLevel="0" collapsed="false">
      <c r="A33" s="6" t="s">
        <v>140</v>
      </c>
      <c r="B33" s="40" t="n">
        <v>1200000</v>
      </c>
      <c r="C33" s="41" t="n">
        <f aca="false">Swap!$B$33</f>
        <v>1200000</v>
      </c>
      <c r="D33" s="42" t="n">
        <f aca="false">C33-B33</f>
        <v>0</v>
      </c>
      <c r="E33" s="17" t="str">
        <f aca="false">IF(ABS(D33)&lt;0.5000000005,"PASS","FAIL")</f>
        <v>PASS</v>
      </c>
    </row>
    <row r="34" customFormat="false" ht="15" hidden="false" customHeight="false" outlineLevel="0" collapsed="false">
      <c r="A34" s="6" t="s">
        <v>141</v>
      </c>
      <c r="B34" s="40" t="n">
        <v>15812500</v>
      </c>
      <c r="C34" s="41" t="n">
        <f aca="false">Swap!$B$34</f>
        <v>15812500</v>
      </c>
      <c r="D34" s="42" t="n">
        <f aca="false">C34-B34</f>
        <v>0</v>
      </c>
      <c r="E34" s="17" t="str">
        <f aca="false">IF(ABS(D34)&lt;0.5000000005,"PASS","FAIL")</f>
        <v>PASS</v>
      </c>
    </row>
    <row r="35" customFormat="false" ht="15" hidden="false" customHeight="false" outlineLevel="0" collapsed="false">
      <c r="A35" s="6" t="s">
        <v>142</v>
      </c>
      <c r="B35" s="43" t="n">
        <v>5.2708</v>
      </c>
      <c r="C35" s="44" t="n">
        <f aca="false">Swap!$B$35</f>
        <v>5.27083333333333</v>
      </c>
      <c r="D35" s="42" t="n">
        <f aca="false">C35-B35</f>
        <v>3.33333333326635E-005</v>
      </c>
      <c r="E35" s="17" t="str">
        <f aca="false">IF(ABS(D35)&lt;0.00005000000005,"PASS","FAIL")</f>
        <v>PASS</v>
      </c>
    </row>
    <row r="36" customFormat="false" ht="15" hidden="false" customHeight="false" outlineLevel="0" collapsed="false">
      <c r="A36" s="6" t="s">
        <v>143</v>
      </c>
      <c r="B36" s="40" t="n">
        <v>15452500</v>
      </c>
      <c r="C36" s="41" t="n">
        <f aca="false">Swap!$B$36</f>
        <v>15452500</v>
      </c>
      <c r="D36" s="42" t="n">
        <f aca="false">C36-B36</f>
        <v>0</v>
      </c>
      <c r="E36" s="17" t="str">
        <f aca="false">IF(ABS(D36)&lt;0.5000000005,"PASS","FAIL")</f>
        <v>PASS</v>
      </c>
    </row>
    <row r="37" customFormat="false" ht="15" hidden="false" customHeight="false" outlineLevel="0" collapsed="false">
      <c r="A37" s="6" t="s">
        <v>142</v>
      </c>
      <c r="B37" s="43" t="n">
        <v>12.8771</v>
      </c>
      <c r="C37" s="44" t="n">
        <f aca="false">Swap!$B$37</f>
        <v>12.8770833333333</v>
      </c>
      <c r="D37" s="42" t="n">
        <f aca="false">C37-B37</f>
        <v>-1.66666666672199E-005</v>
      </c>
      <c r="E37" s="17" t="str">
        <f aca="false">IF(ABS(D37)&lt;0.00005000000005,"PASS","FAIL")</f>
        <v>PASS</v>
      </c>
    </row>
    <row r="38" customFormat="false" ht="15" hidden="false" customHeight="false" outlineLevel="0" collapsed="false">
      <c r="A38" s="6" t="s">
        <v>144</v>
      </c>
      <c r="B38" s="34" t="n">
        <v>0.218948</v>
      </c>
      <c r="C38" s="35" t="n">
        <f aca="false">Swap!$B$38</f>
        <v>0.218948385609702</v>
      </c>
      <c r="D38" s="42" t="n">
        <f aca="false">C38-B38</f>
        <v>3.85609701808454E-007</v>
      </c>
      <c r="E38" s="17" t="str">
        <f aca="false">IF(ABS(D38)&lt;0.0000005000000005,"PASS","FAIL")</f>
        <v>PASS</v>
      </c>
    </row>
    <row r="39" customFormat="false" ht="15" hidden="false" customHeight="false" outlineLevel="0" collapsed="false">
      <c r="A39" s="6" t="s">
        <v>145</v>
      </c>
      <c r="B39" s="34" t="n">
        <v>0.454545</v>
      </c>
      <c r="C39" s="35" t="n">
        <f aca="false">Swap!$B$39</f>
        <v>0.454545454545455</v>
      </c>
      <c r="D39" s="42" t="n">
        <f aca="false">C39-B39</f>
        <v>4.54545454553479E-007</v>
      </c>
      <c r="E39" s="17" t="str">
        <f aca="false">IF(ABS(D39)&lt;0.0000005000000005,"PASS","FAIL")</f>
        <v>PASS</v>
      </c>
    </row>
    <row r="40" customFormat="false" ht="15" hidden="false" customHeight="false" outlineLevel="0" collapsed="false">
      <c r="A40" s="6" t="s">
        <v>146</v>
      </c>
      <c r="B40" s="34" t="n">
        <v>0.218182</v>
      </c>
      <c r="C40" s="35" t="n">
        <f aca="false">Swap!$B$40</f>
        <v>0.218181818181818</v>
      </c>
      <c r="D40" s="42" t="n">
        <f aca="false">C40-B40</f>
        <v>-1.81818181843596E-007</v>
      </c>
      <c r="E40" s="17" t="str">
        <f aca="false">IF(ABS(D40)&lt;0.0000005000000005,"PASS","FAIL")</f>
        <v>PASS</v>
      </c>
    </row>
    <row r="41" customFormat="false" ht="15" hidden="false" customHeight="false" outlineLevel="0" collapsed="false">
      <c r="A41" s="6" t="s">
        <v>147</v>
      </c>
      <c r="B41" s="40" t="n">
        <v>600000</v>
      </c>
      <c r="C41" s="41" t="n">
        <f aca="false">Swap!$B$41</f>
        <v>600000.000000001</v>
      </c>
      <c r="D41" s="42" t="n">
        <f aca="false">C41-B41</f>
        <v>0</v>
      </c>
      <c r="E41" s="17" t="str">
        <f aca="false">IF(ABS(D41)&lt;0.5000000005,"PASS","FAIL")</f>
        <v>PASS</v>
      </c>
    </row>
    <row r="42" customFormat="false" ht="15" hidden="false" customHeight="false" outlineLevel="0" collapsed="false">
      <c r="A42" s="6" t="s">
        <v>148</v>
      </c>
      <c r="B42" s="40" t="n">
        <v>2412160</v>
      </c>
      <c r="C42" s="41" t="n">
        <f aca="false">Swap!$B$42</f>
        <v>2412160</v>
      </c>
      <c r="D42" s="42" t="n">
        <f aca="false">C42-B42</f>
        <v>0</v>
      </c>
      <c r="E42" s="17" t="str">
        <f aca="false">IF(ABS(D42)&lt;0.5000000005,"PASS","FAIL")</f>
        <v>PASS</v>
      </c>
    </row>
    <row r="43" customFormat="false" ht="15" hidden="false" customHeight="false" outlineLevel="0" collapsed="false">
      <c r="A43" s="6" t="s">
        <v>149</v>
      </c>
      <c r="B43" s="40" t="n">
        <v>12160</v>
      </c>
      <c r="C43" s="41" t="n">
        <f aca="false">Swap!$B$43</f>
        <v>12160</v>
      </c>
      <c r="D43" s="42" t="n">
        <f aca="false">C43-B43</f>
        <v>0</v>
      </c>
      <c r="E43" s="17" t="str">
        <f aca="false">IF(ABS(D43)&lt;0.5000000005,"PASS","FAIL")</f>
        <v>PASS</v>
      </c>
    </row>
    <row r="44" customFormat="false" ht="15" hidden="false" customHeight="false" outlineLevel="0" collapsed="false">
      <c r="A44" s="6" t="s">
        <v>78</v>
      </c>
      <c r="B44" s="9" t="n">
        <v>0.0495</v>
      </c>
      <c r="C44" s="45" t="n">
        <f aca="false">Swap!$B$44</f>
        <v>0.0495</v>
      </c>
      <c r="D44" s="42" t="n">
        <f aca="false">C44-B44</f>
        <v>0</v>
      </c>
      <c r="E44" s="17" t="str">
        <f aca="false">IF(ABS(D44)&lt;0.00005000000005,"PASS","FAIL")</f>
        <v>PASS</v>
      </c>
    </row>
    <row r="45" customFormat="false" ht="15" hidden="false" customHeight="false" outlineLevel="0" collapsed="false">
      <c r="A45" s="6" t="s">
        <v>150</v>
      </c>
      <c r="B45" s="9" t="n">
        <v>0.0675</v>
      </c>
      <c r="C45" s="45" t="n">
        <f aca="false">Swap!$B$45</f>
        <v>0.0675</v>
      </c>
      <c r="D45" s="42" t="n">
        <f aca="false">C45-B45</f>
        <v>0</v>
      </c>
      <c r="E45" s="17" t="str">
        <f aca="false">IF(ABS(D45)&lt;0.00005000000005,"PASS","FAIL")</f>
        <v>PASS</v>
      </c>
    </row>
    <row r="46" customFormat="false" ht="15" hidden="false" customHeight="false" outlineLevel="0" collapsed="false">
      <c r="A46" s="6" t="s">
        <v>151</v>
      </c>
      <c r="B46" s="40" t="n">
        <v>3600000</v>
      </c>
      <c r="C46" s="41" t="n">
        <f aca="false">Swap!$B$16</f>
        <v>3600000</v>
      </c>
      <c r="D46" s="42" t="n">
        <f aca="false">C46-B46</f>
        <v>0</v>
      </c>
      <c r="E46" s="17" t="str">
        <f aca="false">IF(ABS(D46)&lt;0.5000000005,"PASS","FAIL")</f>
        <v>PASS</v>
      </c>
    </row>
    <row r="47" customFormat="false" ht="15" hidden="false" customHeight="false" outlineLevel="0" collapsed="false">
      <c r="A47" s="6" t="s">
        <v>54</v>
      </c>
      <c r="B47" s="40" t="n">
        <v>42000000</v>
      </c>
      <c r="C47" s="41" t="n">
        <f aca="false">Swap!$B$18</f>
        <v>42000000</v>
      </c>
      <c r="D47" s="42" t="n">
        <f aca="false">C47-B47</f>
        <v>0</v>
      </c>
      <c r="E47" s="17" t="str">
        <f aca="false">IF(ABS(D47)&lt;0.5000000005,"PASS","FAIL")</f>
        <v>PASS</v>
      </c>
    </row>
    <row r="48" customFormat="false" ht="15" hidden="false" customHeight="false" outlineLevel="0" collapsed="false">
      <c r="A48" s="6" t="s">
        <v>152</v>
      </c>
      <c r="B48" s="46" t="n">
        <v>1.014563</v>
      </c>
      <c r="C48" s="47" t="n">
        <f aca="false">FX!$B$23</f>
        <v>1.01456310679612</v>
      </c>
      <c r="D48" s="42" t="n">
        <f aca="false">C48-B48</f>
        <v>1.06796116394747E-007</v>
      </c>
      <c r="E48" s="17" t="str">
        <f aca="false">IF(ABS(D48)&lt;0.0000005000000005,"PASS","FAIL")</f>
        <v>PASS</v>
      </c>
    </row>
    <row r="49" customFormat="false" ht="15" hidden="false" customHeight="false" outlineLevel="0" collapsed="false">
      <c r="A49" s="6" t="s">
        <v>82</v>
      </c>
      <c r="B49" s="46" t="n">
        <v>0.015728</v>
      </c>
      <c r="C49" s="47" t="n">
        <f aca="false">FX!$B$4</f>
        <v>0.0157281553398059</v>
      </c>
      <c r="D49" s="42" t="n">
        <f aca="false">C49-B49</f>
        <v>1.55339805872623E-007</v>
      </c>
      <c r="E49" s="17" t="str">
        <f aca="false">IF(ABS(D49)&lt;0.0000005000000005,"PASS","FAIL")</f>
        <v>PASS</v>
      </c>
    </row>
    <row r="50" customFormat="false" ht="15" hidden="false" customHeight="false" outlineLevel="0" collapsed="false">
      <c r="A50" s="6" t="s">
        <v>153</v>
      </c>
      <c r="B50" s="34" t="n">
        <v>0.014354</v>
      </c>
      <c r="C50" s="35" t="n">
        <f aca="false">FX!$B$8</f>
        <v>0.014354066985646</v>
      </c>
      <c r="D50" s="42" t="n">
        <f aca="false">C50-B50</f>
        <v>6.69856460074753E-008</v>
      </c>
      <c r="E50" s="17" t="str">
        <f aca="false">IF(ABS(D50)&lt;0.0000005000000005,"PASS","FAIL")</f>
        <v>PASS</v>
      </c>
    </row>
    <row r="51" customFormat="false" ht="15" hidden="false" customHeight="false" outlineLevel="0" collapsed="false">
      <c r="A51" s="6" t="s">
        <v>154</v>
      </c>
      <c r="B51" s="34" t="n">
        <v>0.661376</v>
      </c>
      <c r="C51" s="35" t="n">
        <f aca="false">FX!$B$9</f>
        <v>0.661375661375661</v>
      </c>
      <c r="D51" s="42" t="n">
        <f aca="false">C51-B51</f>
        <v>-3.38624338791504E-007</v>
      </c>
      <c r="E51" s="17" t="str">
        <f aca="false">IF(ABS(D51)&lt;0.0000005000000005,"PASS","FAIL")</f>
        <v>PASS</v>
      </c>
    </row>
    <row r="52" customFormat="false" ht="15" hidden="false" customHeight="false" outlineLevel="0" collapsed="false">
      <c r="A52" s="6" t="s">
        <v>155</v>
      </c>
      <c r="B52" s="8" t="n">
        <v>110091743.12</v>
      </c>
      <c r="C52" s="28" t="n">
        <f aca="false">FX!$B$24</f>
        <v>110091743.119266</v>
      </c>
      <c r="D52" s="42" t="n">
        <f aca="false">C52-B52</f>
        <v>-0.000733956694602966</v>
      </c>
      <c r="E52" s="17" t="str">
        <f aca="false">IF(ABS(D52)&lt;0.005000000005,"PASS","FAIL")</f>
        <v>PASS</v>
      </c>
    </row>
    <row r="53" customFormat="false" ht="15" hidden="false" customHeight="false" outlineLevel="0" collapsed="false">
      <c r="A53" s="6" t="s">
        <v>156</v>
      </c>
      <c r="B53" s="8" t="n">
        <v>101694915.25</v>
      </c>
      <c r="C53" s="28" t="n">
        <f aca="false">FX!$B$25</f>
        <v>101694915.254237</v>
      </c>
      <c r="D53" s="42" t="n">
        <f aca="false">C53-B53</f>
        <v>0.00423727929592133</v>
      </c>
      <c r="E53" s="17" t="str">
        <f aca="false">IF(ABS(D53)&lt;0.005000000005,"PASS","FAIL")</f>
        <v>PASS</v>
      </c>
    </row>
    <row r="54" customFormat="false" ht="15" hidden="false" customHeight="false" outlineLevel="0" collapsed="false">
      <c r="A54" s="6" t="s">
        <v>157</v>
      </c>
      <c r="B54" s="34" t="n">
        <v>0.006068</v>
      </c>
      <c r="C54" s="35" t="n">
        <f aca="false">FX!$B$17</f>
        <v>0.00606766661812534</v>
      </c>
      <c r="D54" s="42" t="n">
        <f aca="false">C54-B54</f>
        <v>-3.33381874663766E-007</v>
      </c>
      <c r="E54" s="17" t="str">
        <f aca="false">IF(ABS(D54)&lt;0.0000005000000005,"PASS","FAIL")</f>
        <v>PASS</v>
      </c>
    </row>
    <row r="55" customFormat="false" ht="15" hidden="false" customHeight="false" outlineLevel="0" collapsed="false">
      <c r="A55" s="6" t="s">
        <v>158</v>
      </c>
      <c r="B55" s="34" t="n">
        <v>0.056049</v>
      </c>
      <c r="C55" s="35" t="n">
        <f aca="false">FX!$B$19</f>
        <v>0.0560487848623442</v>
      </c>
      <c r="D55" s="42" t="n">
        <f aca="false">C55-B55</f>
        <v>-2.15137655787401E-007</v>
      </c>
      <c r="E55" s="17" t="str">
        <f aca="false">IF(ABS(D55)&lt;0.0000005000000005,"PASS","FAIL")</f>
        <v>PASS</v>
      </c>
    </row>
    <row r="56" customFormat="false" ht="15" hidden="false" customHeight="false" outlineLevel="0" collapsed="false">
      <c r="A56" s="6" t="s">
        <v>159</v>
      </c>
      <c r="B56" s="40" t="n">
        <v>30000000</v>
      </c>
      <c r="C56" s="41" t="n">
        <f aca="false">FX!$B$28</f>
        <v>30000000</v>
      </c>
      <c r="D56" s="42" t="n">
        <f aca="false">C56-B56</f>
        <v>0</v>
      </c>
      <c r="E56" s="17" t="str">
        <f aca="false">IF(ABS(D56)&lt;0.5000000005,"PASS","FAIL")</f>
        <v>PASS</v>
      </c>
    </row>
    <row r="57" customFormat="false" ht="15" hidden="false" customHeight="false" outlineLevel="0" collapsed="false">
      <c r="A57" s="6" t="s">
        <v>160</v>
      </c>
      <c r="B57" s="40" t="n">
        <v>22500000</v>
      </c>
      <c r="C57" s="41" t="n">
        <f aca="false">FX!$D$29</f>
        <v>22500000</v>
      </c>
      <c r="D57" s="42" t="n">
        <f aca="false">C57-B57</f>
        <v>0</v>
      </c>
      <c r="E57" s="17" t="str">
        <f aca="false">IF(ABS(D57)&lt;0.5000000005,"PASS","FAIL")</f>
        <v>PASS</v>
      </c>
    </row>
    <row r="58" customFormat="false" ht="15" hidden="false" customHeight="false" outlineLevel="0" collapsed="false">
      <c r="A58" s="6" t="s">
        <v>161</v>
      </c>
      <c r="B58" s="40" t="n">
        <v>15000000</v>
      </c>
      <c r="C58" s="41" t="n">
        <f aca="false">FX!$D$30</f>
        <v>15000000</v>
      </c>
      <c r="D58" s="42" t="n">
        <f aca="false">C58-B58</f>
        <v>0</v>
      </c>
      <c r="E58" s="17" t="str">
        <f aca="false">IF(ABS(D58)&lt;0.5000000005,"PASS","FAIL")</f>
        <v>PASS</v>
      </c>
    </row>
    <row r="59" customFormat="false" ht="15" hidden="false" customHeight="false" outlineLevel="0" collapsed="false">
      <c r="A59" s="6" t="s">
        <v>162</v>
      </c>
      <c r="B59" s="40" t="n">
        <v>7500000</v>
      </c>
      <c r="C59" s="41" t="n">
        <f aca="false">FX!$D$31</f>
        <v>7500000</v>
      </c>
      <c r="D59" s="42" t="n">
        <f aca="false">C59-B59</f>
        <v>0</v>
      </c>
      <c r="E59" s="17" t="str">
        <f aca="false">IF(ABS(D59)&lt;0.5000000005,"PASS","FAIL")</f>
        <v>PASS</v>
      </c>
    </row>
    <row r="60" customFormat="false" ht="15" hidden="false" customHeight="false" outlineLevel="0" collapsed="false">
      <c r="A60" s="6" t="s">
        <v>163</v>
      </c>
      <c r="B60" s="9" t="n">
        <v>0.625</v>
      </c>
      <c r="C60" s="45" t="n">
        <f aca="false">FX!$C$32</f>
        <v>0.625</v>
      </c>
      <c r="D60" s="42" t="n">
        <f aca="false">C60-B60</f>
        <v>0</v>
      </c>
      <c r="E60" s="17" t="str">
        <f aca="false">IF(ABS(D60)&lt;0.00005000000005,"PASS","FAIL")</f>
        <v>PASS</v>
      </c>
    </row>
    <row r="61" customFormat="false" ht="15" hidden="false" customHeight="false" outlineLevel="0" collapsed="false">
      <c r="A61" s="6" t="s">
        <v>164</v>
      </c>
      <c r="B61" s="40" t="n">
        <v>45000000</v>
      </c>
      <c r="C61" s="41" t="n">
        <f aca="false">FX!$B$33</f>
        <v>45000000</v>
      </c>
      <c r="D61" s="42" t="n">
        <f aca="false">C61-B61</f>
        <v>0</v>
      </c>
      <c r="E61" s="17" t="str">
        <f aca="false">IF(ABS(D61)&lt;0.5000000005,"PASS","FAIL")</f>
        <v>PASS</v>
      </c>
    </row>
    <row r="62" customFormat="false" ht="15" hidden="false" customHeight="false" outlineLevel="0" collapsed="false">
      <c r="A62" s="6" t="s">
        <v>165</v>
      </c>
      <c r="B62" s="8" t="n">
        <v>41666666.67</v>
      </c>
      <c r="C62" s="28" t="n">
        <f aca="false">FX!$B$34</f>
        <v>41666666.6666667</v>
      </c>
      <c r="D62" s="42" t="n">
        <f aca="false">C62-B62</f>
        <v>-0.00333333760499954</v>
      </c>
      <c r="E62" s="17" t="str">
        <f aca="false">IF(ABS(D62)&lt;0.005000000005,"PASS","FAIL")</f>
        <v>PASS</v>
      </c>
    </row>
    <row r="63" customFormat="false" ht="15" hidden="false" customHeight="false" outlineLevel="0" collapsed="false">
      <c r="A63" s="6" t="s">
        <v>166</v>
      </c>
      <c r="B63" s="8" t="n">
        <v>41284403.67</v>
      </c>
      <c r="C63" s="28" t="n">
        <f aca="false">FX!$B$35</f>
        <v>41284403.6697248</v>
      </c>
      <c r="D63" s="42" t="n">
        <f aca="false">C63-B63</f>
        <v>-0.000275231897830963</v>
      </c>
      <c r="E63" s="17" t="str">
        <f aca="false">IF(ABS(D63)&lt;0.005000000005,"PASS","FAIL")</f>
        <v>PASS</v>
      </c>
    </row>
    <row r="64" customFormat="false" ht="15" hidden="false" customHeight="false" outlineLevel="0" collapsed="false">
      <c r="A64" s="6" t="s">
        <v>167</v>
      </c>
      <c r="B64" s="8" t="n">
        <v>382263</v>
      </c>
      <c r="C64" s="28" t="n">
        <f aca="false">FX!$B$36</f>
        <v>382262.996941894</v>
      </c>
      <c r="D64" s="42" t="n">
        <f aca="false">C64-B64</f>
        <v>-0.00305810570716858</v>
      </c>
      <c r="E64" s="17" t="str">
        <f aca="false">IF(ABS(D64)&lt;0.005000000005,"PASS","FAIL")</f>
        <v>PASS</v>
      </c>
    </row>
    <row r="66" customFormat="false" ht="15" hidden="false" customHeight="false" outlineLevel="0" collapsed="false">
      <c r="A66" s="17" t="s">
        <v>168</v>
      </c>
      <c r="E66" s="17" t="str">
        <f aca="false">IF(COUNTIF(E5:E64,"FAIL")=0,"PASS","FAIL")</f>
        <v>PASS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2026-09-04T00:26:15Z</dcterms:created>
  <dc:creator>openpyxl</dc:creator>
  <dc:description/>
  <dc:language>en-US</dc:language>
  <cp:lastModifiedBy/>
  <dcterms:modified xsi:type="dcterms:W3CDTF">2026-09-24T01:44:21Z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