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puts" sheetId="1" state="visible" r:id="rId3"/>
    <sheet name="Balances" sheetId="2" state="visible" r:id="rId4"/>
    <sheet name="Map" sheetId="3" state="visible" r:id="rId5"/>
    <sheet name="NetDebt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<sst xmlns="http://schemas.openxmlformats.org/spreadsheetml/2006/main" count="190" uniqueCount="163">
  <si>
    <t xml:space="preserve">Bramwell — The Five Balances</t>
  </si>
  <si>
    <t xml:space="preserve">Companion to Treasury Management, Chapters 1, 3 and 12. Inputs in blue.</t>
  </si>
  <si>
    <t xml:space="preserve">How to read this workbook</t>
  </si>
  <si>
    <t xml:space="preserve">Blue figures are inputs; change them and everything recomputes.</t>
  </si>
  <si>
    <t xml:space="preserve">Black figures are formulas. Green figures on the Checks sheet are links.</t>
  </si>
  <si>
    <t xml:space="preserve">Yellow cells are the assumptions that decide the answer.</t>
  </si>
  <si>
    <t xml:space="preserve">Amounts are in the reporting currency, without a symbol. Ratios carry an x.</t>
  </si>
  <si>
    <t xml:space="preserve">The company</t>
  </si>
  <si>
    <t xml:space="preserve">Revenue</t>
  </si>
  <si>
    <t xml:space="preserve">EBITDA</t>
  </si>
  <si>
    <t xml:space="preserve">Capital expenditure</t>
  </si>
  <si>
    <t xml:space="preserve">Cash tax</t>
  </si>
  <si>
    <t xml:space="preserve">Business days in the year</t>
  </si>
  <si>
    <t xml:space="preserve">Cash, as the accounts present it, by location</t>
  </si>
  <si>
    <t xml:space="preserve">Eurozone entities</t>
  </si>
  <si>
    <t xml:space="preserve">United Kingdom</t>
  </si>
  <si>
    <t xml:space="preserve">United States</t>
  </si>
  <si>
    <t xml:space="preserve">Poland (joint venture, 50 per cent)</t>
  </si>
  <si>
    <t xml:space="preserve">Brazil</t>
  </si>
  <si>
    <t xml:space="preserve">China</t>
  </si>
  <si>
    <t xml:space="preserve">India</t>
  </si>
  <si>
    <t xml:space="preserve">Restricted cash (collateral for guarantees, escrow)</t>
  </si>
  <si>
    <t xml:space="preserve">Trapped cash — cannot reach the concentration account within five business days without a cost or a consent</t>
  </si>
  <si>
    <t xml:space="preserve">linked to the country lines above: one input, not two</t>
  </si>
  <si>
    <t xml:space="preserve">Poland — the partner's half</t>
  </si>
  <si>
    <t xml:space="preserve">Operating float, business days of disbursements (policy)</t>
  </si>
  <si>
    <t xml:space="preserve">Six is a policy choice; the Balances sheet shows four and eight</t>
  </si>
  <si>
    <t xml:space="preserve">Cleared on the concentration account this morning</t>
  </si>
  <si>
    <t xml:space="preserve">Debt and covenant</t>
  </si>
  <si>
    <t xml:space="preserve">Term loan</t>
  </si>
  <si>
    <t xml:space="preserve">Bonds</t>
  </si>
  <si>
    <t xml:space="preserve">Net leverage covenant</t>
  </si>
  <si>
    <t xml:space="preserve">The partner's half of the Polish venture (inside trapped cash)</t>
  </si>
  <si>
    <t xml:space="preserve">Added: the gross eurozone position, the noon payment, the outside analyst</t>
  </si>
  <si>
    <t xml:space="preserve">Eurozone credit balances</t>
  </si>
  <si>
    <t xml:space="preserve">Eurozone overdrafts (positive)</t>
  </si>
  <si>
    <t xml:space="preserve">The treasury payment due at noon (Chapter 1)</t>
  </si>
  <si>
    <t xml:space="preserve">Haircut an outside analyst applies outside the home market (illustration)</t>
  </si>
  <si>
    <t xml:space="preserve">The five readings of cash</t>
  </si>
  <si>
    <t xml:space="preserve">Same company, same morning. Each reading takes one more thing out.</t>
  </si>
  <si>
    <t xml:space="preserve">1. Reported cash (the accounts' cash and cash equivalents)</t>
  </si>
  <si>
    <t xml:space="preserve">2. Unrestricted cash</t>
  </si>
  <si>
    <t xml:space="preserve">Trapped cash, total</t>
  </si>
  <si>
    <t xml:space="preserve">3. Accessible cash (the facility's definition)</t>
  </si>
  <si>
    <t xml:space="preserve">Annual cash disbursements (revenue - EBITDA + capex + cash tax)</t>
  </si>
  <si>
    <t xml:space="preserve">Disbursements per business day</t>
  </si>
  <si>
    <t xml:space="preserve">Operating float</t>
  </si>
  <si>
    <t xml:space="preserve">4. Available cash</t>
  </si>
  <si>
    <t xml:space="preserve">5. Same-day cash</t>
  </si>
  <si>
    <t xml:space="preserve">Spread, reading 1 to reading 5</t>
  </si>
  <si>
    <t xml:space="preserve">Spread as a share of the reported figure</t>
  </si>
  <si>
    <t xml:space="preserve">Between reading 4 and reading 5: not yet transferred</t>
  </si>
  <si>
    <t xml:space="preserve">The float, sensitised</t>
  </si>
  <si>
    <t xml:space="preserve">Business days of float</t>
  </si>
  <si>
    <t xml:space="preserve">Available cash</t>
  </si>
  <si>
    <t xml:space="preserve">The joint venture, if the partner's consent were needed for the whole 12,000,000</t>
  </si>
  <si>
    <t xml:space="preserve">Accessible cash with the whole venture trapped</t>
  </si>
  <si>
    <t xml:space="preserve">Two days of float: the step between four, six and eight</t>
  </si>
  <si>
    <t xml:space="preserve">Where the cash actually is</t>
  </si>
  <si>
    <t xml:space="preserve">Chapters 1, 3 and 11. The country table, the gross behind the eurozone net, and the cash no pool reaches.</t>
  </si>
  <si>
    <t xml:space="preserve">Where</t>
  </si>
  <si>
    <t xml:space="preserve">Cash, as the accounts present it</t>
  </si>
  <si>
    <t xml:space="preserve">Share of reported cash</t>
  </si>
  <si>
    <t xml:space="preserve">Under the facility's definition</t>
  </si>
  <si>
    <t xml:space="preserve">accessible</t>
  </si>
  <si>
    <t xml:space="preserve">Poland (joint venture, 50%)</t>
  </si>
  <si>
    <t xml:space="preserve">half accessible</t>
  </si>
  <si>
    <t xml:space="preserve">trapped</t>
  </si>
  <si>
    <t xml:space="preserve">Reported cash</t>
  </si>
  <si>
    <t xml:space="preserve">Brazil, China and India together</t>
  </si>
  <si>
    <t xml:space="preserve">Trapped cash, with the partner's half of Poland</t>
  </si>
  <si>
    <t xml:space="preserve">Restricted cash</t>
  </si>
  <si>
    <t xml:space="preserve">Reported less accessible: the gap a lender finds</t>
  </si>
  <si>
    <t xml:space="preserve">The gross behind the eurozone net</t>
  </si>
  <si>
    <t xml:space="preserve">Credit balances</t>
  </si>
  <si>
    <t xml:space="preserve">Overdrafts</t>
  </si>
  <si>
    <t xml:space="preserve">Net, as the country table shows it</t>
  </si>
  <si>
    <t xml:space="preserve">Overdrafts as a share of the net they hide inside</t>
  </si>
  <si>
    <t xml:space="preserve">Cash on the face of the balance sheet (overdrafts gross)</t>
  </si>
  <si>
    <t xml:space="preserve">Current borrowings, overdrafts included</t>
  </si>
  <si>
    <t xml:space="preserve">If the partner's consent were needed for any distribution (Chapter 3)</t>
  </si>
  <si>
    <t xml:space="preserve">Trapped cash</t>
  </si>
  <si>
    <t xml:space="preserve">Accessible cash</t>
  </si>
  <si>
    <t xml:space="preserve">Covenant net debt</t>
  </si>
  <si>
    <t xml:space="preserve">Leverage</t>
  </si>
  <si>
    <t xml:space="preserve">Outside any pool (Chapter 11)</t>
  </si>
  <si>
    <t xml:space="preserve">The three trapped countries and the whole joint venture</t>
  </si>
  <si>
    <t xml:space="preserve">... as a share of reported cash</t>
  </si>
  <si>
    <t xml:space="preserve">The noon payment (Chapter 1)</t>
  </si>
  <si>
    <t xml:space="preserve">Treasury payment from the concentration account</t>
  </si>
  <si>
    <t xml:space="preserve">Left on the concentration account for the afternoon</t>
  </si>
  <si>
    <t xml:space="preserve">Net debt, three ways</t>
  </si>
  <si>
    <t xml:space="preserve">Same gross debt, same EBITDA, same day. Only the cash netted changes.</t>
  </si>
  <si>
    <t xml:space="preserve">Gross debt (term loan + bonds)</t>
  </si>
  <si>
    <t xml:space="preserve">Cash netted</t>
  </si>
  <si>
    <t xml:space="preserve">Net debt</t>
  </si>
  <si>
    <t xml:space="preserve">Headroom under the covenant (turns)</t>
  </si>
  <si>
    <t xml:space="preserve">Reported cash (the board deck)</t>
  </si>
  <si>
    <t xml:space="preserve">Accessible cash (the facility agreement)</t>
  </si>
  <si>
    <t xml:space="preserve">Available cash (the treasurer)</t>
  </si>
  <si>
    <t xml:space="preserve">Board to treasurer, in turns</t>
  </si>
  <si>
    <t xml:space="preserve">The cash definition alone, in turns</t>
  </si>
  <si>
    <t xml:space="preserve">Leverage if the whole venture were trapped</t>
  </si>
  <si>
    <t xml:space="preserve">Where the outside analyst lands (Chapter 12)</t>
  </si>
  <si>
    <t xml:space="preserve">Strikes out only the restricted cash</t>
  </si>
  <si>
    <t xml:space="preserve">Strikes out restricted cash and the three exchange-control countries</t>
  </si>
  <si>
    <t xml:space="preserve">Strikes out restricted cash and haircuts every balance outside the home market</t>
  </si>
  <si>
    <t xml:space="preserve">The operating float, in turns (the treasurer's reading less the facility's)</t>
  </si>
  <si>
    <t xml:space="preserve">Balances outside the home market (all but the eurozone)</t>
  </si>
  <si>
    <t xml:space="preserve">Checks — the printed figure beside the computed one</t>
  </si>
  <si>
    <t xml:space="preserve">Blue = the figure as printed in the book. Computed = the live formula. If a check reads FAIL, the workbook is wrong, not the book.</t>
  </si>
  <si>
    <t xml:space="preserve">Figure</t>
  </si>
  <si>
    <t xml:space="preserve">Printed in the book</t>
  </si>
  <si>
    <t xml:space="preserve">Computed here</t>
  </si>
  <si>
    <t xml:space="preserve">Difference</t>
  </si>
  <si>
    <t xml:space="preserve">Status</t>
  </si>
  <si>
    <t xml:space="preserve">Unrestricted cash</t>
  </si>
  <si>
    <t xml:space="preserve">Operating float, six days</t>
  </si>
  <si>
    <t xml:space="preserve">Spread as a share of reported cash</t>
  </si>
  <si>
    <t xml:space="preserve">Net debt on reported cash</t>
  </si>
  <si>
    <t xml:space="preserve">Leverage on reported cash</t>
  </si>
  <si>
    <t xml:space="preserve">Net debt on accessible cash</t>
  </si>
  <si>
    <t xml:space="preserve">Leverage on accessible cash</t>
  </si>
  <si>
    <t xml:space="preserve">Headroom on accessible cash (turns)</t>
  </si>
  <si>
    <t xml:space="preserve">Net debt on available cash</t>
  </si>
  <si>
    <t xml:space="preserve">Leverage on available cash</t>
  </si>
  <si>
    <t xml:space="preserve">Board to treasurer, turns</t>
  </si>
  <si>
    <t xml:space="preserve">The cash definition alone, turns</t>
  </si>
  <si>
    <t xml:space="preserve">Not yet transferred (reading 4 less reading 5)</t>
  </si>
  <si>
    <t xml:space="preserve">Float at four days</t>
  </si>
  <si>
    <t xml:space="preserve">Available cash at four days</t>
  </si>
  <si>
    <t xml:space="preserve">Float at eight days</t>
  </si>
  <si>
    <t xml:space="preserve">Available cash at eight days</t>
  </si>
  <si>
    <t xml:space="preserve">Two days of float</t>
  </si>
  <si>
    <t xml:space="preserve">Eurozone share of reported cash</t>
  </si>
  <si>
    <t xml:space="preserve">United Kingdom share</t>
  </si>
  <si>
    <t xml:space="preserve">United States share</t>
  </si>
  <si>
    <t xml:space="preserve">Poland share</t>
  </si>
  <si>
    <t xml:space="preserve">Brazil share</t>
  </si>
  <si>
    <t xml:space="preserve">China share</t>
  </si>
  <si>
    <t xml:space="preserve">India share</t>
  </si>
  <si>
    <t xml:space="preserve">Brazil, China and India</t>
  </si>
  <si>
    <t xml:space="preserve">... share</t>
  </si>
  <si>
    <t xml:space="preserve">Trapped share of reported cash</t>
  </si>
  <si>
    <t xml:space="preserve">Restricted share</t>
  </si>
  <si>
    <t xml:space="preserve">Reported less accessible</t>
  </si>
  <si>
    <t xml:space="preserve">Overdrafts as a share of the eurozone net</t>
  </si>
  <si>
    <t xml:space="preserve">Cash on the face of the balance sheet</t>
  </si>
  <si>
    <t xml:space="preserve">Current borrowings</t>
  </si>
  <si>
    <t xml:space="preserve">Trapped, if the partner must consent</t>
  </si>
  <si>
    <t xml:space="preserve">Accessible, if the partner must consent</t>
  </si>
  <si>
    <t xml:space="preserve">Covenant net debt, if the partner must consent</t>
  </si>
  <si>
    <t xml:space="preserve">Outside any pool</t>
  </si>
  <si>
    <t xml:space="preserve">... share of reported cash</t>
  </si>
  <si>
    <t xml:space="preserve">Left on the concentration account after the noon payment</t>
  </si>
  <si>
    <t xml:space="preserve">Analyst, restricted only: net debt</t>
  </si>
  <si>
    <t xml:space="preserve">... leverage</t>
  </si>
  <si>
    <t xml:space="preserve">Analyst, restricted and three countries: cash</t>
  </si>
  <si>
    <t xml:space="preserve">... net debt</t>
  </si>
  <si>
    <t xml:space="preserve">Analyst with a half haircut: cash</t>
  </si>
  <si>
    <t xml:space="preserve">Outside the home market</t>
  </si>
  <si>
    <t xml:space="preserve">The float in turns</t>
  </si>
  <si>
    <t xml:space="preserve">All checks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</si>
</sst>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;[RED]\-#,##0.00"/>
    <numFmt numFmtId="166" formatCode="#,##0;[RED]\-#,##0"/>
    <numFmt numFmtId="167" formatCode="0.0000\x"/>
    <numFmt numFmtId="168" formatCode="0%"/>
    <numFmt numFmtId="169" formatCode="0.0000%"/>
    <numFmt numFmtId="170" formatCode="0.0000"/>
    <numFmt numFmtId="171" formatCode="0.00E+00"/>
    <numFmt numFmtId="172" formatCode="0.00%"/>
    <numFmt numFmtId="173" formatCode="#,##0.0000;[RED]\-#,##0.0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sz val="9"/>
      <color rgb="FF6B72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9"/>
      <name val="Arial"/>
      <family val="0"/>
      <charset val="1"/>
    </font>
    <font>
      <sz val="10"/>
      <color rgb="FF008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4"/>
      <c r="E4" s="4"/>
      <c r="F4" s="4"/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6" t="s">
        <v>4</v>
      </c>
    </row>
    <row r="7" customFormat="false" ht="15" hidden="false" customHeight="false" outlineLevel="0" collapsed="false">
      <c r="A7" s="7" t="s">
        <v>5</v>
      </c>
    </row>
    <row r="8" customFormat="false" ht="15" hidden="false" customHeight="false" outlineLevel="0" collapsed="false">
      <c r="A8" s="6" t="s">
        <v>6</v>
      </c>
    </row>
    <row r="10" customFormat="false" ht="15" hidden="false" customHeight="false" outlineLevel="0" collapsed="false">
      <c r="A10" s="3" t="s">
        <v>7</v>
      </c>
      <c r="B10" s="4"/>
      <c r="C10" s="4"/>
      <c r="D10" s="4"/>
      <c r="E10" s="4"/>
      <c r="F10" s="4"/>
    </row>
    <row r="11" customFormat="false" ht="15" hidden="false" customHeight="false" outlineLevel="0" collapsed="false">
      <c r="A11" s="6" t="s">
        <v>8</v>
      </c>
      <c r="B11" s="8" t="n">
        <v>1400000000</v>
      </c>
    </row>
    <row r="12" customFormat="false" ht="15" hidden="false" customHeight="false" outlineLevel="0" collapsed="false">
      <c r="A12" s="6" t="s">
        <v>9</v>
      </c>
      <c r="B12" s="8" t="n">
        <v>168000000</v>
      </c>
    </row>
    <row r="13" customFormat="false" ht="15" hidden="false" customHeight="false" outlineLevel="0" collapsed="false">
      <c r="A13" s="6" t="s">
        <v>10</v>
      </c>
      <c r="B13" s="8" t="n">
        <v>56000000</v>
      </c>
    </row>
    <row r="14" customFormat="false" ht="15" hidden="false" customHeight="false" outlineLevel="0" collapsed="false">
      <c r="A14" s="6" t="s">
        <v>11</v>
      </c>
      <c r="B14" s="8" t="n">
        <v>20000000</v>
      </c>
    </row>
    <row r="15" customFormat="false" ht="15" hidden="false" customHeight="false" outlineLevel="0" collapsed="false">
      <c r="A15" s="6" t="s">
        <v>12</v>
      </c>
      <c r="B15" s="9" t="n">
        <v>250</v>
      </c>
    </row>
    <row r="17" customFormat="false" ht="15" hidden="false" customHeight="false" outlineLevel="0" collapsed="false">
      <c r="A17" s="3" t="s">
        <v>13</v>
      </c>
      <c r="B17" s="4"/>
      <c r="C17" s="4"/>
      <c r="D17" s="4"/>
      <c r="E17" s="4"/>
      <c r="F17" s="4"/>
    </row>
    <row r="18" customFormat="false" ht="15" hidden="false" customHeight="false" outlineLevel="0" collapsed="false">
      <c r="A18" s="6" t="s">
        <v>14</v>
      </c>
      <c r="B18" s="8" t="n">
        <v>96000000</v>
      </c>
    </row>
    <row r="19" customFormat="false" ht="15" hidden="false" customHeight="false" outlineLevel="0" collapsed="false">
      <c r="A19" s="6" t="s">
        <v>15</v>
      </c>
      <c r="B19" s="8" t="n">
        <v>18000000</v>
      </c>
    </row>
    <row r="20" customFormat="false" ht="15" hidden="false" customHeight="false" outlineLevel="0" collapsed="false">
      <c r="A20" s="6" t="s">
        <v>16</v>
      </c>
      <c r="B20" s="8" t="n">
        <v>41000000</v>
      </c>
    </row>
    <row r="21" customFormat="false" ht="15" hidden="false" customHeight="false" outlineLevel="0" collapsed="false">
      <c r="A21" s="6" t="s">
        <v>17</v>
      </c>
      <c r="B21" s="8" t="n">
        <v>12000000</v>
      </c>
    </row>
    <row r="22" customFormat="false" ht="15" hidden="false" customHeight="false" outlineLevel="0" collapsed="false">
      <c r="A22" s="6" t="s">
        <v>18</v>
      </c>
      <c r="B22" s="8" t="n">
        <v>24000000</v>
      </c>
    </row>
    <row r="23" customFormat="false" ht="15" hidden="false" customHeight="false" outlineLevel="0" collapsed="false">
      <c r="A23" s="6" t="s">
        <v>19</v>
      </c>
      <c r="B23" s="8" t="n">
        <v>19000000</v>
      </c>
    </row>
    <row r="24" customFormat="false" ht="15" hidden="false" customHeight="false" outlineLevel="0" collapsed="false">
      <c r="A24" s="6" t="s">
        <v>20</v>
      </c>
      <c r="B24" s="8" t="n">
        <v>4000000</v>
      </c>
    </row>
    <row r="25" customFormat="false" ht="15" hidden="false" customHeight="false" outlineLevel="0" collapsed="false">
      <c r="A25" s="6" t="s">
        <v>21</v>
      </c>
      <c r="B25" s="8" t="n">
        <v>9000000</v>
      </c>
    </row>
    <row r="26" customFormat="false" ht="15" hidden="false" customHeight="false" outlineLevel="0" collapsed="false">
      <c r="A26" s="3" t="s">
        <v>22</v>
      </c>
      <c r="B26" s="4"/>
      <c r="C26" s="4"/>
      <c r="D26" s="4"/>
      <c r="E26" s="4"/>
      <c r="F26" s="4"/>
    </row>
    <row r="27" customFormat="false" ht="15" hidden="false" customHeight="false" outlineLevel="0" collapsed="false">
      <c r="A27" s="6" t="s">
        <v>18</v>
      </c>
      <c r="B27" s="10" t="n">
        <f aca="false">B22</f>
        <v>24000000</v>
      </c>
      <c r="C27" s="11" t="s">
        <v>23</v>
      </c>
    </row>
    <row r="28" customFormat="false" ht="15" hidden="false" customHeight="false" outlineLevel="0" collapsed="false">
      <c r="A28" s="6" t="s">
        <v>19</v>
      </c>
      <c r="B28" s="10" t="n">
        <f aca="false">B23</f>
        <v>19000000</v>
      </c>
    </row>
    <row r="29" customFormat="false" ht="15" hidden="false" customHeight="false" outlineLevel="0" collapsed="false">
      <c r="A29" s="6" t="s">
        <v>20</v>
      </c>
      <c r="B29" s="10" t="n">
        <f aca="false">B24</f>
        <v>4000000</v>
      </c>
    </row>
    <row r="30" customFormat="false" ht="15" hidden="false" customHeight="false" outlineLevel="0" collapsed="false">
      <c r="A30" s="6" t="s">
        <v>24</v>
      </c>
      <c r="B30" s="8" t="n">
        <v>6000000</v>
      </c>
    </row>
    <row r="31" customFormat="false" ht="15" hidden="false" customHeight="false" outlineLevel="0" collapsed="false">
      <c r="A31" s="6" t="s">
        <v>25</v>
      </c>
      <c r="B31" s="12" t="n">
        <v>6</v>
      </c>
      <c r="C31" s="13" t="s">
        <v>26</v>
      </c>
    </row>
    <row r="32" customFormat="false" ht="15" hidden="false" customHeight="false" outlineLevel="0" collapsed="false">
      <c r="A32" s="6" t="s">
        <v>27</v>
      </c>
      <c r="B32" s="8" t="n">
        <v>68400000</v>
      </c>
    </row>
    <row r="34" customFormat="false" ht="15" hidden="false" customHeight="false" outlineLevel="0" collapsed="false">
      <c r="A34" s="3" t="s">
        <v>28</v>
      </c>
      <c r="B34" s="4"/>
      <c r="C34" s="4"/>
      <c r="D34" s="4"/>
      <c r="E34" s="4"/>
      <c r="F34" s="4"/>
    </row>
    <row r="35" customFormat="false" ht="15" hidden="false" customHeight="false" outlineLevel="0" collapsed="false">
      <c r="A35" s="6" t="s">
        <v>29</v>
      </c>
      <c r="B35" s="8" t="n">
        <v>300000000</v>
      </c>
    </row>
    <row r="36" customFormat="false" ht="15" hidden="false" customHeight="false" outlineLevel="0" collapsed="false">
      <c r="A36" s="6" t="s">
        <v>30</v>
      </c>
      <c r="B36" s="8" t="n">
        <v>250000000</v>
      </c>
    </row>
    <row r="37" customFormat="false" ht="15" hidden="false" customHeight="false" outlineLevel="0" collapsed="false">
      <c r="A37" s="6" t="s">
        <v>31</v>
      </c>
      <c r="B37" s="14" t="n">
        <v>3</v>
      </c>
    </row>
    <row r="38" customFormat="false" ht="15" hidden="false" customHeight="false" outlineLevel="0" collapsed="false">
      <c r="A38" s="6" t="s">
        <v>32</v>
      </c>
      <c r="B38" s="10" t="n">
        <f aca="false">B30</f>
        <v>6000000</v>
      </c>
    </row>
    <row r="40" customFormat="false" ht="23.85" hidden="false" customHeight="false" outlineLevel="0" collapsed="false">
      <c r="A40" s="15" t="s">
        <v>33</v>
      </c>
    </row>
    <row r="41" customFormat="false" ht="15" hidden="false" customHeight="false" outlineLevel="0" collapsed="false">
      <c r="A41" s="6" t="s">
        <v>34</v>
      </c>
      <c r="B41" s="8" t="n">
        <v>131000000</v>
      </c>
    </row>
    <row r="42" customFormat="false" ht="15" hidden="false" customHeight="false" outlineLevel="0" collapsed="false">
      <c r="A42" s="6" t="s">
        <v>35</v>
      </c>
      <c r="B42" s="8" t="n">
        <v>35000000</v>
      </c>
    </row>
    <row r="43" customFormat="false" ht="15" hidden="false" customHeight="false" outlineLevel="0" collapsed="false">
      <c r="A43" s="6" t="s">
        <v>36</v>
      </c>
      <c r="B43" s="8" t="n">
        <v>40000000</v>
      </c>
    </row>
    <row r="44" customFormat="false" ht="15" hidden="false" customHeight="false" outlineLevel="0" collapsed="false">
      <c r="A44" s="6" t="s">
        <v>37</v>
      </c>
      <c r="B44" s="16" t="n">
        <v>0.5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39</v>
      </c>
    </row>
    <row r="4" customFormat="false" ht="15" hidden="false" customHeight="false" outlineLevel="0" collapsed="false">
      <c r="A4" s="17" t="s">
        <v>40</v>
      </c>
      <c r="B4" s="18" t="n">
        <f aca="false">SUM(Inputs!$B$18,Inputs!$B$19,Inputs!$B$20,Inputs!$B$21,Inputs!$B$22,Inputs!$B$23,Inputs!$B$24)</f>
        <v>214000000</v>
      </c>
    </row>
    <row r="5" customFormat="false" ht="15" hidden="false" customHeight="false" outlineLevel="0" collapsed="false">
      <c r="A5" s="17" t="s">
        <v>41</v>
      </c>
      <c r="B5" s="18" t="n">
        <f aca="false">$B$4-Inputs!$B$25</f>
        <v>205000000</v>
      </c>
    </row>
    <row r="6" customFormat="false" ht="15" hidden="false" customHeight="false" outlineLevel="0" collapsed="false">
      <c r="A6" s="6" t="s">
        <v>42</v>
      </c>
      <c r="B6" s="10" t="n">
        <f aca="false">SUM(Inputs!$B$27,Inputs!$B$28,Inputs!$B$29,Inputs!$B$30)</f>
        <v>53000000</v>
      </c>
    </row>
    <row r="7" customFormat="false" ht="15" hidden="false" customHeight="false" outlineLevel="0" collapsed="false">
      <c r="A7" s="17" t="s">
        <v>43</v>
      </c>
      <c r="B7" s="18" t="n">
        <f aca="false">$B$5-$B$6</f>
        <v>152000000</v>
      </c>
    </row>
    <row r="8" customFormat="false" ht="15" hidden="false" customHeight="false" outlineLevel="0" collapsed="false">
      <c r="A8" s="6" t="s">
        <v>44</v>
      </c>
      <c r="B8" s="10" t="n">
        <f aca="false">Inputs!$B$11-Inputs!$B$12+Inputs!$B$13+Inputs!$B$14</f>
        <v>1308000000</v>
      </c>
    </row>
    <row r="9" customFormat="false" ht="15" hidden="false" customHeight="false" outlineLevel="0" collapsed="false">
      <c r="A9" s="6" t="s">
        <v>45</v>
      </c>
      <c r="B9" s="10" t="n">
        <f aca="false">$B$8/Inputs!$B$15</f>
        <v>5232000</v>
      </c>
    </row>
    <row r="10" customFormat="false" ht="15" hidden="false" customHeight="false" outlineLevel="0" collapsed="false">
      <c r="A10" s="6" t="s">
        <v>46</v>
      </c>
      <c r="B10" s="10" t="n">
        <f aca="false">Inputs!$B$31*$B$9</f>
        <v>31392000</v>
      </c>
    </row>
    <row r="11" customFormat="false" ht="15" hidden="false" customHeight="false" outlineLevel="0" collapsed="false">
      <c r="A11" s="17" t="s">
        <v>47</v>
      </c>
      <c r="B11" s="18" t="n">
        <f aca="false">$B$7-$B$10</f>
        <v>120608000</v>
      </c>
    </row>
    <row r="12" customFormat="false" ht="15" hidden="false" customHeight="false" outlineLevel="0" collapsed="false">
      <c r="A12" s="17" t="s">
        <v>48</v>
      </c>
      <c r="B12" s="18" t="n">
        <f aca="false">Inputs!$B$32</f>
        <v>68400000</v>
      </c>
    </row>
    <row r="13" customFormat="false" ht="15" hidden="false" customHeight="false" outlineLevel="0" collapsed="false">
      <c r="A13" s="6" t="s">
        <v>49</v>
      </c>
      <c r="B13" s="10" t="n">
        <f aca="false">$B$4-$B$12</f>
        <v>145600000</v>
      </c>
    </row>
    <row r="14" customFormat="false" ht="15" hidden="false" customHeight="false" outlineLevel="0" collapsed="false">
      <c r="A14" s="6" t="s">
        <v>50</v>
      </c>
      <c r="B14" s="19" t="n">
        <f aca="false">$B$13/$B$4</f>
        <v>0.680373831775701</v>
      </c>
    </row>
    <row r="15" customFormat="false" ht="15" hidden="false" customHeight="false" outlineLevel="0" collapsed="false">
      <c r="A15" s="6" t="s">
        <v>51</v>
      </c>
      <c r="B15" s="10" t="n">
        <f aca="false">$B$11-$B$12</f>
        <v>52208000</v>
      </c>
    </row>
    <row r="17" customFormat="false" ht="15" hidden="false" customHeight="false" outlineLevel="0" collapsed="false">
      <c r="A17" s="3" t="s">
        <v>52</v>
      </c>
      <c r="B17" s="4"/>
      <c r="C17" s="4"/>
      <c r="D17" s="4"/>
      <c r="E17" s="4"/>
      <c r="F17" s="4"/>
    </row>
    <row r="18" customFormat="false" ht="15" hidden="false" customHeight="false" outlineLevel="0" collapsed="false">
      <c r="A18" s="20" t="s">
        <v>53</v>
      </c>
      <c r="B18" s="20" t="s">
        <v>46</v>
      </c>
      <c r="C18" s="20" t="s">
        <v>54</v>
      </c>
      <c r="D18" s="20"/>
      <c r="E18" s="20"/>
      <c r="F18" s="20"/>
    </row>
    <row r="19" customFormat="false" ht="15" hidden="false" customHeight="false" outlineLevel="0" collapsed="false">
      <c r="A19" s="21" t="n">
        <v>4</v>
      </c>
      <c r="B19" s="10" t="n">
        <f aca="false">4*$B$9</f>
        <v>20928000</v>
      </c>
      <c r="C19" s="10" t="n">
        <f aca="false">$B$7-4*$B$9</f>
        <v>131072000</v>
      </c>
    </row>
    <row r="20" customFormat="false" ht="15" hidden="false" customHeight="false" outlineLevel="0" collapsed="false">
      <c r="A20" s="21" t="n">
        <v>6</v>
      </c>
      <c r="B20" s="10" t="n">
        <f aca="false">6*$B$9</f>
        <v>31392000</v>
      </c>
      <c r="C20" s="10" t="n">
        <f aca="false">$B$7-6*$B$9</f>
        <v>120608000</v>
      </c>
    </row>
    <row r="21" customFormat="false" ht="15" hidden="false" customHeight="false" outlineLevel="0" collapsed="false">
      <c r="A21" s="21" t="n">
        <v>8</v>
      </c>
      <c r="B21" s="10" t="n">
        <f aca="false">8*$B$9</f>
        <v>41856000</v>
      </c>
      <c r="C21" s="10" t="n">
        <f aca="false">$B$7-8*$B$9</f>
        <v>110144000</v>
      </c>
    </row>
    <row r="23" customFormat="false" ht="15" hidden="false" customHeight="false" outlineLevel="0" collapsed="false">
      <c r="A23" s="3" t="s">
        <v>55</v>
      </c>
      <c r="B23" s="4"/>
      <c r="C23" s="4"/>
      <c r="D23" s="4"/>
      <c r="E23" s="4"/>
      <c r="F23" s="4"/>
    </row>
    <row r="24" customFormat="false" ht="15" hidden="false" customHeight="false" outlineLevel="0" collapsed="false">
      <c r="A24" s="6" t="s">
        <v>56</v>
      </c>
      <c r="B24" s="10" t="n">
        <f aca="false">$B$7-Inputs!$B$38</f>
        <v>146000000</v>
      </c>
    </row>
    <row r="25" customFormat="false" ht="15" hidden="false" customHeight="false" outlineLevel="0" collapsed="false">
      <c r="A25" s="6" t="s">
        <v>57</v>
      </c>
      <c r="B25" s="10" t="n">
        <f aca="false">2*$B$9</f>
        <v>10464000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58</v>
      </c>
    </row>
    <row r="2" customFormat="false" ht="15" hidden="false" customHeight="false" outlineLevel="0" collapsed="false">
      <c r="A2" s="22" t="s">
        <v>59</v>
      </c>
    </row>
    <row r="4" customFormat="false" ht="23.85" hidden="false" customHeight="false" outlineLevel="0" collapsed="false">
      <c r="A4" s="15" t="s">
        <v>60</v>
      </c>
      <c r="B4" s="15" t="s">
        <v>61</v>
      </c>
      <c r="C4" s="15" t="s">
        <v>62</v>
      </c>
      <c r="D4" s="15" t="s">
        <v>63</v>
      </c>
    </row>
    <row r="5" customFormat="false" ht="15" hidden="false" customHeight="false" outlineLevel="0" collapsed="false">
      <c r="A5" s="6" t="s">
        <v>14</v>
      </c>
      <c r="B5" s="10" t="n">
        <f aca="false">Inputs!$B$18</f>
        <v>96000000</v>
      </c>
      <c r="C5" s="19" t="n">
        <f aca="false">B5/Balances!$B$4</f>
        <v>0.448598130841122</v>
      </c>
      <c r="D5" s="6" t="s">
        <v>64</v>
      </c>
    </row>
    <row r="6" customFormat="false" ht="15" hidden="false" customHeight="false" outlineLevel="0" collapsed="false">
      <c r="A6" s="6" t="s">
        <v>15</v>
      </c>
      <c r="B6" s="10" t="n">
        <f aca="false">Inputs!$B$19</f>
        <v>18000000</v>
      </c>
      <c r="C6" s="19" t="n">
        <f aca="false">B6/Balances!$B$4</f>
        <v>0.0841121495327103</v>
      </c>
      <c r="D6" s="6" t="s">
        <v>64</v>
      </c>
    </row>
    <row r="7" customFormat="false" ht="15" hidden="false" customHeight="false" outlineLevel="0" collapsed="false">
      <c r="A7" s="6" t="s">
        <v>16</v>
      </c>
      <c r="B7" s="10" t="n">
        <f aca="false">Inputs!$B$20</f>
        <v>41000000</v>
      </c>
      <c r="C7" s="19" t="n">
        <f aca="false">B7/Balances!$B$4</f>
        <v>0.191588785046729</v>
      </c>
      <c r="D7" s="6" t="s">
        <v>64</v>
      </c>
    </row>
    <row r="8" customFormat="false" ht="15" hidden="false" customHeight="false" outlineLevel="0" collapsed="false">
      <c r="A8" s="6" t="s">
        <v>65</v>
      </c>
      <c r="B8" s="10" t="n">
        <f aca="false">Inputs!$B$21</f>
        <v>12000000</v>
      </c>
      <c r="C8" s="19" t="n">
        <f aca="false">B8/Balances!$B$4</f>
        <v>0.0560747663551402</v>
      </c>
      <c r="D8" s="6" t="s">
        <v>66</v>
      </c>
    </row>
    <row r="9" customFormat="false" ht="15" hidden="false" customHeight="false" outlineLevel="0" collapsed="false">
      <c r="A9" s="6" t="s">
        <v>18</v>
      </c>
      <c r="B9" s="10" t="n">
        <f aca="false">Inputs!$B$22</f>
        <v>24000000</v>
      </c>
      <c r="C9" s="19" t="n">
        <f aca="false">B9/Balances!$B$4</f>
        <v>0.11214953271028</v>
      </c>
      <c r="D9" s="6" t="s">
        <v>67</v>
      </c>
    </row>
    <row r="10" customFormat="false" ht="15" hidden="false" customHeight="false" outlineLevel="0" collapsed="false">
      <c r="A10" s="6" t="s">
        <v>19</v>
      </c>
      <c r="B10" s="10" t="n">
        <f aca="false">Inputs!$B$23</f>
        <v>19000000</v>
      </c>
      <c r="C10" s="19" t="n">
        <f aca="false">B10/Balances!$B$4</f>
        <v>0.088785046728972</v>
      </c>
      <c r="D10" s="6" t="s">
        <v>67</v>
      </c>
    </row>
    <row r="11" customFormat="false" ht="15" hidden="false" customHeight="false" outlineLevel="0" collapsed="false">
      <c r="A11" s="6" t="s">
        <v>20</v>
      </c>
      <c r="B11" s="10" t="n">
        <f aca="false">Inputs!$B$24</f>
        <v>4000000</v>
      </c>
      <c r="C11" s="19" t="n">
        <f aca="false">B11/Balances!$B$4</f>
        <v>0.0186915887850467</v>
      </c>
      <c r="D11" s="6" t="s">
        <v>67</v>
      </c>
    </row>
    <row r="12" customFormat="false" ht="15" hidden="false" customHeight="false" outlineLevel="0" collapsed="false">
      <c r="A12" s="6" t="s">
        <v>68</v>
      </c>
      <c r="B12" s="10" t="n">
        <f aca="false">SUM(B5:B11)</f>
        <v>214000000</v>
      </c>
      <c r="C12" s="19" t="n">
        <f aca="false">B12/Balances!$B$4</f>
        <v>1</v>
      </c>
    </row>
    <row r="14" customFormat="false" ht="15" hidden="false" customHeight="false" outlineLevel="0" collapsed="false">
      <c r="A14" s="6" t="s">
        <v>69</v>
      </c>
      <c r="B14" s="10" t="n">
        <f aca="false">SUM(Inputs!$B$22:$B$24)</f>
        <v>47000000</v>
      </c>
      <c r="C14" s="19" t="n">
        <f aca="false">B14/Balances!$B$4</f>
        <v>0.219626168224299</v>
      </c>
    </row>
    <row r="15" customFormat="false" ht="15" hidden="false" customHeight="false" outlineLevel="0" collapsed="false">
      <c r="A15" s="6" t="s">
        <v>70</v>
      </c>
      <c r="B15" s="10" t="n">
        <f aca="false">Balances!$B$6</f>
        <v>53000000</v>
      </c>
      <c r="C15" s="19" t="n">
        <f aca="false">B15/Balances!$B$4</f>
        <v>0.247663551401869</v>
      </c>
    </row>
    <row r="16" customFormat="false" ht="15" hidden="false" customHeight="false" outlineLevel="0" collapsed="false">
      <c r="A16" s="6" t="s">
        <v>71</v>
      </c>
      <c r="B16" s="10" t="n">
        <f aca="false">Inputs!$B$25</f>
        <v>9000000</v>
      </c>
      <c r="C16" s="19" t="n">
        <f aca="false">B16/Balances!$B$4</f>
        <v>0.0420560747663551</v>
      </c>
    </row>
    <row r="17" customFormat="false" ht="15" hidden="false" customHeight="false" outlineLevel="0" collapsed="false">
      <c r="A17" s="6" t="s">
        <v>72</v>
      </c>
      <c r="B17" s="10" t="n">
        <f aca="false">Balances!$B$4-Balances!$B$7</f>
        <v>62000000</v>
      </c>
    </row>
    <row r="19" customFormat="false" ht="15" hidden="false" customHeight="false" outlineLevel="0" collapsed="false">
      <c r="A19" s="15" t="s">
        <v>73</v>
      </c>
    </row>
    <row r="20" customFormat="false" ht="15" hidden="false" customHeight="false" outlineLevel="0" collapsed="false">
      <c r="A20" s="6" t="s">
        <v>74</v>
      </c>
      <c r="B20" s="10" t="n">
        <f aca="false">Inputs!$B$41</f>
        <v>131000000</v>
      </c>
    </row>
    <row r="21" customFormat="false" ht="15" hidden="false" customHeight="false" outlineLevel="0" collapsed="false">
      <c r="A21" s="6" t="s">
        <v>75</v>
      </c>
      <c r="B21" s="10" t="n">
        <f aca="false">Inputs!$B$42</f>
        <v>35000000</v>
      </c>
    </row>
    <row r="22" customFormat="false" ht="15" hidden="false" customHeight="false" outlineLevel="0" collapsed="false">
      <c r="A22" s="6" t="s">
        <v>76</v>
      </c>
      <c r="B22" s="10" t="n">
        <f aca="false">B20-B21</f>
        <v>96000000</v>
      </c>
    </row>
    <row r="23" customFormat="false" ht="15" hidden="false" customHeight="false" outlineLevel="0" collapsed="false">
      <c r="A23" s="6" t="s">
        <v>77</v>
      </c>
      <c r="B23" s="19" t="n">
        <f aca="false">B21/B22</f>
        <v>0.364583333333333</v>
      </c>
    </row>
    <row r="24" customFormat="false" ht="15" hidden="false" customHeight="false" outlineLevel="0" collapsed="false">
      <c r="A24" s="6" t="s">
        <v>78</v>
      </c>
      <c r="B24" s="10" t="n">
        <f aca="false">Balances!$B$4+B21</f>
        <v>249000000</v>
      </c>
    </row>
    <row r="25" customFormat="false" ht="15" hidden="false" customHeight="false" outlineLevel="0" collapsed="false">
      <c r="A25" s="6" t="s">
        <v>79</v>
      </c>
      <c r="B25" s="10" t="n">
        <f aca="false">Inputs!$B$35+Inputs!$B$36+B21</f>
        <v>585000000</v>
      </c>
    </row>
    <row r="27" customFormat="false" ht="23.85" hidden="false" customHeight="false" outlineLevel="0" collapsed="false">
      <c r="A27" s="15" t="s">
        <v>80</v>
      </c>
    </row>
    <row r="28" customFormat="false" ht="15" hidden="false" customHeight="false" outlineLevel="0" collapsed="false">
      <c r="A28" s="6" t="s">
        <v>81</v>
      </c>
      <c r="B28" s="10" t="n">
        <f aca="false">Balances!$B$6+Inputs!$B$38</f>
        <v>59000000</v>
      </c>
    </row>
    <row r="29" customFormat="false" ht="15" hidden="false" customHeight="false" outlineLevel="0" collapsed="false">
      <c r="A29" s="6" t="s">
        <v>82</v>
      </c>
      <c r="B29" s="10" t="n">
        <f aca="false">Balances!$B$24</f>
        <v>146000000</v>
      </c>
    </row>
    <row r="30" customFormat="false" ht="15" hidden="false" customHeight="false" outlineLevel="0" collapsed="false">
      <c r="A30" s="6" t="s">
        <v>83</v>
      </c>
      <c r="B30" s="10" t="n">
        <f aca="false">NetDebt!$B$4-B29</f>
        <v>404000000</v>
      </c>
    </row>
    <row r="31" customFormat="false" ht="15" hidden="false" customHeight="false" outlineLevel="0" collapsed="false">
      <c r="A31" s="6" t="s">
        <v>84</v>
      </c>
      <c r="B31" s="23" t="n">
        <f aca="false">B30/Inputs!$B$12</f>
        <v>2.4047619047619</v>
      </c>
    </row>
    <row r="33" customFormat="false" ht="15" hidden="false" customHeight="false" outlineLevel="0" collapsed="false">
      <c r="A33" s="15" t="s">
        <v>85</v>
      </c>
    </row>
    <row r="34" customFormat="false" ht="15" hidden="false" customHeight="false" outlineLevel="0" collapsed="false">
      <c r="A34" s="6" t="s">
        <v>86</v>
      </c>
      <c r="B34" s="10" t="n">
        <f aca="false">B14+Inputs!$B$21</f>
        <v>59000000</v>
      </c>
    </row>
    <row r="35" customFormat="false" ht="15" hidden="false" customHeight="false" outlineLevel="0" collapsed="false">
      <c r="A35" s="6" t="s">
        <v>87</v>
      </c>
      <c r="B35" s="19" t="n">
        <f aca="false">B34/Balances!$B$4</f>
        <v>0.275700934579439</v>
      </c>
    </row>
    <row r="37" customFormat="false" ht="15" hidden="false" customHeight="false" outlineLevel="0" collapsed="false">
      <c r="A37" s="15" t="s">
        <v>88</v>
      </c>
    </row>
    <row r="38" customFormat="false" ht="15" hidden="false" customHeight="false" outlineLevel="0" collapsed="false">
      <c r="A38" s="6" t="s">
        <v>89</v>
      </c>
      <c r="B38" s="10" t="n">
        <f aca="false">Inputs!$B$43</f>
        <v>40000000</v>
      </c>
    </row>
    <row r="39" customFormat="false" ht="15" hidden="false" customHeight="false" outlineLevel="0" collapsed="false">
      <c r="A39" s="6" t="s">
        <v>90</v>
      </c>
      <c r="B39" s="10" t="n">
        <f aca="false">Balances!$B$12-B38</f>
        <v>28400000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8"/>
  </cols>
  <sheetData>
    <row r="1" customFormat="false" ht="16.15" hidden="false" customHeight="false" outlineLevel="0" collapsed="false">
      <c r="A1" s="1" t="s">
        <v>91</v>
      </c>
    </row>
    <row r="2" customFormat="false" ht="15" hidden="false" customHeight="false" outlineLevel="0" collapsed="false">
      <c r="A2" s="2" t="s">
        <v>92</v>
      </c>
    </row>
    <row r="4" customFormat="false" ht="15" hidden="false" customHeight="false" outlineLevel="0" collapsed="false">
      <c r="A4" s="17" t="s">
        <v>93</v>
      </c>
      <c r="B4" s="18" t="n">
        <f aca="false">Inputs!$B$35+Inputs!$B$36</f>
        <v>550000000</v>
      </c>
    </row>
    <row r="5" customFormat="false" ht="23.85" hidden="false" customHeight="false" outlineLevel="0" collapsed="false">
      <c r="A5" s="20" t="s">
        <v>94</v>
      </c>
      <c r="B5" s="20" t="s">
        <v>95</v>
      </c>
      <c r="C5" s="20" t="s">
        <v>84</v>
      </c>
      <c r="D5" s="20" t="s">
        <v>96</v>
      </c>
      <c r="E5" s="20"/>
      <c r="F5" s="20"/>
    </row>
    <row r="6" customFormat="false" ht="15" hidden="false" customHeight="false" outlineLevel="0" collapsed="false">
      <c r="A6" s="6" t="s">
        <v>97</v>
      </c>
      <c r="B6" s="10" t="n">
        <f aca="false">$B$4-Balances!$B$4</f>
        <v>336000000</v>
      </c>
      <c r="C6" s="23" t="n">
        <f aca="false">B6/Inputs!$B$12</f>
        <v>2</v>
      </c>
      <c r="D6" s="24" t="n">
        <f aca="false">Inputs!$B$37-C6</f>
        <v>1</v>
      </c>
    </row>
    <row r="7" customFormat="false" ht="15" hidden="false" customHeight="false" outlineLevel="0" collapsed="false">
      <c r="A7" s="6" t="s">
        <v>98</v>
      </c>
      <c r="B7" s="10" t="n">
        <f aca="false">$B$4-Balances!$B$7</f>
        <v>398000000</v>
      </c>
      <c r="C7" s="23" t="n">
        <f aca="false">B7/Inputs!$B$12</f>
        <v>2.36904761904762</v>
      </c>
      <c r="D7" s="24" t="n">
        <f aca="false">Inputs!$B$37-C7</f>
        <v>0.630952380952381</v>
      </c>
    </row>
    <row r="8" customFormat="false" ht="15" hidden="false" customHeight="false" outlineLevel="0" collapsed="false">
      <c r="A8" s="6" t="s">
        <v>99</v>
      </c>
      <c r="B8" s="10" t="n">
        <f aca="false">$B$4-Balances!$B$11</f>
        <v>429392000</v>
      </c>
      <c r="C8" s="23" t="n">
        <f aca="false">B8/Inputs!$B$12</f>
        <v>2.55590476190476</v>
      </c>
      <c r="D8" s="24" t="n">
        <f aca="false">Inputs!$B$37-C8</f>
        <v>0.444095238095238</v>
      </c>
    </row>
    <row r="10" customFormat="false" ht="15" hidden="false" customHeight="false" outlineLevel="0" collapsed="false">
      <c r="A10" s="6" t="s">
        <v>100</v>
      </c>
      <c r="B10" s="24" t="n">
        <f aca="false">$C$8-$C$6</f>
        <v>0.555904761904762</v>
      </c>
    </row>
    <row r="11" customFormat="false" ht="15" hidden="false" customHeight="false" outlineLevel="0" collapsed="false">
      <c r="A11" s="6" t="s">
        <v>101</v>
      </c>
      <c r="B11" s="24" t="n">
        <f aca="false">$C$7-$C$6</f>
        <v>0.369047619047619</v>
      </c>
    </row>
    <row r="12" customFormat="false" ht="15" hidden="false" customHeight="false" outlineLevel="0" collapsed="false">
      <c r="A12" s="6" t="s">
        <v>102</v>
      </c>
      <c r="B12" s="23" t="n">
        <f aca="false">($B$4-Balances!$B$24)/Inputs!$B$12</f>
        <v>2.4047619047619</v>
      </c>
    </row>
    <row r="14" customFormat="false" ht="15" hidden="false" customHeight="false" outlineLevel="0" collapsed="false">
      <c r="A14" s="15" t="s">
        <v>103</v>
      </c>
      <c r="B14" s="15" t="s">
        <v>94</v>
      </c>
      <c r="C14" s="15" t="s">
        <v>95</v>
      </c>
      <c r="D14" s="15" t="s">
        <v>84</v>
      </c>
    </row>
    <row r="15" customFormat="false" ht="15" hidden="false" customHeight="false" outlineLevel="0" collapsed="false">
      <c r="A15" s="6" t="s">
        <v>104</v>
      </c>
      <c r="B15" s="10" t="n">
        <f aca="false">Balances!$B$5</f>
        <v>205000000</v>
      </c>
      <c r="C15" s="10" t="n">
        <f aca="false">$B$4-B15</f>
        <v>345000000</v>
      </c>
      <c r="D15" s="23" t="n">
        <f aca="false">C15/Inputs!$B$12</f>
        <v>2.05357142857143</v>
      </c>
    </row>
    <row r="16" customFormat="false" ht="15" hidden="false" customHeight="false" outlineLevel="0" collapsed="false">
      <c r="A16" s="6" t="s">
        <v>105</v>
      </c>
      <c r="B16" s="10" t="n">
        <f aca="false">Balances!$B$4-Inputs!$B$25-SUM(Inputs!$B$22:$B$24)</f>
        <v>158000000</v>
      </c>
      <c r="C16" s="10" t="n">
        <f aca="false">$B$4-B16</f>
        <v>392000000</v>
      </c>
      <c r="D16" s="23" t="n">
        <f aca="false">C16/Inputs!$B$12</f>
        <v>2.33333333333333</v>
      </c>
    </row>
    <row r="17" customFormat="false" ht="15" hidden="false" customHeight="false" outlineLevel="0" collapsed="false">
      <c r="A17" s="6" t="s">
        <v>106</v>
      </c>
      <c r="B17" s="10" t="n">
        <f aca="false">Balances!$B$4-Inputs!$B$25-Inputs!$B$44*(Balances!$B$4-Inputs!$B$18)</f>
        <v>146000000</v>
      </c>
      <c r="C17" s="10" t="n">
        <f aca="false">$B$4-B17</f>
        <v>404000000</v>
      </c>
      <c r="D17" s="23" t="n">
        <f aca="false">C17/Inputs!$B$12</f>
        <v>2.4047619047619</v>
      </c>
    </row>
    <row r="19" customFormat="false" ht="15" hidden="false" customHeight="false" outlineLevel="0" collapsed="false">
      <c r="A19" s="6" t="s">
        <v>107</v>
      </c>
      <c r="B19" s="24" t="n">
        <f aca="false">$C$8-$C$7</f>
        <v>0.186857142857143</v>
      </c>
    </row>
    <row r="20" customFormat="false" ht="15" hidden="false" customHeight="false" outlineLevel="0" collapsed="false">
      <c r="A20" s="6" t="s">
        <v>108</v>
      </c>
      <c r="B20" s="10" t="n">
        <f aca="false">Balances!$B$4-Inputs!$B$18</f>
        <v>118000000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20"/>
    <col collapsed="false" customWidth="true" hidden="false" outlineLevel="0" max="4" min="4" style="0" width="16"/>
    <col collapsed="false" customWidth="true" hidden="false" outlineLevel="0" max="5" min="5" style="0" width="10"/>
  </cols>
  <sheetData>
    <row r="1" customFormat="false" ht="16.15" hidden="false" customHeight="false" outlineLevel="0" collapsed="false">
      <c r="A1" s="1" t="s">
        <v>109</v>
      </c>
    </row>
    <row r="2" customFormat="false" ht="15" hidden="false" customHeight="false" outlineLevel="0" collapsed="false">
      <c r="A2" s="2" t="s">
        <v>110</v>
      </c>
    </row>
    <row r="4" customFormat="false" ht="15" hidden="false" customHeight="false" outlineLevel="0" collapsed="false">
      <c r="A4" s="20" t="s">
        <v>111</v>
      </c>
      <c r="B4" s="20" t="s">
        <v>112</v>
      </c>
      <c r="C4" s="20" t="s">
        <v>113</v>
      </c>
      <c r="D4" s="20" t="s">
        <v>114</v>
      </c>
      <c r="E4" s="20" t="s">
        <v>115</v>
      </c>
    </row>
    <row r="5" customFormat="false" ht="15" hidden="false" customHeight="false" outlineLevel="0" collapsed="false">
      <c r="A5" s="6" t="s">
        <v>68</v>
      </c>
      <c r="B5" s="8" t="n">
        <v>214000000</v>
      </c>
      <c r="C5" s="25" t="n">
        <f aca="false">Balances!$B$4</f>
        <v>214000000</v>
      </c>
      <c r="D5" s="26" t="n">
        <f aca="false">C5-B5</f>
        <v>0</v>
      </c>
      <c r="E5" s="17" t="str">
        <f aca="false">IF(ABS(D5)&lt;0.005,"PASS","FAIL")</f>
        <v>PASS</v>
      </c>
    </row>
    <row r="6" customFormat="false" ht="15" hidden="false" customHeight="false" outlineLevel="0" collapsed="false">
      <c r="A6" s="6" t="s">
        <v>116</v>
      </c>
      <c r="B6" s="8" t="n">
        <v>205000000</v>
      </c>
      <c r="C6" s="25" t="n">
        <f aca="false">Balances!$B$5</f>
        <v>205000000</v>
      </c>
      <c r="D6" s="26" t="n">
        <f aca="false">C6-B6</f>
        <v>0</v>
      </c>
      <c r="E6" s="17" t="str">
        <f aca="false">IF(ABS(D6)&lt;0.005,"PASS","FAIL")</f>
        <v>PASS</v>
      </c>
    </row>
    <row r="7" customFormat="false" ht="15" hidden="false" customHeight="false" outlineLevel="0" collapsed="false">
      <c r="A7" s="6" t="s">
        <v>82</v>
      </c>
      <c r="B7" s="8" t="n">
        <v>152000000</v>
      </c>
      <c r="C7" s="25" t="n">
        <f aca="false">Balances!$B$7</f>
        <v>152000000</v>
      </c>
      <c r="D7" s="26" t="n">
        <f aca="false">C7-B7</f>
        <v>0</v>
      </c>
      <c r="E7" s="17" t="str">
        <f aca="false">IF(ABS(D7)&lt;0.005,"PASS","FAIL")</f>
        <v>PASS</v>
      </c>
    </row>
    <row r="8" customFormat="false" ht="15" hidden="false" customHeight="false" outlineLevel="0" collapsed="false">
      <c r="A8" s="6" t="s">
        <v>45</v>
      </c>
      <c r="B8" s="8" t="n">
        <v>5232000</v>
      </c>
      <c r="C8" s="25" t="n">
        <f aca="false">Balances!$B$9</f>
        <v>5232000</v>
      </c>
      <c r="D8" s="26" t="n">
        <f aca="false">C8-B8</f>
        <v>0</v>
      </c>
      <c r="E8" s="17" t="str">
        <f aca="false">IF(ABS(D8)&lt;0.005,"PASS","FAIL")</f>
        <v>PASS</v>
      </c>
    </row>
    <row r="9" customFormat="false" ht="15" hidden="false" customHeight="false" outlineLevel="0" collapsed="false">
      <c r="A9" s="6" t="s">
        <v>117</v>
      </c>
      <c r="B9" s="8" t="n">
        <v>31392000</v>
      </c>
      <c r="C9" s="25" t="n">
        <f aca="false">Balances!$B$10</f>
        <v>31392000</v>
      </c>
      <c r="D9" s="26" t="n">
        <f aca="false">C9-B9</f>
        <v>0</v>
      </c>
      <c r="E9" s="17" t="str">
        <f aca="false">IF(ABS(D9)&lt;0.005,"PASS","FAIL")</f>
        <v>PASS</v>
      </c>
    </row>
    <row r="10" customFormat="false" ht="15" hidden="false" customHeight="false" outlineLevel="0" collapsed="false">
      <c r="A10" s="6" t="s">
        <v>54</v>
      </c>
      <c r="B10" s="8" t="n">
        <v>120608000</v>
      </c>
      <c r="C10" s="25" t="n">
        <f aca="false">Balances!$B$11</f>
        <v>120608000</v>
      </c>
      <c r="D10" s="26" t="n">
        <f aca="false">C10-B10</f>
        <v>0</v>
      </c>
      <c r="E10" s="17" t="str">
        <f aca="false">IF(ABS(D10)&lt;0.005,"PASS","FAIL")</f>
        <v>PASS</v>
      </c>
    </row>
    <row r="11" customFormat="false" ht="15" hidden="false" customHeight="false" outlineLevel="0" collapsed="false">
      <c r="A11" s="6" t="s">
        <v>49</v>
      </c>
      <c r="B11" s="8" t="n">
        <v>145600000</v>
      </c>
      <c r="C11" s="25" t="n">
        <f aca="false">Balances!$B$13</f>
        <v>145600000</v>
      </c>
      <c r="D11" s="26" t="n">
        <f aca="false">C11-B11</f>
        <v>0</v>
      </c>
      <c r="E11" s="17" t="str">
        <f aca="false">IF(ABS(D11)&lt;0.005,"PASS","FAIL")</f>
        <v>PASS</v>
      </c>
    </row>
    <row r="12" customFormat="false" ht="15" hidden="false" customHeight="false" outlineLevel="0" collapsed="false">
      <c r="A12" s="6" t="s">
        <v>118</v>
      </c>
      <c r="B12" s="27" t="n">
        <v>0.680373831775701</v>
      </c>
      <c r="C12" s="28" t="n">
        <f aca="false">Balances!$B$14</f>
        <v>0.680373831775701</v>
      </c>
      <c r="D12" s="29" t="n">
        <f aca="false">C12-B12</f>
        <v>0</v>
      </c>
      <c r="E12" s="17" t="str">
        <f aca="false">IF(ABS(D12)&lt;0.00005,"PASS","FAIL")</f>
        <v>PASS</v>
      </c>
    </row>
    <row r="13" customFormat="false" ht="15" hidden="false" customHeight="false" outlineLevel="0" collapsed="false">
      <c r="A13" s="6" t="s">
        <v>119</v>
      </c>
      <c r="B13" s="8" t="n">
        <v>336000000</v>
      </c>
      <c r="C13" s="25" t="n">
        <f aca="false">NetDebt!$B$6</f>
        <v>336000000</v>
      </c>
      <c r="D13" s="26" t="n">
        <f aca="false">C13-B13</f>
        <v>0</v>
      </c>
      <c r="E13" s="17" t="str">
        <f aca="false">IF(ABS(D13)&lt;0.005,"PASS","FAIL")</f>
        <v>PASS</v>
      </c>
    </row>
    <row r="14" customFormat="false" ht="15" hidden="false" customHeight="false" outlineLevel="0" collapsed="false">
      <c r="A14" s="6" t="s">
        <v>120</v>
      </c>
      <c r="B14" s="30" t="n">
        <v>2</v>
      </c>
      <c r="C14" s="31" t="n">
        <f aca="false">NetDebt!$C$6</f>
        <v>2</v>
      </c>
      <c r="D14" s="32" t="n">
        <f aca="false">C14-B14</f>
        <v>0</v>
      </c>
      <c r="E14" s="17" t="str">
        <f aca="false">IF(ABS(D14)&lt;0.00005,"PASS","FAIL")</f>
        <v>PASS</v>
      </c>
    </row>
    <row r="15" customFormat="false" ht="15" hidden="false" customHeight="false" outlineLevel="0" collapsed="false">
      <c r="A15" s="6" t="s">
        <v>121</v>
      </c>
      <c r="B15" s="8" t="n">
        <v>398000000</v>
      </c>
      <c r="C15" s="25" t="n">
        <f aca="false">NetDebt!$B$7</f>
        <v>398000000</v>
      </c>
      <c r="D15" s="26" t="n">
        <f aca="false">C15-B15</f>
        <v>0</v>
      </c>
      <c r="E15" s="17" t="str">
        <f aca="false">IF(ABS(D15)&lt;0.005,"PASS","FAIL")</f>
        <v>PASS</v>
      </c>
    </row>
    <row r="16" customFormat="false" ht="15" hidden="false" customHeight="false" outlineLevel="0" collapsed="false">
      <c r="A16" s="6" t="s">
        <v>122</v>
      </c>
      <c r="B16" s="30" t="n">
        <v>2.36904761904762</v>
      </c>
      <c r="C16" s="31" t="n">
        <f aca="false">NetDebt!$C$7</f>
        <v>2.36904761904762</v>
      </c>
      <c r="D16" s="32" t="n">
        <f aca="false">C16-B16</f>
        <v>0</v>
      </c>
      <c r="E16" s="17" t="str">
        <f aca="false">IF(ABS(D16)&lt;0.00005,"PASS","FAIL")</f>
        <v>PASS</v>
      </c>
    </row>
    <row r="17" customFormat="false" ht="15" hidden="false" customHeight="false" outlineLevel="0" collapsed="false">
      <c r="A17" s="6" t="s">
        <v>123</v>
      </c>
      <c r="B17" s="33" t="n">
        <v>0.630952380952381</v>
      </c>
      <c r="C17" s="34" t="n">
        <f aca="false">NetDebt!$D$7</f>
        <v>0.630952380952381</v>
      </c>
      <c r="D17" s="35" t="n">
        <f aca="false">C17-B17</f>
        <v>0</v>
      </c>
      <c r="E17" s="17" t="str">
        <f aca="false">IF(ABS(D17)&lt;0.00005,"PASS","FAIL")</f>
        <v>PASS</v>
      </c>
    </row>
    <row r="18" customFormat="false" ht="15" hidden="false" customHeight="false" outlineLevel="0" collapsed="false">
      <c r="A18" s="6" t="s">
        <v>124</v>
      </c>
      <c r="B18" s="8" t="n">
        <v>429392000</v>
      </c>
      <c r="C18" s="25" t="n">
        <f aca="false">NetDebt!$B$8</f>
        <v>429392000</v>
      </c>
      <c r="D18" s="26" t="n">
        <f aca="false">C18-B18</f>
        <v>0</v>
      </c>
      <c r="E18" s="17" t="str">
        <f aca="false">IF(ABS(D18)&lt;0.005,"PASS","FAIL")</f>
        <v>PASS</v>
      </c>
    </row>
    <row r="19" customFormat="false" ht="15" hidden="false" customHeight="false" outlineLevel="0" collapsed="false">
      <c r="A19" s="6" t="s">
        <v>125</v>
      </c>
      <c r="B19" s="30" t="n">
        <v>2.55590476190476</v>
      </c>
      <c r="C19" s="31" t="n">
        <f aca="false">NetDebt!$C$8</f>
        <v>2.55590476190476</v>
      </c>
      <c r="D19" s="32" t="n">
        <f aca="false">C19-B19</f>
        <v>0</v>
      </c>
      <c r="E19" s="17" t="str">
        <f aca="false">IF(ABS(D19)&lt;0.00005,"PASS","FAIL")</f>
        <v>PASS</v>
      </c>
    </row>
    <row r="20" customFormat="false" ht="15" hidden="false" customHeight="false" outlineLevel="0" collapsed="false">
      <c r="A20" s="6" t="s">
        <v>126</v>
      </c>
      <c r="B20" s="33" t="n">
        <v>0.555904761904762</v>
      </c>
      <c r="C20" s="34" t="n">
        <f aca="false">NetDebt!$B$10</f>
        <v>0.555904761904762</v>
      </c>
      <c r="D20" s="35" t="n">
        <f aca="false">C20-B20</f>
        <v>0</v>
      </c>
      <c r="E20" s="17" t="str">
        <f aca="false">IF(ABS(D20)&lt;0.00005,"PASS","FAIL")</f>
        <v>PASS</v>
      </c>
    </row>
    <row r="21" customFormat="false" ht="15" hidden="false" customHeight="false" outlineLevel="0" collapsed="false">
      <c r="A21" s="6" t="s">
        <v>127</v>
      </c>
      <c r="B21" s="33" t="n">
        <v>0.369047619047619</v>
      </c>
      <c r="C21" s="34" t="n">
        <f aca="false">NetDebt!$B$11</f>
        <v>0.369047619047619</v>
      </c>
      <c r="D21" s="35" t="n">
        <f aca="false">C21-B21</f>
        <v>0</v>
      </c>
      <c r="E21" s="17" t="str">
        <f aca="false">IF(ABS(D21)&lt;0.00005,"PASS","FAIL")</f>
        <v>PASS</v>
      </c>
    </row>
    <row r="22" customFormat="false" ht="15" hidden="false" customHeight="false" outlineLevel="0" collapsed="false">
      <c r="A22" s="6" t="s">
        <v>102</v>
      </c>
      <c r="B22" s="30" t="n">
        <v>2.40476190476191</v>
      </c>
      <c r="C22" s="31" t="n">
        <f aca="false">NetDebt!$B$12</f>
        <v>2.4047619047619</v>
      </c>
      <c r="D22" s="32" t="n">
        <f aca="false">C22-B22</f>
        <v>0</v>
      </c>
      <c r="E22" s="17" t="str">
        <f aca="false">IF(ABS(D22)&lt;0.00005,"PASS","FAIL")</f>
        <v>PASS</v>
      </c>
    </row>
    <row r="23" customFormat="false" ht="15" hidden="false" customHeight="false" outlineLevel="0" collapsed="false">
      <c r="A23" s="6" t="s">
        <v>128</v>
      </c>
      <c r="B23" s="9" t="n">
        <v>52208000</v>
      </c>
      <c r="C23" s="36" t="n">
        <f aca="false">Balances!$B$15</f>
        <v>52208000</v>
      </c>
      <c r="D23" s="37" t="n">
        <f aca="false">C23-B23</f>
        <v>0</v>
      </c>
      <c r="E23" s="17" t="str">
        <f aca="false">IF(ABS(D23)&lt;0.5000000005,"PASS","FAIL")</f>
        <v>PASS</v>
      </c>
    </row>
    <row r="24" customFormat="false" ht="15" hidden="false" customHeight="false" outlineLevel="0" collapsed="false">
      <c r="A24" s="6" t="s">
        <v>129</v>
      </c>
      <c r="B24" s="9" t="n">
        <v>20928000</v>
      </c>
      <c r="C24" s="36" t="n">
        <f aca="false">Balances!$B$19</f>
        <v>20928000</v>
      </c>
      <c r="D24" s="37" t="n">
        <f aca="false">C24-B24</f>
        <v>0</v>
      </c>
      <c r="E24" s="17" t="str">
        <f aca="false">IF(ABS(D24)&lt;0.5000000005,"PASS","FAIL")</f>
        <v>PASS</v>
      </c>
    </row>
    <row r="25" customFormat="false" ht="15" hidden="false" customHeight="false" outlineLevel="0" collapsed="false">
      <c r="A25" s="6" t="s">
        <v>130</v>
      </c>
      <c r="B25" s="9" t="n">
        <v>131072000</v>
      </c>
      <c r="C25" s="36" t="n">
        <f aca="false">Balances!$C$19</f>
        <v>131072000</v>
      </c>
      <c r="D25" s="37" t="n">
        <f aca="false">C25-B25</f>
        <v>0</v>
      </c>
      <c r="E25" s="17" t="str">
        <f aca="false">IF(ABS(D25)&lt;0.5000000005,"PASS","FAIL")</f>
        <v>PASS</v>
      </c>
    </row>
    <row r="26" customFormat="false" ht="15" hidden="false" customHeight="false" outlineLevel="0" collapsed="false">
      <c r="A26" s="6" t="s">
        <v>131</v>
      </c>
      <c r="B26" s="9" t="n">
        <v>41856000</v>
      </c>
      <c r="C26" s="36" t="n">
        <f aca="false">Balances!$B$21</f>
        <v>41856000</v>
      </c>
      <c r="D26" s="37" t="n">
        <f aca="false">C26-B26</f>
        <v>0</v>
      </c>
      <c r="E26" s="17" t="str">
        <f aca="false">IF(ABS(D26)&lt;0.5000000005,"PASS","FAIL")</f>
        <v>PASS</v>
      </c>
    </row>
    <row r="27" customFormat="false" ht="15" hidden="false" customHeight="false" outlineLevel="0" collapsed="false">
      <c r="A27" s="6" t="s">
        <v>132</v>
      </c>
      <c r="B27" s="9" t="n">
        <v>110144000</v>
      </c>
      <c r="C27" s="36" t="n">
        <f aca="false">Balances!$C$21</f>
        <v>110144000</v>
      </c>
      <c r="D27" s="37" t="n">
        <f aca="false">C27-B27</f>
        <v>0</v>
      </c>
      <c r="E27" s="17" t="str">
        <f aca="false">IF(ABS(D27)&lt;0.5000000005,"PASS","FAIL")</f>
        <v>PASS</v>
      </c>
    </row>
    <row r="28" customFormat="false" ht="15" hidden="false" customHeight="false" outlineLevel="0" collapsed="false">
      <c r="A28" s="6" t="s">
        <v>133</v>
      </c>
      <c r="B28" s="9" t="n">
        <v>10464000</v>
      </c>
      <c r="C28" s="36" t="n">
        <f aca="false">Balances!$B$25</f>
        <v>10464000</v>
      </c>
      <c r="D28" s="37" t="n">
        <f aca="false">C28-B28</f>
        <v>0</v>
      </c>
      <c r="E28" s="17" t="str">
        <f aca="false">IF(ABS(D28)&lt;0.5000000005,"PASS","FAIL")</f>
        <v>PASS</v>
      </c>
    </row>
    <row r="29" customFormat="false" ht="15" hidden="false" customHeight="false" outlineLevel="0" collapsed="false">
      <c r="A29" s="6" t="s">
        <v>134</v>
      </c>
      <c r="B29" s="27" t="n">
        <v>0.448598</v>
      </c>
      <c r="C29" s="28" t="n">
        <f aca="false">Map!$C$5</f>
        <v>0.448598130841122</v>
      </c>
      <c r="D29" s="37" t="n">
        <f aca="false">C29-B29</f>
        <v>1.30841121492864E-007</v>
      </c>
      <c r="E29" s="17" t="str">
        <f aca="false">IF(ABS(D29)&lt;0.0000005000000005,"PASS","FAIL")</f>
        <v>PASS</v>
      </c>
    </row>
    <row r="30" customFormat="false" ht="15" hidden="false" customHeight="false" outlineLevel="0" collapsed="false">
      <c r="A30" s="6" t="s">
        <v>135</v>
      </c>
      <c r="B30" s="38" t="n">
        <v>0.0841</v>
      </c>
      <c r="C30" s="39" t="n">
        <f aca="false">Map!$C$6</f>
        <v>0.0841121495327103</v>
      </c>
      <c r="D30" s="37" t="n">
        <f aca="false">C30-B30</f>
        <v>1.21495327102678E-005</v>
      </c>
      <c r="E30" s="17" t="str">
        <f aca="false">IF(ABS(D30)&lt;0.00005000000005,"PASS","FAIL")</f>
        <v>PASS</v>
      </c>
    </row>
    <row r="31" customFormat="false" ht="15" hidden="false" customHeight="false" outlineLevel="0" collapsed="false">
      <c r="A31" s="6" t="s">
        <v>136</v>
      </c>
      <c r="B31" s="38" t="n">
        <v>0.1916</v>
      </c>
      <c r="C31" s="39" t="n">
        <f aca="false">Map!$C$7</f>
        <v>0.191588785046729</v>
      </c>
      <c r="D31" s="37" t="n">
        <f aca="false">C31-B31</f>
        <v>-1.12149532710271E-005</v>
      </c>
      <c r="E31" s="17" t="str">
        <f aca="false">IF(ABS(D31)&lt;0.00005000000005,"PASS","FAIL")</f>
        <v>PASS</v>
      </c>
    </row>
    <row r="32" customFormat="false" ht="15" hidden="false" customHeight="false" outlineLevel="0" collapsed="false">
      <c r="A32" s="6" t="s">
        <v>137</v>
      </c>
      <c r="B32" s="38" t="n">
        <v>0.0561</v>
      </c>
      <c r="C32" s="39" t="n">
        <f aca="false">Map!$C$8</f>
        <v>0.0560747663551402</v>
      </c>
      <c r="D32" s="37" t="n">
        <f aca="false">C32-B32</f>
        <v>-2.52336448598109E-005</v>
      </c>
      <c r="E32" s="17" t="str">
        <f aca="false">IF(ABS(D32)&lt;0.00005000000005,"PASS","FAIL")</f>
        <v>PASS</v>
      </c>
    </row>
    <row r="33" customFormat="false" ht="15" hidden="false" customHeight="false" outlineLevel="0" collapsed="false">
      <c r="A33" s="6" t="s">
        <v>138</v>
      </c>
      <c r="B33" s="38" t="n">
        <v>0.1121</v>
      </c>
      <c r="C33" s="39" t="n">
        <f aca="false">Map!$C$9</f>
        <v>0.11214953271028</v>
      </c>
      <c r="D33" s="37" t="n">
        <f aca="false">C33-B33</f>
        <v>4.95327102803672E-005</v>
      </c>
      <c r="E33" s="17" t="str">
        <f aca="false">IF(ABS(D33)&lt;0.00005000000005,"PASS","FAIL")</f>
        <v>PASS</v>
      </c>
    </row>
    <row r="34" customFormat="false" ht="15" hidden="false" customHeight="false" outlineLevel="0" collapsed="false">
      <c r="A34" s="6" t="s">
        <v>139</v>
      </c>
      <c r="B34" s="38" t="n">
        <v>0.0888</v>
      </c>
      <c r="C34" s="39" t="n">
        <f aca="false">Map!$C$10</f>
        <v>0.088785046728972</v>
      </c>
      <c r="D34" s="37" t="n">
        <f aca="false">C34-B34</f>
        <v>-1.49532710280453E-005</v>
      </c>
      <c r="E34" s="17" t="str">
        <f aca="false">IF(ABS(D34)&lt;0.00005000000005,"PASS","FAIL")</f>
        <v>PASS</v>
      </c>
    </row>
    <row r="35" customFormat="false" ht="15" hidden="false" customHeight="false" outlineLevel="0" collapsed="false">
      <c r="A35" s="6" t="s">
        <v>140</v>
      </c>
      <c r="B35" s="38" t="n">
        <v>0.0187</v>
      </c>
      <c r="C35" s="39" t="n">
        <f aca="false">Map!$C$11</f>
        <v>0.0186915887850467</v>
      </c>
      <c r="D35" s="37" t="n">
        <f aca="false">C35-B35</f>
        <v>-8.41121495327377E-006</v>
      </c>
      <c r="E35" s="17" t="str">
        <f aca="false">IF(ABS(D35)&lt;0.00005000000005,"PASS","FAIL")</f>
        <v>PASS</v>
      </c>
    </row>
    <row r="36" customFormat="false" ht="15" hidden="false" customHeight="false" outlineLevel="0" collapsed="false">
      <c r="A36" s="6" t="s">
        <v>141</v>
      </c>
      <c r="B36" s="9" t="n">
        <v>47000000</v>
      </c>
      <c r="C36" s="36" t="n">
        <f aca="false">Map!$B$14</f>
        <v>47000000</v>
      </c>
      <c r="D36" s="37" t="n">
        <f aca="false">C36-B36</f>
        <v>0</v>
      </c>
      <c r="E36" s="17" t="str">
        <f aca="false">IF(ABS(D36)&lt;0.5000000005,"PASS","FAIL")</f>
        <v>PASS</v>
      </c>
    </row>
    <row r="37" customFormat="false" ht="15" hidden="false" customHeight="false" outlineLevel="0" collapsed="false">
      <c r="A37" s="6" t="s">
        <v>142</v>
      </c>
      <c r="B37" s="27" t="n">
        <v>0.219626</v>
      </c>
      <c r="C37" s="28" t="n">
        <f aca="false">Map!$C$14</f>
        <v>0.219626168224299</v>
      </c>
      <c r="D37" s="37" t="n">
        <f aca="false">C37-B37</f>
        <v>1.68224299074149E-007</v>
      </c>
      <c r="E37" s="17" t="str">
        <f aca="false">IF(ABS(D37)&lt;0.0000005000000005,"PASS","FAIL")</f>
        <v>PASS</v>
      </c>
    </row>
    <row r="38" customFormat="false" ht="15" hidden="false" customHeight="false" outlineLevel="0" collapsed="false">
      <c r="A38" s="6" t="s">
        <v>143</v>
      </c>
      <c r="B38" s="27" t="n">
        <v>0.247664</v>
      </c>
      <c r="C38" s="28" t="n">
        <f aca="false">Map!$C$15</f>
        <v>0.247663551401869</v>
      </c>
      <c r="D38" s="37" t="n">
        <f aca="false">C38-B38</f>
        <v>-4.48598130836642E-007</v>
      </c>
      <c r="E38" s="17" t="str">
        <f aca="false">IF(ABS(D38)&lt;0.0000005000000005,"PASS","FAIL")</f>
        <v>PASS</v>
      </c>
    </row>
    <row r="39" customFormat="false" ht="15" hidden="false" customHeight="false" outlineLevel="0" collapsed="false">
      <c r="A39" s="6" t="s">
        <v>144</v>
      </c>
      <c r="B39" s="27" t="n">
        <v>0.042056</v>
      </c>
      <c r="C39" s="28" t="n">
        <f aca="false">Map!$C$16</f>
        <v>0.0420560747663551</v>
      </c>
      <c r="D39" s="37" t="n">
        <f aca="false">C39-B39</f>
        <v>7.47663551348143E-008</v>
      </c>
      <c r="E39" s="17" t="str">
        <f aca="false">IF(ABS(D39)&lt;0.0000005000000005,"PASS","FAIL")</f>
        <v>PASS</v>
      </c>
    </row>
    <row r="40" customFormat="false" ht="15" hidden="false" customHeight="false" outlineLevel="0" collapsed="false">
      <c r="A40" s="6" t="s">
        <v>145</v>
      </c>
      <c r="B40" s="9" t="n">
        <v>62000000</v>
      </c>
      <c r="C40" s="36" t="n">
        <f aca="false">Map!$B$17</f>
        <v>62000000</v>
      </c>
      <c r="D40" s="37" t="n">
        <f aca="false">C40-B40</f>
        <v>0</v>
      </c>
      <c r="E40" s="17" t="str">
        <f aca="false">IF(ABS(D40)&lt;0.5000000005,"PASS","FAIL")</f>
        <v>PASS</v>
      </c>
    </row>
    <row r="41" customFormat="false" ht="15" hidden="false" customHeight="false" outlineLevel="0" collapsed="false">
      <c r="A41" s="6" t="s">
        <v>146</v>
      </c>
      <c r="B41" s="27" t="n">
        <v>0.364583</v>
      </c>
      <c r="C41" s="28" t="n">
        <f aca="false">Map!$B$23</f>
        <v>0.364583333333333</v>
      </c>
      <c r="D41" s="37" t="n">
        <f aca="false">C41-B41</f>
        <v>3.33333333324415E-007</v>
      </c>
      <c r="E41" s="17" t="str">
        <f aca="false">IF(ABS(D41)&lt;0.0000005000000005,"PASS","FAIL")</f>
        <v>PASS</v>
      </c>
    </row>
    <row r="42" customFormat="false" ht="15" hidden="false" customHeight="false" outlineLevel="0" collapsed="false">
      <c r="A42" s="6" t="s">
        <v>147</v>
      </c>
      <c r="B42" s="9" t="n">
        <v>249000000</v>
      </c>
      <c r="C42" s="36" t="n">
        <f aca="false">Map!$B$24</f>
        <v>249000000</v>
      </c>
      <c r="D42" s="37" t="n">
        <f aca="false">C42-B42</f>
        <v>0</v>
      </c>
      <c r="E42" s="17" t="str">
        <f aca="false">IF(ABS(D42)&lt;0.5000000005,"PASS","FAIL")</f>
        <v>PASS</v>
      </c>
    </row>
    <row r="43" customFormat="false" ht="15" hidden="false" customHeight="false" outlineLevel="0" collapsed="false">
      <c r="A43" s="6" t="s">
        <v>148</v>
      </c>
      <c r="B43" s="9" t="n">
        <v>585000000</v>
      </c>
      <c r="C43" s="36" t="n">
        <f aca="false">Map!$B$25</f>
        <v>585000000</v>
      </c>
      <c r="D43" s="37" t="n">
        <f aca="false">C43-B43</f>
        <v>0</v>
      </c>
      <c r="E43" s="17" t="str">
        <f aca="false">IF(ABS(D43)&lt;0.5000000005,"PASS","FAIL")</f>
        <v>PASS</v>
      </c>
    </row>
    <row r="44" customFormat="false" ht="15" hidden="false" customHeight="false" outlineLevel="0" collapsed="false">
      <c r="A44" s="6" t="s">
        <v>149</v>
      </c>
      <c r="B44" s="9" t="n">
        <v>59000000</v>
      </c>
      <c r="C44" s="36" t="n">
        <f aca="false">Map!$B$28</f>
        <v>59000000</v>
      </c>
      <c r="D44" s="37" t="n">
        <f aca="false">C44-B44</f>
        <v>0</v>
      </c>
      <c r="E44" s="17" t="str">
        <f aca="false">IF(ABS(D44)&lt;0.5000000005,"PASS","FAIL")</f>
        <v>PASS</v>
      </c>
    </row>
    <row r="45" customFormat="false" ht="15" hidden="false" customHeight="false" outlineLevel="0" collapsed="false">
      <c r="A45" s="6" t="s">
        <v>150</v>
      </c>
      <c r="B45" s="9" t="n">
        <v>146000000</v>
      </c>
      <c r="C45" s="36" t="n">
        <f aca="false">Map!$B$29</f>
        <v>146000000</v>
      </c>
      <c r="D45" s="37" t="n">
        <f aca="false">C45-B45</f>
        <v>0</v>
      </c>
      <c r="E45" s="17" t="str">
        <f aca="false">IF(ABS(D45)&lt;0.5000000005,"PASS","FAIL")</f>
        <v>PASS</v>
      </c>
    </row>
    <row r="46" customFormat="false" ht="15" hidden="false" customHeight="false" outlineLevel="0" collapsed="false">
      <c r="A46" s="6" t="s">
        <v>151</v>
      </c>
      <c r="B46" s="9" t="n">
        <v>404000000</v>
      </c>
      <c r="C46" s="36" t="n">
        <f aca="false">Map!$B$30</f>
        <v>404000000</v>
      </c>
      <c r="D46" s="37" t="n">
        <f aca="false">C46-B46</f>
        <v>0</v>
      </c>
      <c r="E46" s="17" t="str">
        <f aca="false">IF(ABS(D46)&lt;0.5000000005,"PASS","FAIL")</f>
        <v>PASS</v>
      </c>
    </row>
    <row r="47" customFormat="false" ht="15" hidden="false" customHeight="false" outlineLevel="0" collapsed="false">
      <c r="A47" s="6" t="s">
        <v>152</v>
      </c>
      <c r="B47" s="9" t="n">
        <v>59000000</v>
      </c>
      <c r="C47" s="36" t="n">
        <f aca="false">Map!$B$34</f>
        <v>59000000</v>
      </c>
      <c r="D47" s="37" t="n">
        <f aca="false">C47-B47</f>
        <v>0</v>
      </c>
      <c r="E47" s="17" t="str">
        <f aca="false">IF(ABS(D47)&lt;0.5000000005,"PASS","FAIL")</f>
        <v>PASS</v>
      </c>
    </row>
    <row r="48" customFormat="false" ht="15" hidden="false" customHeight="false" outlineLevel="0" collapsed="false">
      <c r="A48" s="6" t="s">
        <v>153</v>
      </c>
      <c r="B48" s="27" t="n">
        <v>0.275701</v>
      </c>
      <c r="C48" s="28" t="n">
        <f aca="false">Map!$B$35</f>
        <v>0.275700934579439</v>
      </c>
      <c r="D48" s="37" t="n">
        <f aca="false">C48-B48</f>
        <v>-6.5420560746432E-008</v>
      </c>
      <c r="E48" s="17" t="str">
        <f aca="false">IF(ABS(D48)&lt;0.0000005000000005,"PASS","FAIL")</f>
        <v>PASS</v>
      </c>
    </row>
    <row r="49" customFormat="false" ht="15" hidden="false" customHeight="false" outlineLevel="0" collapsed="false">
      <c r="A49" s="6" t="s">
        <v>154</v>
      </c>
      <c r="B49" s="9" t="n">
        <v>28400000</v>
      </c>
      <c r="C49" s="36" t="n">
        <f aca="false">Map!$B$39</f>
        <v>28400000</v>
      </c>
      <c r="D49" s="37" t="n">
        <f aca="false">C49-B49</f>
        <v>0</v>
      </c>
      <c r="E49" s="17" t="str">
        <f aca="false">IF(ABS(D49)&lt;0.5000000005,"PASS","FAIL")</f>
        <v>PASS</v>
      </c>
    </row>
    <row r="50" customFormat="false" ht="15" hidden="false" customHeight="false" outlineLevel="0" collapsed="false">
      <c r="A50" s="6" t="s">
        <v>155</v>
      </c>
      <c r="B50" s="9" t="n">
        <v>345000000</v>
      </c>
      <c r="C50" s="36" t="n">
        <f aca="false">NetDebt!$C$15</f>
        <v>345000000</v>
      </c>
      <c r="D50" s="37" t="n">
        <f aca="false">C50-B50</f>
        <v>0</v>
      </c>
      <c r="E50" s="17" t="str">
        <f aca="false">IF(ABS(D50)&lt;0.5000000005,"PASS","FAIL")</f>
        <v>PASS</v>
      </c>
    </row>
    <row r="51" customFormat="false" ht="15" hidden="false" customHeight="false" outlineLevel="0" collapsed="false">
      <c r="A51" s="6" t="s">
        <v>156</v>
      </c>
      <c r="B51" s="30" t="n">
        <v>2.0536</v>
      </c>
      <c r="C51" s="31" t="n">
        <f aca="false">NetDebt!$D$15</f>
        <v>2.05357142857143</v>
      </c>
      <c r="D51" s="37" t="n">
        <f aca="false">C51-B51</f>
        <v>-2.85714285714889E-005</v>
      </c>
      <c r="E51" s="17" t="str">
        <f aca="false">IF(ABS(D51)&lt;0.00005000000005,"PASS","FAIL")</f>
        <v>PASS</v>
      </c>
    </row>
    <row r="52" customFormat="false" ht="15" hidden="false" customHeight="false" outlineLevel="0" collapsed="false">
      <c r="A52" s="6" t="s">
        <v>157</v>
      </c>
      <c r="B52" s="9" t="n">
        <v>158000000</v>
      </c>
      <c r="C52" s="36" t="n">
        <f aca="false">NetDebt!$B$16</f>
        <v>158000000</v>
      </c>
      <c r="D52" s="37" t="n">
        <f aca="false">C52-B52</f>
        <v>0</v>
      </c>
      <c r="E52" s="17" t="str">
        <f aca="false">IF(ABS(D52)&lt;0.5000000005,"PASS","FAIL")</f>
        <v>PASS</v>
      </c>
    </row>
    <row r="53" customFormat="false" ht="15" hidden="false" customHeight="false" outlineLevel="0" collapsed="false">
      <c r="A53" s="6" t="s">
        <v>158</v>
      </c>
      <c r="B53" s="9" t="n">
        <v>392000000</v>
      </c>
      <c r="C53" s="36" t="n">
        <f aca="false">NetDebt!$C$16</f>
        <v>392000000</v>
      </c>
      <c r="D53" s="37" t="n">
        <f aca="false">C53-B53</f>
        <v>0</v>
      </c>
      <c r="E53" s="17" t="str">
        <f aca="false">IF(ABS(D53)&lt;0.5000000005,"PASS","FAIL")</f>
        <v>PASS</v>
      </c>
    </row>
    <row r="54" customFormat="false" ht="15" hidden="false" customHeight="false" outlineLevel="0" collapsed="false">
      <c r="A54" s="6" t="s">
        <v>156</v>
      </c>
      <c r="B54" s="30" t="n">
        <v>2.3333</v>
      </c>
      <c r="C54" s="31" t="n">
        <f aca="false">NetDebt!$D$16</f>
        <v>2.33333333333333</v>
      </c>
      <c r="D54" s="37" t="n">
        <f aca="false">C54-B54</f>
        <v>3.33333333335517E-005</v>
      </c>
      <c r="E54" s="17" t="str">
        <f aca="false">IF(ABS(D54)&lt;0.00005000000005,"PASS","FAIL")</f>
        <v>PASS</v>
      </c>
    </row>
    <row r="55" customFormat="false" ht="15" hidden="false" customHeight="false" outlineLevel="0" collapsed="false">
      <c r="A55" s="6" t="s">
        <v>159</v>
      </c>
      <c r="B55" s="9" t="n">
        <v>146000000</v>
      </c>
      <c r="C55" s="36" t="n">
        <f aca="false">NetDebt!$B$17</f>
        <v>146000000</v>
      </c>
      <c r="D55" s="37" t="n">
        <f aca="false">C55-B55</f>
        <v>0</v>
      </c>
      <c r="E55" s="17" t="str">
        <f aca="false">IF(ABS(D55)&lt;0.5000000005,"PASS","FAIL")</f>
        <v>PASS</v>
      </c>
    </row>
    <row r="56" customFormat="false" ht="15" hidden="false" customHeight="false" outlineLevel="0" collapsed="false">
      <c r="A56" s="6" t="s">
        <v>158</v>
      </c>
      <c r="B56" s="9" t="n">
        <v>404000000</v>
      </c>
      <c r="C56" s="36" t="n">
        <f aca="false">NetDebt!$C$17</f>
        <v>404000000</v>
      </c>
      <c r="D56" s="37" t="n">
        <f aca="false">C56-B56</f>
        <v>0</v>
      </c>
      <c r="E56" s="17" t="str">
        <f aca="false">IF(ABS(D56)&lt;0.5000000005,"PASS","FAIL")</f>
        <v>PASS</v>
      </c>
    </row>
    <row r="57" customFormat="false" ht="15" hidden="false" customHeight="false" outlineLevel="0" collapsed="false">
      <c r="A57" s="6" t="s">
        <v>156</v>
      </c>
      <c r="B57" s="30" t="n">
        <v>2.4048</v>
      </c>
      <c r="C57" s="31" t="n">
        <f aca="false">NetDebt!$D$17</f>
        <v>2.4047619047619</v>
      </c>
      <c r="D57" s="37" t="n">
        <f aca="false">C57-B57</f>
        <v>-3.80952380951705E-005</v>
      </c>
      <c r="E57" s="17" t="str">
        <f aca="false">IF(ABS(D57)&lt;0.00005000000005,"PASS","FAIL")</f>
        <v>PASS</v>
      </c>
    </row>
    <row r="58" customFormat="false" ht="15" hidden="false" customHeight="false" outlineLevel="0" collapsed="false">
      <c r="A58" s="6" t="s">
        <v>160</v>
      </c>
      <c r="B58" s="9" t="n">
        <v>118000000</v>
      </c>
      <c r="C58" s="36" t="n">
        <f aca="false">NetDebt!$B$20</f>
        <v>118000000</v>
      </c>
      <c r="D58" s="37" t="n">
        <f aca="false">C58-B58</f>
        <v>0</v>
      </c>
      <c r="E58" s="17" t="str">
        <f aca="false">IF(ABS(D58)&lt;0.5000000005,"PASS","FAIL")</f>
        <v>PASS</v>
      </c>
    </row>
    <row r="59" customFormat="false" ht="15" hidden="false" customHeight="false" outlineLevel="0" collapsed="false">
      <c r="A59" s="6" t="s">
        <v>161</v>
      </c>
      <c r="B59" s="40" t="n">
        <v>0.1869</v>
      </c>
      <c r="C59" s="41" t="n">
        <f aca="false">NetDebt!$B$19</f>
        <v>0.186857142857143</v>
      </c>
      <c r="D59" s="37" t="n">
        <f aca="false">C59-B59</f>
        <v>-4.28571428571778E-005</v>
      </c>
      <c r="E59" s="17" t="str">
        <f aca="false">IF(ABS(D59)&lt;0.00005000000005,"PASS","FAIL")</f>
        <v>PASS</v>
      </c>
    </row>
    <row r="61" customFormat="false" ht="15" hidden="false" customHeight="false" outlineLevel="0" collapsed="false">
      <c r="A61" s="17" t="s">
        <v>162</v>
      </c>
      <c r="E61" s="17" t="str">
        <f aca="false">IF(COUNTIF(E5:E59,"FAIL")=0,"PASS","FAIL")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2026-09-04T00:26:15Z</dcterms:created>
  <dc:creator>openpyxl</dc:creator>
  <dc:description/>
  <dc:language>en-US</dc:language>
  <cp:lastModifiedBy/>
  <dcterms:modified xsi:type="dcterms:W3CDTF">2026-09-24T01:44:21Z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