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puts" sheetId="1" state="visible" r:id="rId3"/>
    <sheet name="Surplus" sheetId="2" state="visible" r:id="rId4"/>
    <sheet name="Wallet" sheetId="3" state="visible" r:id="rId5"/>
    <sheet name="Controls" sheetId="4" state="visible" r:id="rId6"/>
    <sheet name="Report" sheetId="5" state="visible" r:id="rId7"/>
    <sheet name="Check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<sst xmlns="http://schemas.openxmlformats.org/spreadsheetml/2006/main" count="266" uniqueCount="245">
  <si>
    <t xml:space="preserve">Banks, Payments and the Report</t>
  </si>
  <si>
    <t xml:space="preserve">Companion to Treasury Management, Chapters 15 to 18. Inputs in blue.</t>
  </si>
  <si>
    <t xml:space="preserve">How to read this workbook</t>
  </si>
  <si>
    <t xml:space="preserve">Blue figures are inputs; change them and everything recomputes.</t>
  </si>
  <si>
    <t xml:space="preserve">Black figures are formulas. Green figures on the Checks sheet are links.</t>
  </si>
  <si>
    <t xml:space="preserve">Yellow cells are the assumptions that decide the answer.</t>
  </si>
  <si>
    <t xml:space="preserve">Figures marked "from ..." are the results of the other four workbooks, typed here so that this file stands alone.</t>
  </si>
  <si>
    <t xml:space="preserve">The company and its cash</t>
  </si>
  <si>
    <t xml:space="preserve">EBITDA</t>
  </si>
  <si>
    <t xml:space="preserve">Revenue</t>
  </si>
  <si>
    <t xml:space="preserve">Disbursements per business day (from The Five Balances)</t>
  </si>
  <si>
    <t xml:space="preserve">Reported cash (reading 1)</t>
  </si>
  <si>
    <t xml:space="preserve">Restricted cash</t>
  </si>
  <si>
    <t xml:space="preserve">Trapped cash (Brazil, China, India, the partner's half of Poland)</t>
  </si>
  <si>
    <t xml:space="preserve">... of which Brazil, China and India</t>
  </si>
  <si>
    <t xml:space="preserve">Operating float, business days (policy)</t>
  </si>
  <si>
    <t xml:space="preserve">Cleared on the concentration account this morning (reading 5)</t>
  </si>
  <si>
    <t xml:space="preserve">Liquidity (from The Liquidity Test and Working Capital)</t>
  </si>
  <si>
    <t xml:space="preserve">Forecast-error reserve at 99 per cent</t>
  </si>
  <si>
    <t xml:space="preserve">Seasonal peak</t>
  </si>
  <si>
    <t xml:space="preserve">Undrawn revolver</t>
  </si>
  <si>
    <t xml:space="preserve">Supply chain finance release, if signed</t>
  </si>
  <si>
    <t xml:space="preserve">Operating leverage</t>
  </si>
  <si>
    <t xml:space="preserve">Downside case: revenue fall for a full year</t>
  </si>
  <si>
    <t xml:space="preserve">Debt</t>
  </si>
  <si>
    <t xml:space="preserve">Gross debt</t>
  </si>
  <si>
    <t xml:space="preserve">Net leverage covenant</t>
  </si>
  <si>
    <t xml:space="preserve">Interest cover covenant</t>
  </si>
  <si>
    <t xml:space="preserve">Total interest (from The Liquidity Test)</t>
  </si>
  <si>
    <t xml:space="preserve">Overdraft interest the total leaves out (from Working Capital)</t>
  </si>
  <si>
    <t xml:space="preserve">Term loan</t>
  </si>
  <si>
    <t xml:space="preserve">Term loan margin</t>
  </si>
  <si>
    <t xml:space="preserve">Revolver margin</t>
  </si>
  <si>
    <t xml:space="preserve">Commitment fee, share of margin</t>
  </si>
  <si>
    <t xml:space="preserve">Upfront fee</t>
  </si>
  <si>
    <t xml:space="preserve">Tenor over which the fee is amortised (years)</t>
  </si>
  <si>
    <t xml:space="preserve">Rates and currency (from Hedging)</t>
  </si>
  <si>
    <t xml:space="preserve">Net floating exposure after available cash</t>
  </si>
  <si>
    <t xml:space="preserve">... on home-currency cash, at most</t>
  </si>
  <si>
    <t xml:space="preserve">Fixed share of gross debt</t>
  </si>
  <si>
    <t xml:space="preserve">... counting the netted overdrafts</t>
  </si>
  <si>
    <t xml:space="preserve">Interest cover at +200 basis points, with the swap</t>
  </si>
  <si>
    <t xml:space="preserve">... without the swap</t>
  </si>
  <si>
    <t xml:space="preserve">The swap's saving in the shock year</t>
  </si>
  <si>
    <t xml:space="preserve">Net long USD, a year</t>
  </si>
  <si>
    <t xml:space="preserve">Spot, USD per unit of home currency</t>
  </si>
  <si>
    <t xml:space="preserve">Layered programme: average hedge ratio</t>
  </si>
  <si>
    <t xml:space="preserve">The forecast (from The Liquidity Test)</t>
  </si>
  <si>
    <t xml:space="preserve">Error in the quarter just ended</t>
  </si>
  <si>
    <t xml:space="preserve">Quarterly disbursements</t>
  </si>
  <si>
    <t xml:space="preserve">Sample standard deviation of the error</t>
  </si>
  <si>
    <t xml:space="preserve">The surplus, the banks, the payments</t>
  </si>
  <si>
    <t xml:space="preserve">Money market fund yield</t>
  </si>
  <si>
    <t xml:space="preserve">Treasury bill yield</t>
  </si>
  <si>
    <t xml:space="preserve">Bank deposit yield</t>
  </si>
  <si>
    <t xml:space="preserve">Largest bank's share of reported cash</t>
  </si>
  <si>
    <t xml:space="preserve">Concentration limit (policy)</t>
  </si>
  <si>
    <t xml:space="preserve">Neighbouring limit, looser</t>
  </si>
  <si>
    <t xml:space="preserve">Neighbouring limit, tighter</t>
  </si>
  <si>
    <t xml:space="preserve">Bank fees a year</t>
  </si>
  <si>
    <t xml:space="preserve">Bank accounts</t>
  </si>
  <si>
    <t xml:space="preserve">Banks</t>
  </si>
  <si>
    <t xml:space="preserve">FX spread on the USD flow (ASSUMED by the book)</t>
  </si>
  <si>
    <t xml:space="preserve">... alternative</t>
  </si>
  <si>
    <t xml:space="preserve">One lender's commitment to the revolver</t>
  </si>
  <si>
    <t xml:space="preserve">Investing the surplus, and counting the counterparties</t>
  </si>
  <si>
    <t xml:space="preserve">Chapter 15. Security, then liquidity, then yield; and the largest bank against the limit.</t>
  </si>
  <si>
    <t xml:space="preserve">Available cash: the surplus (reading 4)</t>
  </si>
  <si>
    <t xml:space="preserve">Instrument</t>
  </si>
  <si>
    <t xml:space="preserve">Rate</t>
  </si>
  <si>
    <t xml:space="preserve">Annual income</t>
  </si>
  <si>
    <t xml:space="preserve">Money market fund</t>
  </si>
  <si>
    <t xml:space="preserve">Treasury bills</t>
  </si>
  <si>
    <t xml:space="preserve">Bank deposit</t>
  </si>
  <si>
    <t xml:space="preserve">The fund earns more than the deposit by</t>
  </si>
  <si>
    <t xml:space="preserve">The fund earns more than the bills by</t>
  </si>
  <si>
    <t xml:space="preserve">... the fund-deposit gap as a share of the surplus</t>
  </si>
  <si>
    <t xml:space="preserve">... as a share of EBITDA</t>
  </si>
  <si>
    <t xml:space="preserve">... as a share of one day's disbursements</t>
  </si>
  <si>
    <t xml:space="preserve">Minimum above the float: reserve plus peak</t>
  </si>
  <si>
    <t xml:space="preserve">Surplus above the minimum, without the revolver</t>
  </si>
  <si>
    <t xml:space="preserve">... in business days of disbursements</t>
  </si>
  <si>
    <t xml:space="preserve">The concentration test</t>
  </si>
  <si>
    <t xml:space="preserve">Held at the largest bank</t>
  </si>
  <si>
    <t xml:space="preserve">The policy limit</t>
  </si>
  <si>
    <t xml:space="preserve">Excess over the limit</t>
  </si>
  <si>
    <t xml:space="preserve">Limit at the looser setting</t>
  </si>
  <si>
    <t xml:space="preserve">... excess</t>
  </si>
  <si>
    <t xml:space="preserve">Limit at the tighter setting</t>
  </si>
  <si>
    <t xml:space="preserve">The concentration account alone, share of reported cash</t>
  </si>
  <si>
    <t xml:space="preserve">The rest of the largest bank's balance</t>
  </si>
  <si>
    <t xml:space="preserve">The excess moved to the fund earns more a year by</t>
  </si>
  <si>
    <t xml:space="preserve">The ladder: each part of the surplus on its tenor</t>
  </si>
  <si>
    <t xml:space="preserve">Overnight: the forecast-error reserve</t>
  </si>
  <si>
    <t xml:space="preserve">At term, maturing into the build: the seasonal peak</t>
  </si>
  <si>
    <t xml:space="preserve">What the forecast places: the rest</t>
  </si>
  <si>
    <t xml:space="preserve">Banks, fees and the wallet</t>
  </si>
  <si>
    <t xml:space="preserve">Chapter 16. Everything the group pays its banks in a year, and what one lender sees.</t>
  </si>
  <si>
    <t xml:space="preserve">Fees per account</t>
  </si>
  <si>
    <t xml:space="preserve">Fees per bank</t>
  </si>
  <si>
    <t xml:space="preserve">Fees as a share of total interest</t>
  </si>
  <si>
    <t xml:space="preserve">Component</t>
  </si>
  <si>
    <t xml:space="preserve">Annual amount</t>
  </si>
  <si>
    <t xml:space="preserve">Account and transaction fees</t>
  </si>
  <si>
    <t xml:space="preserve">Revolver commitment fee</t>
  </si>
  <si>
    <t xml:space="preserve">Revolver upfront fee, amortised</t>
  </si>
  <si>
    <t xml:space="preserve">FX spread on the USD flow</t>
  </si>
  <si>
    <t xml:space="preserve">Wallet</t>
  </si>
  <si>
    <t xml:space="preserve">FX spread at the alternative</t>
  </si>
  <si>
    <t xml:space="preserve">Wallet at the alternative spread</t>
  </si>
  <si>
    <t xml:space="preserve">Fees as a share of the wallet</t>
  </si>
  <si>
    <t xml:space="preserve">What one lender sees</t>
  </si>
  <si>
    <t xml:space="preserve">Its share of the facility</t>
  </si>
  <si>
    <t xml:space="preserve">Commitment fee a year</t>
  </si>
  <si>
    <t xml:space="preserve">Its share of the upfront fee, a year</t>
  </si>
  <si>
    <t xml:space="preserve">Earned a year, undrawn</t>
  </si>
  <si>
    <t xml:space="preserve">... on the commitment</t>
  </si>
  <si>
    <t xml:space="preserve">Margin a year if drawn</t>
  </si>
  <si>
    <t xml:space="preserve">Ancillary income it would look for at its share</t>
  </si>
  <si>
    <t xml:space="preserve">Largest bank's balance against available cash (the ceiling)</t>
  </si>
  <si>
    <t xml:space="preserve">The concentration account against available cash (the floor)</t>
  </si>
  <si>
    <t xml:space="preserve">The alternative FX spread, in average accounts' fees</t>
  </si>
  <si>
    <t xml:space="preserve">Payments, fraud and the four eyes</t>
  </si>
  <si>
    <t xml:space="preserve">Chapter 17. What a control is measured against: a single day's run.</t>
  </si>
  <si>
    <t xml:space="preserve">A day's run</t>
  </si>
  <si>
    <t xml:space="preserve">A week's run</t>
  </si>
  <si>
    <t xml:space="preserve">A day's run, share of a quarter's disbursements</t>
  </si>
  <si>
    <t xml:space="preserve">The forecast's standard deviation, for comparison</t>
  </si>
  <si>
    <t xml:space="preserve">Reported cash at the other ten banks</t>
  </si>
  <si>
    <t xml:space="preserve">... of which trapped and no help on payroll day</t>
  </si>
  <si>
    <t xml:space="preserve">A day's run, in years of an average account's fees</t>
  </si>
  <si>
    <t xml:space="preserve">A day's run, in years of all the bank fees</t>
  </si>
  <si>
    <t xml:space="preserve">The treasury report that would survive</t>
  </si>
  <si>
    <t xml:space="preserve">Chapter 18. Nineteen lines, and every line has a neighbour.</t>
  </si>
  <si>
    <t xml:space="preserve">Line</t>
  </si>
  <si>
    <t xml:space="preserve">Figure</t>
  </si>
  <si>
    <t xml:space="preserve">Source</t>
  </si>
  <si>
    <t xml:space="preserve">Compared with</t>
  </si>
  <si>
    <t xml:space="preserve">Cash, reported</t>
  </si>
  <si>
    <t xml:space="preserve">Chapter 1</t>
  </si>
  <si>
    <t xml:space="preserve">Cash, unrestricted</t>
  </si>
  <si>
    <t xml:space="preserve">Cash, accessible (the facility's definition)</t>
  </si>
  <si>
    <t xml:space="preserve">Cash, available</t>
  </si>
  <si>
    <t xml:space="preserve">Cash, same-day, cleared on the concentration account</t>
  </si>
  <si>
    <t xml:space="preserve">Minimum liquidity</t>
  </si>
  <si>
    <t xml:space="preserve">Chapter 5</t>
  </si>
  <si>
    <t xml:space="preserve">Headroom, with the revolver</t>
  </si>
  <si>
    <t xml:space="preserve">Headroom over minimum, without the revolver</t>
  </si>
  <si>
    <t xml:space="preserve">Revenue fall that removes the revolver</t>
  </si>
  <si>
    <t xml:space="preserve">Chapter 6</t>
  </si>
  <si>
    <t xml:space="preserve">Leverage, reported cash</t>
  </si>
  <si>
    <t xml:space="preserve">Chapter 12</t>
  </si>
  <si>
    <t xml:space="preserve">Leverage, facility definition (binding)</t>
  </si>
  <si>
    <t xml:space="preserve">Leverage, available cash</t>
  </si>
  <si>
    <t xml:space="preserve">Interest cover</t>
  </si>
  <si>
    <t xml:space="preserve">Net floating exposure after cash</t>
  </si>
  <si>
    <t xml:space="preserve">Chapter 13</t>
  </si>
  <si>
    <t xml:space="preserve">Interest cover at +200 basis points</t>
  </si>
  <si>
    <t xml:space="preserve">USD hedge ratio, average</t>
  </si>
  <si>
    <t xml:space="preserve">Chapter 14</t>
  </si>
  <si>
    <t xml:space="preserve">Value of one cent on the USD rate</t>
  </si>
  <si>
    <t xml:space="preserve">Concentration excess, largest bank</t>
  </si>
  <si>
    <t xml:space="preserve">Chapter 15</t>
  </si>
  <si>
    <t xml:space="preserve">Forecast error, last quarter</t>
  </si>
  <si>
    <t xml:space="preserve">Chapter 4</t>
  </si>
  <si>
    <t xml:space="preserve">Reading the last line, and the board's question</t>
  </si>
  <si>
    <t xml:space="preserve">The quarter's error, in standard deviations</t>
  </si>
  <si>
    <t xml:space="preserve">... as a share of the reserve the minimum carries for it</t>
  </si>
  <si>
    <t xml:space="preserve">Revenue lost at the drawstop, on the unrounded threshold</t>
  </si>
  <si>
    <t xml:space="preserve">... on the threshold rounded to four decimals</t>
  </si>
  <si>
    <t xml:space="preserve">Share of the headroom the revolver is</t>
  </si>
  <si>
    <t xml:space="preserve">Checks — the printed figure beside the computed one</t>
  </si>
  <si>
    <t xml:space="preserve">Blue = the figure as printed in the book. Computed = the live formula. If a check reads FAIL, the workbook is wrong, not the book.</t>
  </si>
  <si>
    <t xml:space="preserve">Printed in the book</t>
  </si>
  <si>
    <t xml:space="preserve">Computed here</t>
  </si>
  <si>
    <t xml:space="preserve">Difference</t>
  </si>
  <si>
    <t xml:space="preserve">Status</t>
  </si>
  <si>
    <t xml:space="preserve">Available cash</t>
  </si>
  <si>
    <t xml:space="preserve">Fund income</t>
  </si>
  <si>
    <t xml:space="preserve">Bills income</t>
  </si>
  <si>
    <t xml:space="preserve">Deposit income</t>
  </si>
  <si>
    <t xml:space="preserve">Fund over deposit</t>
  </si>
  <si>
    <t xml:space="preserve">Fund over bills</t>
  </si>
  <si>
    <t xml:space="preserve">... share of the surplus</t>
  </si>
  <si>
    <t xml:space="preserve">... share of EBITDA</t>
  </si>
  <si>
    <t xml:space="preserve">... share of a day</t>
  </si>
  <si>
    <t xml:space="preserve">Minimum above the float</t>
  </si>
  <si>
    <t xml:space="preserve">Above the minimum</t>
  </si>
  <si>
    <t xml:space="preserve">... days</t>
  </si>
  <si>
    <t xml:space="preserve">Largest bank</t>
  </si>
  <si>
    <t xml:space="preserve">Limit</t>
  </si>
  <si>
    <t xml:space="preserve">Excess</t>
  </si>
  <si>
    <t xml:space="preserve">Limit at 30 per cent</t>
  </si>
  <si>
    <t xml:space="preserve">Limit at 20 per cent</t>
  </si>
  <si>
    <t xml:space="preserve">Concentration account share</t>
  </si>
  <si>
    <t xml:space="preserve">Rest at the largest bank</t>
  </si>
  <si>
    <t xml:space="preserve">Excess in the fund earns</t>
  </si>
  <si>
    <t xml:space="preserve">Ladder: the rest</t>
  </si>
  <si>
    <t xml:space="preserve">Fees, share of interest</t>
  </si>
  <si>
    <t xml:space="preserve">Commitment fee</t>
  </si>
  <si>
    <t xml:space="preserve">Upfront, amortised</t>
  </si>
  <si>
    <t xml:space="preserve">FX spread at 5 bp</t>
  </si>
  <si>
    <t xml:space="preserve">FX at 10 bp</t>
  </si>
  <si>
    <t xml:space="preserve">Wallet at 10 bp</t>
  </si>
  <si>
    <t xml:space="preserve">Fees share of the wallet</t>
  </si>
  <si>
    <t xml:space="preserve">Lender's share</t>
  </si>
  <si>
    <t xml:space="preserve">Lender's commitment fee</t>
  </si>
  <si>
    <t xml:space="preserve">Lender's upfront a year</t>
  </si>
  <si>
    <t xml:space="preserve">Lender earns</t>
  </si>
  <si>
    <t xml:space="preserve">... on commitment</t>
  </si>
  <si>
    <t xml:space="preserve">Lender drawn</t>
  </si>
  <si>
    <t xml:space="preserve">Ancillary looked for</t>
  </si>
  <si>
    <t xml:space="preserve">Ceiling</t>
  </si>
  <si>
    <t xml:space="preserve">Floor</t>
  </si>
  <si>
    <t xml:space="preserve">FX 10 bp in accounts</t>
  </si>
  <si>
    <t xml:space="preserve">A day in a quarter</t>
  </si>
  <si>
    <t xml:space="preserve">Other ten banks</t>
  </si>
  <si>
    <t xml:space="preserve">Trapped</t>
  </si>
  <si>
    <t xml:space="preserve">Years of account fees</t>
  </si>
  <si>
    <t xml:space="preserve">Years of all fees</t>
  </si>
  <si>
    <t xml:space="preserve">Report: reported cash</t>
  </si>
  <si>
    <t xml:space="preserve">Report: unrestricted</t>
  </si>
  <si>
    <t xml:space="preserve">Report: accessible</t>
  </si>
  <si>
    <t xml:space="preserve">Report: available</t>
  </si>
  <si>
    <t xml:space="preserve">Report: same-day</t>
  </si>
  <si>
    <t xml:space="preserve">Report: minimum</t>
  </si>
  <si>
    <t xml:space="preserve">Report: headroom</t>
  </si>
  <si>
    <t xml:space="preserve">Report: without the revolver</t>
  </si>
  <si>
    <t xml:space="preserve">Report: revenue fall</t>
  </si>
  <si>
    <t xml:space="preserve">Report: leverage, reported</t>
  </si>
  <si>
    <t xml:space="preserve">Report: leverage, facility</t>
  </si>
  <si>
    <t xml:space="preserve">Report: leverage, available</t>
  </si>
  <si>
    <t xml:space="preserve">Report: interest cover</t>
  </si>
  <si>
    <t xml:space="preserve">Report: net floating exposure</t>
  </si>
  <si>
    <t xml:space="preserve">Report: cover at +200</t>
  </si>
  <si>
    <t xml:space="preserve">Report: hedge ratio</t>
  </si>
  <si>
    <t xml:space="preserve">Report: one cent</t>
  </si>
  <si>
    <t xml:space="preserve">Report: concentration excess</t>
  </si>
  <si>
    <t xml:space="preserve">Report: last quarter's error</t>
  </si>
  <si>
    <t xml:space="preserve">The error in standard deviations</t>
  </si>
  <si>
    <t xml:space="preserve">... share of the reserve</t>
  </si>
  <si>
    <t xml:space="preserve">Revenue lost, unrounded</t>
  </si>
  <si>
    <t xml:space="preserve">Revenue lost, four decimals</t>
  </si>
  <si>
    <t xml:space="preserve">Revolver's share of headroom</t>
  </si>
  <si>
    <t xml:space="preserve">All checks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</si>
</sst>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;[RED]\-#,##0.00"/>
    <numFmt numFmtId="166" formatCode="#,##0;[RED]\-#,##0"/>
    <numFmt numFmtId="167" formatCode="0.00"/>
    <numFmt numFmtId="168" formatCode="0.00%"/>
    <numFmt numFmtId="169" formatCode="0.0000\x"/>
    <numFmt numFmtId="170" formatCode="0%"/>
    <numFmt numFmtId="171" formatCode="0.0000%"/>
    <numFmt numFmtId="172" formatCode="0.0000"/>
    <numFmt numFmtId="173" formatCode="0.0%"/>
    <numFmt numFmtId="174" formatCode="0.00E+00"/>
    <numFmt numFmtId="175" formatCode="#,##0.0000;[RED]\-#,##0.00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7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5" t="s">
        <v>4</v>
      </c>
    </row>
    <row r="7" customFormat="false" ht="15" hidden="false" customHeight="false" outlineLevel="0" collapsed="false">
      <c r="A7" s="6" t="s">
        <v>5</v>
      </c>
    </row>
    <row r="8" customFormat="false" ht="15" hidden="false" customHeight="false" outlineLevel="0" collapsed="false">
      <c r="A8" s="5" t="s">
        <v>6</v>
      </c>
    </row>
    <row r="10" customFormat="false" ht="15" hidden="false" customHeight="false" outlineLevel="0" collapsed="false">
      <c r="A10" s="7" t="s">
        <v>7</v>
      </c>
    </row>
    <row r="11" customFormat="false" ht="15" hidden="false" customHeight="false" outlineLevel="0" collapsed="false">
      <c r="A11" s="5" t="s">
        <v>8</v>
      </c>
      <c r="B11" s="8" t="n">
        <v>168000000</v>
      </c>
    </row>
    <row r="12" customFormat="false" ht="15" hidden="false" customHeight="false" outlineLevel="0" collapsed="false">
      <c r="A12" s="5" t="s">
        <v>9</v>
      </c>
      <c r="B12" s="8" t="n">
        <v>1400000000</v>
      </c>
    </row>
    <row r="13" customFormat="false" ht="15" hidden="false" customHeight="false" outlineLevel="0" collapsed="false">
      <c r="A13" s="5" t="s">
        <v>10</v>
      </c>
      <c r="B13" s="8" t="n">
        <v>5232000</v>
      </c>
    </row>
    <row r="14" customFormat="false" ht="15" hidden="false" customHeight="false" outlineLevel="0" collapsed="false">
      <c r="A14" s="5" t="s">
        <v>11</v>
      </c>
      <c r="B14" s="8" t="n">
        <v>214000000</v>
      </c>
    </row>
    <row r="15" customFormat="false" ht="15" hidden="false" customHeight="false" outlineLevel="0" collapsed="false">
      <c r="A15" s="5" t="s">
        <v>12</v>
      </c>
      <c r="B15" s="8" t="n">
        <v>9000000</v>
      </c>
    </row>
    <row r="16" customFormat="false" ht="15" hidden="false" customHeight="false" outlineLevel="0" collapsed="false">
      <c r="A16" s="5" t="s">
        <v>13</v>
      </c>
      <c r="B16" s="8" t="n">
        <v>53000000</v>
      </c>
    </row>
    <row r="17" customFormat="false" ht="15" hidden="false" customHeight="false" outlineLevel="0" collapsed="false">
      <c r="A17" s="5" t="s">
        <v>14</v>
      </c>
      <c r="B17" s="8" t="n">
        <v>47000000</v>
      </c>
    </row>
    <row r="18" customFormat="false" ht="15" hidden="false" customHeight="false" outlineLevel="0" collapsed="false">
      <c r="A18" s="5" t="s">
        <v>15</v>
      </c>
      <c r="B18" s="9" t="n">
        <v>6</v>
      </c>
    </row>
    <row r="19" customFormat="false" ht="15" hidden="false" customHeight="false" outlineLevel="0" collapsed="false">
      <c r="A19" s="5" t="s">
        <v>16</v>
      </c>
      <c r="B19" s="8" t="n">
        <v>68400000</v>
      </c>
    </row>
    <row r="21" customFormat="false" ht="15" hidden="false" customHeight="false" outlineLevel="0" collapsed="false">
      <c r="A21" s="7" t="s">
        <v>17</v>
      </c>
    </row>
    <row r="22" customFormat="false" ht="15" hidden="false" customHeight="false" outlineLevel="0" collapsed="false">
      <c r="A22" s="5" t="s">
        <v>18</v>
      </c>
      <c r="B22" s="8" t="n">
        <v>31204281.1587219</v>
      </c>
    </row>
    <row r="23" customFormat="false" ht="15" hidden="false" customHeight="false" outlineLevel="0" collapsed="false">
      <c r="A23" s="5" t="s">
        <v>19</v>
      </c>
      <c r="B23" s="8" t="n">
        <v>62000000</v>
      </c>
    </row>
    <row r="24" customFormat="false" ht="15" hidden="false" customHeight="false" outlineLevel="0" collapsed="false">
      <c r="A24" s="5" t="s">
        <v>20</v>
      </c>
      <c r="B24" s="8" t="n">
        <v>250000000</v>
      </c>
    </row>
    <row r="25" customFormat="false" ht="15" hidden="false" customHeight="false" outlineLevel="0" collapsed="false">
      <c r="A25" s="5" t="s">
        <v>21</v>
      </c>
      <c r="B25" s="8" t="n">
        <v>66049315.0684932</v>
      </c>
    </row>
    <row r="26" customFormat="false" ht="15" hidden="false" customHeight="false" outlineLevel="0" collapsed="false">
      <c r="A26" s="5" t="s">
        <v>22</v>
      </c>
      <c r="B26" s="10" t="n">
        <v>2.5</v>
      </c>
    </row>
    <row r="27" customFormat="false" ht="15" hidden="false" customHeight="false" outlineLevel="0" collapsed="false">
      <c r="A27" s="5" t="s">
        <v>23</v>
      </c>
      <c r="B27" s="11" t="n">
        <v>0.1</v>
      </c>
    </row>
    <row r="29" customFormat="false" ht="15" hidden="false" customHeight="false" outlineLevel="0" collapsed="false">
      <c r="A29" s="7" t="s">
        <v>24</v>
      </c>
    </row>
    <row r="30" customFormat="false" ht="15" hidden="false" customHeight="false" outlineLevel="0" collapsed="false">
      <c r="A30" s="5" t="s">
        <v>25</v>
      </c>
      <c r="B30" s="8" t="n">
        <v>550000000</v>
      </c>
    </row>
    <row r="31" customFormat="false" ht="15" hidden="false" customHeight="false" outlineLevel="0" collapsed="false">
      <c r="A31" s="5" t="s">
        <v>26</v>
      </c>
      <c r="B31" s="12" t="n">
        <v>3</v>
      </c>
    </row>
    <row r="32" customFormat="false" ht="15" hidden="false" customHeight="false" outlineLevel="0" collapsed="false">
      <c r="A32" s="5" t="s">
        <v>27</v>
      </c>
      <c r="B32" s="13" t="n">
        <v>4</v>
      </c>
    </row>
    <row r="33" customFormat="false" ht="15" hidden="false" customHeight="false" outlineLevel="0" collapsed="false">
      <c r="A33" s="5" t="s">
        <v>28</v>
      </c>
      <c r="B33" s="8" t="n">
        <v>26547500</v>
      </c>
    </row>
    <row r="34" customFormat="false" ht="15" hidden="false" customHeight="false" outlineLevel="0" collapsed="false">
      <c r="A34" s="5" t="s">
        <v>29</v>
      </c>
      <c r="B34" s="8" t="n">
        <v>1925000</v>
      </c>
    </row>
    <row r="35" customFormat="false" ht="15" hidden="false" customHeight="false" outlineLevel="0" collapsed="false">
      <c r="A35" s="5" t="s">
        <v>30</v>
      </c>
      <c r="B35" s="8" t="n">
        <v>300000000</v>
      </c>
    </row>
    <row r="36" customFormat="false" ht="15" hidden="false" customHeight="false" outlineLevel="0" collapsed="false">
      <c r="A36" s="5" t="s">
        <v>31</v>
      </c>
      <c r="B36" s="11" t="n">
        <v>0.0175</v>
      </c>
    </row>
    <row r="37" customFormat="false" ht="15" hidden="false" customHeight="false" outlineLevel="0" collapsed="false">
      <c r="A37" s="5" t="s">
        <v>32</v>
      </c>
      <c r="B37" s="11" t="n">
        <v>0.015</v>
      </c>
    </row>
    <row r="38" customFormat="false" ht="15" hidden="false" customHeight="false" outlineLevel="0" collapsed="false">
      <c r="A38" s="5" t="s">
        <v>33</v>
      </c>
      <c r="B38" s="14" t="n">
        <v>0.35</v>
      </c>
    </row>
    <row r="39" customFormat="false" ht="15" hidden="false" customHeight="false" outlineLevel="0" collapsed="false">
      <c r="A39" s="5" t="s">
        <v>34</v>
      </c>
      <c r="B39" s="11" t="n">
        <v>0.005</v>
      </c>
    </row>
    <row r="40" customFormat="false" ht="15" hidden="false" customHeight="false" outlineLevel="0" collapsed="false">
      <c r="A40" s="5" t="s">
        <v>35</v>
      </c>
      <c r="B40" s="15" t="n">
        <v>5</v>
      </c>
    </row>
    <row r="42" customFormat="false" ht="15" hidden="false" customHeight="false" outlineLevel="0" collapsed="false">
      <c r="A42" s="7" t="s">
        <v>36</v>
      </c>
    </row>
    <row r="43" customFormat="false" ht="15" hidden="false" customHeight="false" outlineLevel="0" collapsed="false">
      <c r="A43" s="5" t="s">
        <v>37</v>
      </c>
      <c r="B43" s="8" t="n">
        <v>-608000</v>
      </c>
    </row>
    <row r="44" customFormat="false" ht="15" hidden="false" customHeight="false" outlineLevel="0" collapsed="false">
      <c r="A44" s="5" t="s">
        <v>38</v>
      </c>
      <c r="B44" s="8" t="n">
        <v>64392000</v>
      </c>
    </row>
    <row r="45" customFormat="false" ht="15" hidden="false" customHeight="false" outlineLevel="0" collapsed="false">
      <c r="A45" s="5" t="s">
        <v>39</v>
      </c>
      <c r="B45" s="16" t="n">
        <v>0.781818181818182</v>
      </c>
    </row>
    <row r="46" customFormat="false" ht="15" hidden="false" customHeight="false" outlineLevel="0" collapsed="false">
      <c r="A46" s="5" t="s">
        <v>40</v>
      </c>
      <c r="B46" s="16" t="n">
        <v>0.735042735042735</v>
      </c>
    </row>
    <row r="47" customFormat="false" ht="15" hidden="false" customHeight="false" outlineLevel="0" collapsed="false">
      <c r="A47" s="5" t="s">
        <v>41</v>
      </c>
      <c r="B47" s="13" t="n">
        <v>5.80360998359098</v>
      </c>
    </row>
    <row r="48" customFormat="false" ht="15" hidden="false" customHeight="false" outlineLevel="0" collapsed="false">
      <c r="A48" s="5" t="s">
        <v>42</v>
      </c>
      <c r="B48" s="13" t="n">
        <v>5.21941747572816</v>
      </c>
    </row>
    <row r="49" customFormat="false" ht="15" hidden="false" customHeight="false" outlineLevel="0" collapsed="false">
      <c r="A49" s="5" t="s">
        <v>43</v>
      </c>
      <c r="B49" s="8" t="n">
        <v>3240000</v>
      </c>
    </row>
    <row r="50" customFormat="false" ht="15" hidden="false" customHeight="false" outlineLevel="0" collapsed="false">
      <c r="A50" s="5" t="s">
        <v>44</v>
      </c>
      <c r="B50" s="8" t="n">
        <v>120000000</v>
      </c>
    </row>
    <row r="51" customFormat="false" ht="15" hidden="false" customHeight="false" outlineLevel="0" collapsed="false">
      <c r="A51" s="5" t="s">
        <v>45</v>
      </c>
      <c r="B51" s="17" t="n">
        <v>1.08</v>
      </c>
    </row>
    <row r="52" customFormat="false" ht="15" hidden="false" customHeight="false" outlineLevel="0" collapsed="false">
      <c r="A52" s="5" t="s">
        <v>46</v>
      </c>
      <c r="B52" s="11" t="n">
        <v>0.625</v>
      </c>
    </row>
    <row r="54" customFormat="false" ht="15" hidden="false" customHeight="false" outlineLevel="0" collapsed="false">
      <c r="A54" s="7" t="s">
        <v>47</v>
      </c>
    </row>
    <row r="55" customFormat="false" ht="15" hidden="false" customHeight="false" outlineLevel="0" collapsed="false">
      <c r="A55" s="5" t="s">
        <v>48</v>
      </c>
      <c r="B55" s="18" t="n">
        <v>0.024</v>
      </c>
    </row>
    <row r="56" customFormat="false" ht="15" hidden="false" customHeight="false" outlineLevel="0" collapsed="false">
      <c r="A56" s="5" t="s">
        <v>49</v>
      </c>
      <c r="B56" s="8" t="n">
        <v>327000000</v>
      </c>
    </row>
    <row r="57" customFormat="false" ht="15" hidden="false" customHeight="false" outlineLevel="0" collapsed="false">
      <c r="A57" s="5" t="s">
        <v>50</v>
      </c>
      <c r="B57" s="16" t="n">
        <v>0.041025767955806</v>
      </c>
    </row>
    <row r="59" customFormat="false" ht="15" hidden="false" customHeight="false" outlineLevel="0" collapsed="false">
      <c r="A59" s="7" t="s">
        <v>51</v>
      </c>
    </row>
    <row r="60" customFormat="false" ht="15" hidden="false" customHeight="false" outlineLevel="0" collapsed="false">
      <c r="A60" s="5" t="s">
        <v>52</v>
      </c>
      <c r="B60" s="11" t="n">
        <v>0.029</v>
      </c>
    </row>
    <row r="61" customFormat="false" ht="15" hidden="false" customHeight="false" outlineLevel="0" collapsed="false">
      <c r="A61" s="5" t="s">
        <v>53</v>
      </c>
      <c r="B61" s="11" t="n">
        <v>0.0275</v>
      </c>
    </row>
    <row r="62" customFormat="false" ht="15" hidden="false" customHeight="false" outlineLevel="0" collapsed="false">
      <c r="A62" s="5" t="s">
        <v>54</v>
      </c>
      <c r="B62" s="11" t="n">
        <v>0.026</v>
      </c>
    </row>
    <row r="63" customFormat="false" ht="15" hidden="false" customHeight="false" outlineLevel="0" collapsed="false">
      <c r="A63" s="5" t="s">
        <v>55</v>
      </c>
      <c r="B63" s="14" t="n">
        <v>0.41</v>
      </c>
    </row>
    <row r="64" customFormat="false" ht="15" hidden="false" customHeight="false" outlineLevel="0" collapsed="false">
      <c r="A64" s="5" t="s">
        <v>56</v>
      </c>
      <c r="B64" s="19" t="n">
        <v>0.25</v>
      </c>
    </row>
    <row r="65" customFormat="false" ht="15" hidden="false" customHeight="false" outlineLevel="0" collapsed="false">
      <c r="A65" s="5" t="s">
        <v>57</v>
      </c>
      <c r="B65" s="14" t="n">
        <v>0.3</v>
      </c>
    </row>
    <row r="66" customFormat="false" ht="15" hidden="false" customHeight="false" outlineLevel="0" collapsed="false">
      <c r="A66" s="5" t="s">
        <v>58</v>
      </c>
      <c r="B66" s="14" t="n">
        <v>0.2</v>
      </c>
    </row>
    <row r="67" customFormat="false" ht="15" hidden="false" customHeight="false" outlineLevel="0" collapsed="false">
      <c r="A67" s="5" t="s">
        <v>59</v>
      </c>
      <c r="B67" s="8" t="n">
        <v>4200000</v>
      </c>
    </row>
    <row r="68" customFormat="false" ht="15" hidden="false" customHeight="false" outlineLevel="0" collapsed="false">
      <c r="A68" s="5" t="s">
        <v>60</v>
      </c>
      <c r="B68" s="15" t="n">
        <v>47</v>
      </c>
    </row>
    <row r="69" customFormat="false" ht="15" hidden="false" customHeight="false" outlineLevel="0" collapsed="false">
      <c r="A69" s="5" t="s">
        <v>61</v>
      </c>
      <c r="B69" s="15" t="n">
        <v>11</v>
      </c>
    </row>
    <row r="70" customFormat="false" ht="15" hidden="false" customHeight="false" outlineLevel="0" collapsed="false">
      <c r="A70" s="5" t="s">
        <v>62</v>
      </c>
      <c r="B70" s="20" t="n">
        <v>0.0005</v>
      </c>
    </row>
    <row r="71" customFormat="false" ht="15" hidden="false" customHeight="false" outlineLevel="0" collapsed="false">
      <c r="A71" s="5" t="s">
        <v>63</v>
      </c>
      <c r="B71" s="11" t="n">
        <v>0.001</v>
      </c>
    </row>
    <row r="72" customFormat="false" ht="15" hidden="false" customHeight="false" outlineLevel="0" collapsed="false">
      <c r="A72" s="5" t="s">
        <v>64</v>
      </c>
      <c r="B72" s="8" t="n">
        <v>50000000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65</v>
      </c>
    </row>
    <row r="2" customFormat="false" ht="15" hidden="false" customHeight="false" outlineLevel="0" collapsed="false">
      <c r="A2" s="2" t="s">
        <v>66</v>
      </c>
    </row>
    <row r="4" customFormat="false" ht="15" hidden="false" customHeight="false" outlineLevel="0" collapsed="false">
      <c r="A4" s="5" t="s">
        <v>67</v>
      </c>
      <c r="B4" s="21" t="n">
        <f aca="false">Inputs!$B$14-Inputs!$B$15-Inputs!$B$16-Inputs!$B$18*Inputs!$B$13</f>
        <v>120608000</v>
      </c>
    </row>
    <row r="6" customFormat="false" ht="15" hidden="false" customHeight="false" outlineLevel="0" collapsed="false">
      <c r="A6" s="7" t="s">
        <v>68</v>
      </c>
      <c r="B6" s="7" t="s">
        <v>69</v>
      </c>
      <c r="C6" s="7" t="s">
        <v>70</v>
      </c>
    </row>
    <row r="7" customFormat="false" ht="15" hidden="false" customHeight="false" outlineLevel="0" collapsed="false">
      <c r="A7" s="5" t="s">
        <v>71</v>
      </c>
      <c r="B7" s="22" t="n">
        <f aca="false">Inputs!$B$60</f>
        <v>0.029</v>
      </c>
      <c r="C7" s="21" t="n">
        <f aca="false">$B$4*B7</f>
        <v>3497632</v>
      </c>
    </row>
    <row r="8" customFormat="false" ht="15" hidden="false" customHeight="false" outlineLevel="0" collapsed="false">
      <c r="A8" s="5" t="s">
        <v>72</v>
      </c>
      <c r="B8" s="22" t="n">
        <f aca="false">Inputs!$B$61</f>
        <v>0.0275</v>
      </c>
      <c r="C8" s="21" t="n">
        <f aca="false">$B$4*B8</f>
        <v>3316720</v>
      </c>
    </row>
    <row r="9" customFormat="false" ht="15" hidden="false" customHeight="false" outlineLevel="0" collapsed="false">
      <c r="A9" s="5" t="s">
        <v>73</v>
      </c>
      <c r="B9" s="22" t="n">
        <f aca="false">Inputs!$B$62</f>
        <v>0.026</v>
      </c>
      <c r="C9" s="21" t="n">
        <f aca="false">$B$4*B9</f>
        <v>3135808</v>
      </c>
    </row>
    <row r="11" customFormat="false" ht="15" hidden="false" customHeight="false" outlineLevel="0" collapsed="false">
      <c r="A11" s="5" t="s">
        <v>74</v>
      </c>
      <c r="B11" s="21" t="n">
        <f aca="false">C7-C9</f>
        <v>361824</v>
      </c>
    </row>
    <row r="12" customFormat="false" ht="15" hidden="false" customHeight="false" outlineLevel="0" collapsed="false">
      <c r="A12" s="5" t="s">
        <v>75</v>
      </c>
      <c r="B12" s="21" t="n">
        <f aca="false">C7-C8</f>
        <v>180912</v>
      </c>
    </row>
    <row r="13" customFormat="false" ht="15" hidden="false" customHeight="false" outlineLevel="0" collapsed="false">
      <c r="A13" s="5" t="s">
        <v>76</v>
      </c>
      <c r="B13" s="22" t="n">
        <f aca="false">B11/$B$4</f>
        <v>0.003</v>
      </c>
    </row>
    <row r="14" customFormat="false" ht="15" hidden="false" customHeight="false" outlineLevel="0" collapsed="false">
      <c r="A14" s="5" t="s">
        <v>77</v>
      </c>
      <c r="B14" s="23" t="n">
        <f aca="false">B11/Inputs!$B$11</f>
        <v>0.00215371428571429</v>
      </c>
    </row>
    <row r="15" customFormat="false" ht="15" hidden="false" customHeight="false" outlineLevel="0" collapsed="false">
      <c r="A15" s="5" t="s">
        <v>78</v>
      </c>
      <c r="B15" s="23" t="n">
        <f aca="false">B11/Inputs!$B$13</f>
        <v>0.0691559633027523</v>
      </c>
    </row>
    <row r="17" customFormat="false" ht="15" hidden="false" customHeight="false" outlineLevel="0" collapsed="false">
      <c r="A17" s="5" t="s">
        <v>79</v>
      </c>
      <c r="B17" s="21" t="n">
        <f aca="false">Inputs!$B$22+Inputs!$B$23</f>
        <v>93204281.1587219</v>
      </c>
    </row>
    <row r="18" customFormat="false" ht="15" hidden="false" customHeight="false" outlineLevel="0" collapsed="false">
      <c r="A18" s="5" t="s">
        <v>80</v>
      </c>
      <c r="B18" s="21" t="n">
        <f aca="false">$B$4-B17</f>
        <v>27403718.8412781</v>
      </c>
    </row>
    <row r="19" customFormat="false" ht="15" hidden="false" customHeight="false" outlineLevel="0" collapsed="false">
      <c r="A19" s="5" t="s">
        <v>81</v>
      </c>
      <c r="B19" s="24" t="n">
        <f aca="false">B18/Inputs!$B$13</f>
        <v>5.23771384581003</v>
      </c>
    </row>
    <row r="21" customFormat="false" ht="15" hidden="false" customHeight="false" outlineLevel="0" collapsed="false">
      <c r="A21" s="7" t="s">
        <v>82</v>
      </c>
    </row>
    <row r="22" customFormat="false" ht="15" hidden="false" customHeight="false" outlineLevel="0" collapsed="false">
      <c r="A22" s="5" t="s">
        <v>83</v>
      </c>
      <c r="B22" s="21" t="n">
        <f aca="false">Inputs!$B$14*Inputs!$B$63</f>
        <v>87740000</v>
      </c>
    </row>
    <row r="23" customFormat="false" ht="15" hidden="false" customHeight="false" outlineLevel="0" collapsed="false">
      <c r="A23" s="5" t="s">
        <v>84</v>
      </c>
      <c r="B23" s="21" t="n">
        <f aca="false">Inputs!$B$14*Inputs!$B$64</f>
        <v>53500000</v>
      </c>
    </row>
    <row r="24" customFormat="false" ht="15" hidden="false" customHeight="false" outlineLevel="0" collapsed="false">
      <c r="A24" s="5" t="s">
        <v>85</v>
      </c>
      <c r="B24" s="21" t="n">
        <f aca="false">B22-B23</f>
        <v>34240000</v>
      </c>
    </row>
    <row r="25" customFormat="false" ht="15" hidden="false" customHeight="false" outlineLevel="0" collapsed="false">
      <c r="A25" s="5" t="s">
        <v>86</v>
      </c>
      <c r="B25" s="21" t="n">
        <f aca="false">Inputs!$B$14*Inputs!$B$65</f>
        <v>64200000</v>
      </c>
    </row>
    <row r="26" customFormat="false" ht="15" hidden="false" customHeight="false" outlineLevel="0" collapsed="false">
      <c r="A26" s="5" t="s">
        <v>87</v>
      </c>
      <c r="B26" s="21" t="n">
        <f aca="false">B22-B25</f>
        <v>23540000</v>
      </c>
    </row>
    <row r="27" customFormat="false" ht="15" hidden="false" customHeight="false" outlineLevel="0" collapsed="false">
      <c r="A27" s="5" t="s">
        <v>88</v>
      </c>
      <c r="B27" s="21" t="n">
        <f aca="false">Inputs!$B$14*Inputs!$B$66</f>
        <v>42800000</v>
      </c>
    </row>
    <row r="28" customFormat="false" ht="15" hidden="false" customHeight="false" outlineLevel="0" collapsed="false">
      <c r="A28" s="5" t="s">
        <v>87</v>
      </c>
      <c r="B28" s="21" t="n">
        <f aca="false">B22-B27</f>
        <v>44940000</v>
      </c>
    </row>
    <row r="29" customFormat="false" ht="15" hidden="false" customHeight="false" outlineLevel="0" collapsed="false">
      <c r="A29" s="5" t="s">
        <v>89</v>
      </c>
      <c r="B29" s="23" t="n">
        <f aca="false">Inputs!$B$19/Inputs!$B$14</f>
        <v>0.319626168224299</v>
      </c>
    </row>
    <row r="30" customFormat="false" ht="15" hidden="false" customHeight="false" outlineLevel="0" collapsed="false">
      <c r="A30" s="5" t="s">
        <v>90</v>
      </c>
      <c r="B30" s="21" t="n">
        <f aca="false">B22-Inputs!$B$19</f>
        <v>19340000</v>
      </c>
    </row>
    <row r="31" customFormat="false" ht="15" hidden="false" customHeight="false" outlineLevel="0" collapsed="false">
      <c r="A31" s="5" t="s">
        <v>91</v>
      </c>
      <c r="B31" s="21" t="n">
        <f aca="false">B24*(Inputs!$B$60-Inputs!$B$62)</f>
        <v>102720</v>
      </c>
    </row>
    <row r="33" customFormat="false" ht="15" hidden="false" customHeight="false" outlineLevel="0" collapsed="false">
      <c r="A33" s="7" t="s">
        <v>92</v>
      </c>
    </row>
    <row r="34" customFormat="false" ht="15" hidden="false" customHeight="false" outlineLevel="0" collapsed="false">
      <c r="A34" s="5" t="s">
        <v>93</v>
      </c>
      <c r="B34" s="21" t="n">
        <f aca="false">Inputs!$B$22</f>
        <v>31204281.1587219</v>
      </c>
    </row>
    <row r="35" customFormat="false" ht="15" hidden="false" customHeight="false" outlineLevel="0" collapsed="false">
      <c r="A35" s="5" t="s">
        <v>94</v>
      </c>
      <c r="B35" s="21" t="n">
        <f aca="false">Inputs!$B$23</f>
        <v>62000000</v>
      </c>
    </row>
    <row r="36" customFormat="false" ht="15" hidden="false" customHeight="false" outlineLevel="0" collapsed="false">
      <c r="A36" s="5" t="s">
        <v>95</v>
      </c>
      <c r="B36" s="21" t="n">
        <f aca="false">$B$4-B34-B35</f>
        <v>27403718.8412781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96</v>
      </c>
    </row>
    <row r="2" customFormat="false" ht="15" hidden="false" customHeight="false" outlineLevel="0" collapsed="false">
      <c r="A2" s="2" t="s">
        <v>97</v>
      </c>
    </row>
    <row r="4" customFormat="false" ht="15" hidden="false" customHeight="false" outlineLevel="0" collapsed="false">
      <c r="A4" s="5" t="s">
        <v>98</v>
      </c>
      <c r="B4" s="21" t="n">
        <f aca="false">Inputs!$B$67/Inputs!$B$68</f>
        <v>89361.7021276596</v>
      </c>
    </row>
    <row r="5" customFormat="false" ht="15" hidden="false" customHeight="false" outlineLevel="0" collapsed="false">
      <c r="A5" s="5" t="s">
        <v>99</v>
      </c>
      <c r="B5" s="21" t="n">
        <f aca="false">Inputs!$B$67/Inputs!$B$69</f>
        <v>381818.181818182</v>
      </c>
    </row>
    <row r="6" customFormat="false" ht="15" hidden="false" customHeight="false" outlineLevel="0" collapsed="false">
      <c r="A6" s="5" t="s">
        <v>100</v>
      </c>
      <c r="B6" s="23" t="n">
        <f aca="false">Inputs!$B$67/Inputs!$B$33</f>
        <v>0.15820698747528</v>
      </c>
    </row>
    <row r="8" customFormat="false" ht="15" hidden="false" customHeight="false" outlineLevel="0" collapsed="false">
      <c r="A8" s="7" t="s">
        <v>101</v>
      </c>
      <c r="B8" s="7" t="s">
        <v>102</v>
      </c>
    </row>
    <row r="9" customFormat="false" ht="15" hidden="false" customHeight="false" outlineLevel="0" collapsed="false">
      <c r="A9" s="5" t="s">
        <v>103</v>
      </c>
      <c r="B9" s="21" t="n">
        <f aca="false">Inputs!$B$67</f>
        <v>4200000</v>
      </c>
    </row>
    <row r="10" customFormat="false" ht="15" hidden="false" customHeight="false" outlineLevel="0" collapsed="false">
      <c r="A10" s="5" t="s">
        <v>104</v>
      </c>
      <c r="B10" s="21" t="n">
        <f aca="false">Inputs!$B$24*Inputs!$B$37*Inputs!$B$38</f>
        <v>1312500</v>
      </c>
    </row>
    <row r="11" customFormat="false" ht="15" hidden="false" customHeight="false" outlineLevel="0" collapsed="false">
      <c r="A11" s="5" t="s">
        <v>105</v>
      </c>
      <c r="B11" s="21" t="n">
        <f aca="false">Inputs!$B$24*Inputs!$B$39/Inputs!$B$40</f>
        <v>250000</v>
      </c>
    </row>
    <row r="12" customFormat="false" ht="15" hidden="false" customHeight="false" outlineLevel="0" collapsed="false">
      <c r="A12" s="5" t="s">
        <v>31</v>
      </c>
      <c r="B12" s="21" t="n">
        <f aca="false">Inputs!$B$35*Inputs!$B$36</f>
        <v>5250000</v>
      </c>
    </row>
    <row r="13" customFormat="false" ht="15" hidden="false" customHeight="false" outlineLevel="0" collapsed="false">
      <c r="A13" s="5" t="s">
        <v>106</v>
      </c>
      <c r="B13" s="21" t="n">
        <f aca="false">Inputs!$B$50/Inputs!$B$51*Inputs!$B$70</f>
        <v>55555.5555555556</v>
      </c>
    </row>
    <row r="14" customFormat="false" ht="15" hidden="false" customHeight="false" outlineLevel="0" collapsed="false">
      <c r="A14" s="25" t="s">
        <v>107</v>
      </c>
      <c r="B14" s="21" t="n">
        <f aca="false">SUM(B9:B13)</f>
        <v>11068055.5555556</v>
      </c>
    </row>
    <row r="15" customFormat="false" ht="15" hidden="false" customHeight="false" outlineLevel="0" collapsed="false">
      <c r="A15" s="5" t="s">
        <v>108</v>
      </c>
      <c r="B15" s="21" t="n">
        <f aca="false">Inputs!$B$50/Inputs!$B$51*Inputs!$B$71</f>
        <v>111111.111111111</v>
      </c>
    </row>
    <row r="16" customFormat="false" ht="15" hidden="false" customHeight="false" outlineLevel="0" collapsed="false">
      <c r="A16" s="5" t="s">
        <v>109</v>
      </c>
      <c r="B16" s="21" t="n">
        <f aca="false">B14-B13+B15</f>
        <v>11123611.1111111</v>
      </c>
    </row>
    <row r="17" customFormat="false" ht="15" hidden="false" customHeight="false" outlineLevel="0" collapsed="false">
      <c r="A17" s="5" t="s">
        <v>110</v>
      </c>
      <c r="B17" s="23" t="n">
        <f aca="false">B9/B14</f>
        <v>0.379470447985946</v>
      </c>
    </row>
    <row r="19" customFormat="false" ht="15" hidden="false" customHeight="false" outlineLevel="0" collapsed="false">
      <c r="A19" s="7" t="s">
        <v>111</v>
      </c>
    </row>
    <row r="20" customFormat="false" ht="15" hidden="false" customHeight="false" outlineLevel="0" collapsed="false">
      <c r="A20" s="5" t="s">
        <v>112</v>
      </c>
      <c r="B20" s="26" t="n">
        <f aca="false">Inputs!$B$72/Inputs!$B$24</f>
        <v>0.2</v>
      </c>
    </row>
    <row r="21" customFormat="false" ht="15" hidden="false" customHeight="false" outlineLevel="0" collapsed="false">
      <c r="A21" s="5" t="s">
        <v>113</v>
      </c>
      <c r="B21" s="21" t="n">
        <f aca="false">Inputs!$B$72*Inputs!$B$37*Inputs!$B$38</f>
        <v>262500</v>
      </c>
    </row>
    <row r="22" customFormat="false" ht="15" hidden="false" customHeight="false" outlineLevel="0" collapsed="false">
      <c r="A22" s="5" t="s">
        <v>114</v>
      </c>
      <c r="B22" s="21" t="n">
        <f aca="false">Inputs!$B$72*Inputs!$B$39/Inputs!$B$40</f>
        <v>50000</v>
      </c>
    </row>
    <row r="23" customFormat="false" ht="15" hidden="false" customHeight="false" outlineLevel="0" collapsed="false">
      <c r="A23" s="5" t="s">
        <v>115</v>
      </c>
      <c r="B23" s="21" t="n">
        <f aca="false">B21+B22</f>
        <v>312500</v>
      </c>
    </row>
    <row r="24" customFormat="false" ht="15" hidden="false" customHeight="false" outlineLevel="0" collapsed="false">
      <c r="A24" s="5" t="s">
        <v>116</v>
      </c>
      <c r="B24" s="23" t="n">
        <f aca="false">B23/Inputs!$B$72</f>
        <v>0.00625</v>
      </c>
    </row>
    <row r="25" customFormat="false" ht="15" hidden="false" customHeight="false" outlineLevel="0" collapsed="false">
      <c r="A25" s="5" t="s">
        <v>117</v>
      </c>
      <c r="B25" s="21" t="n">
        <f aca="false">Inputs!$B$72*Inputs!$B$37</f>
        <v>750000</v>
      </c>
    </row>
    <row r="26" customFormat="false" ht="15" hidden="false" customHeight="false" outlineLevel="0" collapsed="false">
      <c r="A26" s="5" t="s">
        <v>118</v>
      </c>
      <c r="B26" s="21" t="n">
        <f aca="false">(B9+B13)*B20</f>
        <v>851111.111111111</v>
      </c>
    </row>
    <row r="28" customFormat="false" ht="15" hidden="false" customHeight="false" outlineLevel="0" collapsed="false">
      <c r="A28" s="5" t="s">
        <v>119</v>
      </c>
      <c r="B28" s="23" t="n">
        <f aca="false">Surplus!$B$22/Surplus!$B$4</f>
        <v>0.727480764128416</v>
      </c>
    </row>
    <row r="29" customFormat="false" ht="15" hidden="false" customHeight="false" outlineLevel="0" collapsed="false">
      <c r="A29" s="5" t="s">
        <v>120</v>
      </c>
      <c r="B29" s="23" t="n">
        <f aca="false">Inputs!$B$19/Surplus!$B$4</f>
        <v>0.567126558768904</v>
      </c>
    </row>
    <row r="30" customFormat="false" ht="15" hidden="false" customHeight="false" outlineLevel="0" collapsed="false">
      <c r="A30" s="5" t="s">
        <v>121</v>
      </c>
      <c r="B30" s="24" t="n">
        <f aca="false">B15/B4</f>
        <v>1.24338624338624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122</v>
      </c>
    </row>
    <row r="2" customFormat="false" ht="15" hidden="false" customHeight="false" outlineLevel="0" collapsed="false">
      <c r="A2" s="2" t="s">
        <v>123</v>
      </c>
    </row>
    <row r="4" customFormat="false" ht="15" hidden="false" customHeight="false" outlineLevel="0" collapsed="false">
      <c r="A4" s="5" t="s">
        <v>124</v>
      </c>
      <c r="B4" s="21" t="n">
        <f aca="false">Inputs!$B$13</f>
        <v>5232000</v>
      </c>
    </row>
    <row r="5" customFormat="false" ht="15" hidden="false" customHeight="false" outlineLevel="0" collapsed="false">
      <c r="A5" s="5" t="s">
        <v>125</v>
      </c>
      <c r="B5" s="21" t="n">
        <f aca="false">5*B4</f>
        <v>26160000</v>
      </c>
    </row>
    <row r="6" customFormat="false" ht="15" hidden="false" customHeight="false" outlineLevel="0" collapsed="false">
      <c r="A6" s="5" t="s">
        <v>126</v>
      </c>
      <c r="B6" s="23" t="n">
        <f aca="false">B4/Inputs!$B$56</f>
        <v>0.016</v>
      </c>
    </row>
    <row r="7" customFormat="false" ht="15" hidden="false" customHeight="false" outlineLevel="0" collapsed="false">
      <c r="A7" s="5" t="s">
        <v>127</v>
      </c>
      <c r="B7" s="23" t="n">
        <f aca="false">Inputs!$B$57</f>
        <v>0.041025767955806</v>
      </c>
    </row>
    <row r="8" customFormat="false" ht="15" hidden="false" customHeight="false" outlineLevel="0" collapsed="false">
      <c r="A8" s="5" t="s">
        <v>128</v>
      </c>
      <c r="B8" s="21" t="n">
        <f aca="false">Inputs!$B$14-Surplus!$B$22</f>
        <v>126260000</v>
      </c>
    </row>
    <row r="9" customFormat="false" ht="15" hidden="false" customHeight="false" outlineLevel="0" collapsed="false">
      <c r="A9" s="5" t="s">
        <v>129</v>
      </c>
      <c r="B9" s="21" t="n">
        <f aca="false">Inputs!$B$17</f>
        <v>47000000</v>
      </c>
    </row>
    <row r="10" customFormat="false" ht="15" hidden="false" customHeight="false" outlineLevel="0" collapsed="false">
      <c r="A10" s="5" t="s">
        <v>130</v>
      </c>
      <c r="B10" s="24" t="n">
        <f aca="false">B4/Wallet!$B$4</f>
        <v>58.5485714285714</v>
      </c>
    </row>
    <row r="11" customFormat="false" ht="15" hidden="false" customHeight="false" outlineLevel="0" collapsed="false">
      <c r="A11" s="5" t="s">
        <v>131</v>
      </c>
      <c r="B11" s="24" t="n">
        <f aca="false">B4/Inputs!$B$67</f>
        <v>1.24571428571429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8"/>
    <col collapsed="false" customWidth="true" hidden="false" outlineLevel="0" max="4" min="4" style="0" width="70"/>
    <col collapsed="false" customWidth="true" hidden="false" outlineLevel="0" max="6" min="5" style="0" width="18"/>
  </cols>
  <sheetData>
    <row r="1" customFormat="false" ht="16.15" hidden="false" customHeight="false" outlineLevel="0" collapsed="false">
      <c r="A1" s="1" t="s">
        <v>132</v>
      </c>
    </row>
    <row r="2" customFormat="false" ht="15" hidden="false" customHeight="false" outlineLevel="0" collapsed="false">
      <c r="A2" s="2" t="s">
        <v>133</v>
      </c>
    </row>
    <row r="4" customFormat="false" ht="15" hidden="false" customHeight="false" outlineLevel="0" collapsed="false">
      <c r="A4" s="7" t="s">
        <v>134</v>
      </c>
      <c r="B4" s="7" t="s">
        <v>135</v>
      </c>
      <c r="C4" s="7" t="s">
        <v>136</v>
      </c>
      <c r="D4" s="7" t="s">
        <v>137</v>
      </c>
    </row>
    <row r="5" customFormat="false" ht="15" hidden="false" customHeight="false" outlineLevel="0" collapsed="false">
      <c r="A5" s="5" t="s">
        <v>138</v>
      </c>
      <c r="B5" s="21" t="n">
        <f aca="false">Inputs!$B$14</f>
        <v>214000000</v>
      </c>
      <c r="C5" s="5" t="s">
        <v>139</v>
      </c>
      <c r="D5" s="5" t="str">
        <f aca="false">"the four readings below"</f>
        <v>the four readings below</v>
      </c>
    </row>
    <row r="6" customFormat="false" ht="15" hidden="false" customHeight="false" outlineLevel="0" collapsed="false">
      <c r="A6" s="5" t="s">
        <v>140</v>
      </c>
      <c r="B6" s="21" t="n">
        <f aca="false">Inputs!$B$14-Inputs!$B$15</f>
        <v>205000000</v>
      </c>
      <c r="C6" s="5" t="s">
        <v>139</v>
      </c>
      <c r="D6" s="5" t="str">
        <f aca="false">"restricted "&amp;TEXT(Inputs!$B$15,"#,##0.00")</f>
        <v>restricted 9,000,000.00</v>
      </c>
    </row>
    <row r="7" customFormat="false" ht="15" hidden="false" customHeight="false" outlineLevel="0" collapsed="false">
      <c r="A7" s="5" t="s">
        <v>141</v>
      </c>
      <c r="B7" s="21" t="n">
        <f aca="false">(Inputs!$B$14-Inputs!$B$15-Inputs!$B$16)</f>
        <v>152000000</v>
      </c>
      <c r="C7" s="5" t="s">
        <v>139</v>
      </c>
      <c r="D7" s="5" t="str">
        <f aca="false">"trapped "&amp;TEXT(Inputs!$B$16,"#,##0.00")</f>
        <v>trapped 53,000,000.00</v>
      </c>
    </row>
    <row r="8" customFormat="false" ht="15" hidden="false" customHeight="false" outlineLevel="0" collapsed="false">
      <c r="A8" s="5" t="s">
        <v>142</v>
      </c>
      <c r="B8" s="21" t="n">
        <f aca="false">((Inputs!$B$14-Inputs!$B$15-Inputs!$B$16)-Inputs!$B$18*Inputs!$B$13)</f>
        <v>120608000</v>
      </c>
      <c r="C8" s="5" t="s">
        <v>139</v>
      </c>
      <c r="D8" s="5" t="str">
        <f aca="false">"float "&amp;TEXT(Inputs!$B$18*Inputs!$B$13,"#,##0.00")&amp;" at "&amp;Inputs!$B$18&amp;" days"</f>
        <v>float 31,392,000.00 at 6 days</v>
      </c>
    </row>
    <row r="9" customFormat="false" ht="15" hidden="false" customHeight="false" outlineLevel="0" collapsed="false">
      <c r="A9" s="5" t="s">
        <v>143</v>
      </c>
      <c r="B9" s="21" t="n">
        <f aca="false">Inputs!$B$19</f>
        <v>68400000</v>
      </c>
      <c r="C9" s="5" t="s">
        <v>139</v>
      </c>
      <c r="D9" s="5" t="str">
        <f aca="false">"spread to reported "&amp;TEXT(B5-B9,"#,##0.00")&amp;", "&amp;TEXT((B5-B9)/B5,"0.0000%")</f>
        <v>spread to reported 145,600,000.00, 68.0374%</v>
      </c>
    </row>
    <row r="10" customFormat="false" ht="15" hidden="false" customHeight="false" outlineLevel="0" collapsed="false">
      <c r="A10" s="5" t="s">
        <v>144</v>
      </c>
      <c r="B10" s="21" t="n">
        <f aca="false">Inputs!$B$18*Inputs!$B$13+(Inputs!$B$22+Inputs!$B$23)</f>
        <v>124596281.158722</v>
      </c>
      <c r="C10" s="5" t="s">
        <v>145</v>
      </c>
      <c r="D10" s="5" t="str">
        <f aca="false">"float + reserve + seasonal peak; "&amp;TEXT((Inputs!$B$22+Inputs!$B$23),"#,##0.00")&amp;" above the float"</f>
        <v>float + reserve + seasonal peak; 93,204,281.16 above the float</v>
      </c>
    </row>
    <row r="11" customFormat="false" ht="15" hidden="false" customHeight="false" outlineLevel="0" collapsed="false">
      <c r="A11" s="5" t="s">
        <v>146</v>
      </c>
      <c r="B11" s="21" t="n">
        <f aca="false">((Inputs!$B$14-Inputs!$B$15-Inputs!$B$16)-Inputs!$B$18*Inputs!$B$13)+Inputs!$B$24</f>
        <v>370608000</v>
      </c>
      <c r="C11" s="5" t="s">
        <v>145</v>
      </c>
      <c r="D11" s="5" t="str">
        <f aca="false">TEXT(B11-(Inputs!$B$22+Inputs!$B$23),"#,##0.00")&amp;" over the minimum above the float, "&amp;TEXT(B11/(Inputs!$B$22+Inputs!$B$23),"0.0000")&amp;"x"</f>
        <v>277,403,718.84 over the minimum above the float, 3.9763x</v>
      </c>
    </row>
    <row r="12" customFormat="false" ht="15" hidden="false" customHeight="false" outlineLevel="0" collapsed="false">
      <c r="A12" s="5" t="s">
        <v>147</v>
      </c>
      <c r="B12" s="21" t="n">
        <f aca="false">((Inputs!$B$14-Inputs!$B$15-Inputs!$B$16)-Inputs!$B$18*Inputs!$B$13)-(Inputs!$B$22+Inputs!$B$23)</f>
        <v>27403718.8412781</v>
      </c>
      <c r="C12" s="5" t="s">
        <v>145</v>
      </c>
      <c r="D12" s="5" t="str">
        <f aca="false">TEXT(B12/Inputs!$B$13,"0.0000")&amp;" days of disbursements; "&amp;TEXT(B12-Inputs!$B$25,"#,##0.00")&amp;" if the Chapter 10 programme leaves too"</f>
        <v>5.2377 days of disbursements; -38,645,596.23 if the Chapter 10 programme leaves too</v>
      </c>
    </row>
    <row r="13" customFormat="false" ht="15" hidden="false" customHeight="false" outlineLevel="0" collapsed="false">
      <c r="A13" s="5" t="s">
        <v>148</v>
      </c>
      <c r="B13" s="23" t="n">
        <f aca="false">(1-(Inputs!$B$30-(Inputs!$B$14-Inputs!$B$15-Inputs!$B$16))/Inputs!$B$31/Inputs!$B$11)/Inputs!$B$26</f>
        <v>0.0841269841269841</v>
      </c>
      <c r="C13" s="5" t="s">
        <v>149</v>
      </c>
      <c r="D13" s="5" t="str">
        <f aca="false">"EBITDA fall "&amp;TEXT(B13*Inputs!$B$26,"0.0000%")&amp;", trailing twelve months; downside case -"&amp;TEXT(Inputs!$B$27,"0.00%")</f>
        <v>EBITDA fall 21.0317%, trailing twelve months; downside case -10.00%</v>
      </c>
    </row>
    <row r="14" customFormat="false" ht="15" hidden="false" customHeight="false" outlineLevel="0" collapsed="false">
      <c r="A14" s="5" t="s">
        <v>150</v>
      </c>
      <c r="B14" s="27" t="n">
        <f aca="false">(Inputs!$B$30-Inputs!$B$14)/Inputs!$B$11</f>
        <v>2</v>
      </c>
      <c r="C14" s="5" t="s">
        <v>151</v>
      </c>
      <c r="D14" s="5" t="str">
        <f aca="false">TEXT(Inputs!$B$31,"0.00")&amp;"x; headroom "&amp;TEXT(Inputs!$B$31-B14,"0.0000")&amp;" turns"</f>
        <v>3.00x; headroom 1.0000 turns</v>
      </c>
    </row>
    <row r="15" customFormat="false" ht="15" hidden="false" customHeight="false" outlineLevel="0" collapsed="false">
      <c r="A15" s="5" t="s">
        <v>152</v>
      </c>
      <c r="B15" s="27" t="n">
        <f aca="false">(Inputs!$B$30-(Inputs!$B$14-Inputs!$B$15-Inputs!$B$16))/Inputs!$B$11</f>
        <v>2.36904761904762</v>
      </c>
      <c r="C15" s="5" t="s">
        <v>151</v>
      </c>
      <c r="D15" s="5" t="str">
        <f aca="false">TEXT(Inputs!$B$31,"0.00")&amp;"x; headroom "&amp;TEXT(Inputs!$B$31-B15,"0.0000")&amp;" turns"</f>
        <v>3.00x; headroom 0.6310 turns</v>
      </c>
    </row>
    <row r="16" customFormat="false" ht="15" hidden="false" customHeight="false" outlineLevel="0" collapsed="false">
      <c r="A16" s="5" t="s">
        <v>153</v>
      </c>
      <c r="B16" s="27" t="n">
        <f aca="false">(Inputs!$B$30-((Inputs!$B$14-Inputs!$B$15-Inputs!$B$16)-Inputs!$B$18*Inputs!$B$13))/Inputs!$B$11</f>
        <v>2.55590476190476</v>
      </c>
      <c r="C16" s="5" t="s">
        <v>151</v>
      </c>
      <c r="D16" s="5" t="str">
        <f aca="false">TEXT(Inputs!$B$31,"0.00")&amp;"x; headroom "&amp;TEXT(Inputs!$B$31-B16,"0.0000")&amp;" turns"</f>
        <v>3.00x; headroom 0.4441 turns</v>
      </c>
    </row>
    <row r="17" customFormat="false" ht="15" hidden="false" customHeight="false" outlineLevel="0" collapsed="false">
      <c r="A17" s="5" t="s">
        <v>154</v>
      </c>
      <c r="B17" s="27" t="n">
        <f aca="false">Inputs!$B$11/Inputs!$B$33</f>
        <v>6.32827949901121</v>
      </c>
      <c r="C17" s="5" t="s">
        <v>151</v>
      </c>
      <c r="D17" s="5" t="str">
        <f aca="false">TEXT(Inputs!$B$32,"0.00")&amp;"x; headroom "&amp;TEXT(B17-Inputs!$B$32,"0.0000")&amp;" turns; "&amp;TEXT(Inputs!$B$11/(Inputs!$B$33+Inputs!$B$34),"0.0000")&amp;"x with the overdraft interest"</f>
        <v>4.00x; headroom 2.3283 turns; 5.9004x with the overdraft interest</v>
      </c>
    </row>
    <row r="18" customFormat="false" ht="15" hidden="false" customHeight="false" outlineLevel="0" collapsed="false">
      <c r="A18" s="5" t="s">
        <v>155</v>
      </c>
      <c r="B18" s="21" t="n">
        <f aca="false">Inputs!$B$43</f>
        <v>-608000</v>
      </c>
      <c r="C18" s="5" t="s">
        <v>156</v>
      </c>
      <c r="D18" s="5" t="str">
        <f aca="false">"zero; at most "&amp;TEXT(Inputs!$B$44,"#,##0.00")&amp;" on home-currency cash only; fixed share "&amp;TEXT(Inputs!$B$45,"0.0000%")&amp;", or "&amp;TEXT(Inputs!$B$46,"0.0000%")&amp;" counting the netted overdrafts"</f>
        <v>zero; at most 64,392,000.00 on home-currency cash only; fixed share 78.1818%, or 73.5043% counting the netted overdrafts</v>
      </c>
    </row>
    <row r="19" customFormat="false" ht="15" hidden="false" customHeight="false" outlineLevel="0" collapsed="false">
      <c r="A19" s="5" t="s">
        <v>157</v>
      </c>
      <c r="B19" s="27" t="n">
        <f aca="false">Inputs!$B$47</f>
        <v>5.80360998359098</v>
      </c>
      <c r="C19" s="5" t="s">
        <v>156</v>
      </c>
      <c r="D19" s="5" t="str">
        <f aca="false">TEXT(Inputs!$B$32,"0.00")&amp;"x; "&amp;TEXT(Inputs!$B$48,"0.0000")&amp;"x without the swap, which saves "&amp;TEXT(Inputs!$B$49,"#,##0.00")</f>
        <v>4.00x; 5.2194x without the swap, which saves 3,240,000.00</v>
      </c>
    </row>
    <row r="20" customFormat="false" ht="15" hidden="false" customHeight="false" outlineLevel="0" collapsed="false">
      <c r="A20" s="5" t="s">
        <v>158</v>
      </c>
      <c r="B20" s="22" t="n">
        <f aca="false">Inputs!$B$52</f>
        <v>0.625</v>
      </c>
      <c r="C20" s="5" t="s">
        <v>159</v>
      </c>
      <c r="D20" s="5" t="str">
        <f aca="false">TEXT(Inputs!$B$50*Inputs!$B$52,"#,##0.00")&amp;" of "&amp;TEXT(Inputs!$B$50,"#,##0.00")&amp;" covered"</f>
        <v>75,000,000.00 of 120,000,000.00 covered</v>
      </c>
    </row>
    <row r="21" customFormat="false" ht="15" hidden="false" customHeight="false" outlineLevel="0" collapsed="false">
      <c r="A21" s="5" t="s">
        <v>160</v>
      </c>
      <c r="B21" s="21" t="n">
        <f aca="false">Inputs!$B$50/Inputs!$B$51-Inputs!$B$50/(Inputs!$B$51+0.01)</f>
        <v>1019367.99184506</v>
      </c>
      <c r="C21" s="5" t="s">
        <v>159</v>
      </c>
      <c r="D21" s="5" t="str">
        <f aca="false">TEXT(B21/Inputs!$B$11,"0.0000%")&amp;" of EBITDA; ten cents "&amp;TEXT((Inputs!$B$50/Inputs!$B$51-Inputs!$B$50/(Inputs!$B$51+0.1))/Inputs!$B$11,"0.0000%")</f>
        <v>0.6068% of EBITDA; ten cents 5.6049%</v>
      </c>
    </row>
    <row r="22" customFormat="false" ht="15" hidden="false" customHeight="false" outlineLevel="0" collapsed="false">
      <c r="A22" s="5" t="s">
        <v>161</v>
      </c>
      <c r="B22" s="21" t="n">
        <f aca="false">Surplus!$B$24</f>
        <v>34240000</v>
      </c>
      <c r="C22" s="5" t="s">
        <v>162</v>
      </c>
      <c r="D22" s="5" t="str">
        <f aca="false">TEXT(Inputs!$B$63,"0%")&amp;" held against a "&amp;TEXT(Inputs!$B$64,"0%")&amp;" limit"</f>
        <v>41% held against a 25% limit</v>
      </c>
    </row>
    <row r="23" customFormat="false" ht="15" hidden="false" customHeight="false" outlineLevel="0" collapsed="false">
      <c r="A23" s="5" t="s">
        <v>163</v>
      </c>
      <c r="B23" s="21" t="n">
        <f aca="false">Inputs!$B$55*Inputs!$B$56</f>
        <v>7848000</v>
      </c>
      <c r="C23" s="5" t="s">
        <v>164</v>
      </c>
      <c r="D23" s="5" t="str">
        <f aca="false">"+"&amp;TEXT(Inputs!$B$55,"0.0%")&amp;"; standard deviation "&amp;TEXT(Inputs!$B$57,"0.0000%")&amp;", "&amp;TEXT(Inputs!$B$57*Inputs!$B$56,"#,##0.00")</f>
        <v>+2.4%; standard deviation 4.1026%, 13,415,426.12</v>
      </c>
    </row>
    <row r="25" customFormat="false" ht="15" hidden="false" customHeight="false" outlineLevel="0" collapsed="false">
      <c r="A25" s="7" t="s">
        <v>165</v>
      </c>
    </row>
    <row r="26" customFormat="false" ht="15" hidden="false" customHeight="false" outlineLevel="0" collapsed="false">
      <c r="A26" s="5" t="s">
        <v>166</v>
      </c>
      <c r="B26" s="24" t="n">
        <f aca="false">ROUND(Inputs!$B$55,3)/ROUND(Inputs!$B$57,6)</f>
        <v>0.584994881294789</v>
      </c>
    </row>
    <row r="27" customFormat="false" ht="15" hidden="false" customHeight="false" outlineLevel="0" collapsed="false">
      <c r="A27" s="5" t="s">
        <v>167</v>
      </c>
      <c r="B27" s="23" t="n">
        <f aca="false">B23/Inputs!$B$22</f>
        <v>0.251503951014952</v>
      </c>
    </row>
    <row r="28" customFormat="false" ht="15" hidden="false" customHeight="false" outlineLevel="0" collapsed="false">
      <c r="A28" s="5" t="s">
        <v>168</v>
      </c>
      <c r="B28" s="21" t="n">
        <f aca="false">Inputs!$B$12*B13</f>
        <v>117777777.777778</v>
      </c>
    </row>
    <row r="29" customFormat="false" ht="15" hidden="false" customHeight="false" outlineLevel="0" collapsed="false">
      <c r="A29" s="5" t="s">
        <v>169</v>
      </c>
      <c r="B29" s="21" t="n">
        <f aca="false">Inputs!$B$12*ROUND(B13,6)</f>
        <v>117777800</v>
      </c>
    </row>
    <row r="30" customFormat="false" ht="15" hidden="false" customHeight="false" outlineLevel="0" collapsed="false">
      <c r="A30" s="5" t="s">
        <v>170</v>
      </c>
      <c r="B30" s="23" t="n">
        <f aca="false">Inputs!$B$24/B11</f>
        <v>0.674567197685965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3" min="2" style="0" width="20"/>
    <col collapsed="false" customWidth="true" hidden="false" outlineLevel="0" max="4" min="4" style="0" width="16"/>
    <col collapsed="false" customWidth="true" hidden="false" outlineLevel="0" max="5" min="5" style="0" width="10"/>
    <col collapsed="false" customWidth="true" hidden="false" outlineLevel="0" max="6" min="6" style="0" width="18"/>
  </cols>
  <sheetData>
    <row r="1" customFormat="false" ht="16.15" hidden="false" customHeight="false" outlineLevel="0" collapsed="false">
      <c r="A1" s="1" t="s">
        <v>171</v>
      </c>
    </row>
    <row r="2" customFormat="false" ht="15" hidden="false" customHeight="false" outlineLevel="0" collapsed="false">
      <c r="A2" s="2" t="s">
        <v>172</v>
      </c>
    </row>
    <row r="4" customFormat="false" ht="15" hidden="false" customHeight="false" outlineLevel="0" collapsed="false">
      <c r="A4" s="7" t="s">
        <v>135</v>
      </c>
      <c r="B4" s="7" t="s">
        <v>173</v>
      </c>
      <c r="C4" s="7" t="s">
        <v>174</v>
      </c>
      <c r="D4" s="7" t="s">
        <v>175</v>
      </c>
      <c r="E4" s="7" t="s">
        <v>176</v>
      </c>
    </row>
    <row r="5" customFormat="false" ht="15" hidden="false" customHeight="false" outlineLevel="0" collapsed="false">
      <c r="A5" s="5" t="s">
        <v>177</v>
      </c>
      <c r="B5" s="15" t="n">
        <v>120608000</v>
      </c>
      <c r="C5" s="28" t="n">
        <f aca="false">Surplus!$B$4</f>
        <v>120608000</v>
      </c>
      <c r="D5" s="29" t="n">
        <f aca="false">C5-B5</f>
        <v>0</v>
      </c>
      <c r="E5" s="25" t="str">
        <f aca="false">IF(ABS(D5)&lt;0.5000000005,"PASS","FAIL")</f>
        <v>PASS</v>
      </c>
    </row>
    <row r="6" customFormat="false" ht="15" hidden="false" customHeight="false" outlineLevel="0" collapsed="false">
      <c r="A6" s="5" t="s">
        <v>178</v>
      </c>
      <c r="B6" s="8" t="n">
        <v>3497632</v>
      </c>
      <c r="C6" s="30" t="n">
        <f aca="false">Surplus!$C$7</f>
        <v>3497632</v>
      </c>
      <c r="D6" s="29" t="n">
        <f aca="false">C6-B6</f>
        <v>0</v>
      </c>
      <c r="E6" s="25" t="str">
        <f aca="false">IF(ABS(D6)&lt;0.005000000005,"PASS","FAIL")</f>
        <v>PASS</v>
      </c>
    </row>
    <row r="7" customFormat="false" ht="15" hidden="false" customHeight="false" outlineLevel="0" collapsed="false">
      <c r="A7" s="5" t="s">
        <v>179</v>
      </c>
      <c r="B7" s="8" t="n">
        <v>3316720</v>
      </c>
      <c r="C7" s="30" t="n">
        <f aca="false">Surplus!$C$8</f>
        <v>3316720</v>
      </c>
      <c r="D7" s="29" t="n">
        <f aca="false">C7-B7</f>
        <v>0</v>
      </c>
      <c r="E7" s="25" t="str">
        <f aca="false">IF(ABS(D7)&lt;0.005000000005,"PASS","FAIL")</f>
        <v>PASS</v>
      </c>
    </row>
    <row r="8" customFormat="false" ht="15" hidden="false" customHeight="false" outlineLevel="0" collapsed="false">
      <c r="A8" s="5" t="s">
        <v>180</v>
      </c>
      <c r="B8" s="8" t="n">
        <v>3135808</v>
      </c>
      <c r="C8" s="30" t="n">
        <f aca="false">Surplus!$C$9</f>
        <v>3135808</v>
      </c>
      <c r="D8" s="29" t="n">
        <f aca="false">C8-B8</f>
        <v>0</v>
      </c>
      <c r="E8" s="25" t="str">
        <f aca="false">IF(ABS(D8)&lt;0.005000000005,"PASS","FAIL")</f>
        <v>PASS</v>
      </c>
    </row>
    <row r="9" customFormat="false" ht="15" hidden="false" customHeight="false" outlineLevel="0" collapsed="false">
      <c r="A9" s="5" t="s">
        <v>181</v>
      </c>
      <c r="B9" s="15" t="n">
        <v>361824</v>
      </c>
      <c r="C9" s="28" t="n">
        <f aca="false">Surplus!$B$11</f>
        <v>361824</v>
      </c>
      <c r="D9" s="29" t="n">
        <f aca="false">C9-B9</f>
        <v>0</v>
      </c>
      <c r="E9" s="25" t="str">
        <f aca="false">IF(ABS(D9)&lt;0.5000000005,"PASS","FAIL")</f>
        <v>PASS</v>
      </c>
    </row>
    <row r="10" customFormat="false" ht="15" hidden="false" customHeight="false" outlineLevel="0" collapsed="false">
      <c r="A10" s="5" t="s">
        <v>182</v>
      </c>
      <c r="B10" s="15" t="n">
        <v>180912</v>
      </c>
      <c r="C10" s="28" t="n">
        <f aca="false">Surplus!$B$12</f>
        <v>180912</v>
      </c>
      <c r="D10" s="29" t="n">
        <f aca="false">C10-B10</f>
        <v>0</v>
      </c>
      <c r="E10" s="25" t="str">
        <f aca="false">IF(ABS(D10)&lt;0.5000000005,"PASS","FAIL")</f>
        <v>PASS</v>
      </c>
    </row>
    <row r="11" customFormat="false" ht="15" hidden="false" customHeight="false" outlineLevel="0" collapsed="false">
      <c r="A11" s="5" t="s">
        <v>183</v>
      </c>
      <c r="B11" s="11" t="n">
        <v>0.003</v>
      </c>
      <c r="C11" s="31" t="n">
        <f aca="false">Surplus!$B$13</f>
        <v>0.003</v>
      </c>
      <c r="D11" s="29" t="n">
        <f aca="false">C11-B11</f>
        <v>0</v>
      </c>
      <c r="E11" s="25" t="str">
        <f aca="false">IF(ABS(D11)&lt;0.00005000000005,"PASS","FAIL")</f>
        <v>PASS</v>
      </c>
    </row>
    <row r="12" customFormat="false" ht="15" hidden="false" customHeight="false" outlineLevel="0" collapsed="false">
      <c r="A12" s="5" t="s">
        <v>184</v>
      </c>
      <c r="B12" s="16" t="n">
        <v>0.002154</v>
      </c>
      <c r="C12" s="32" t="n">
        <f aca="false">Surplus!$B$14</f>
        <v>0.00215371428571429</v>
      </c>
      <c r="D12" s="29" t="n">
        <f aca="false">C12-B12</f>
        <v>-2.85714285714386E-007</v>
      </c>
      <c r="E12" s="25" t="str">
        <f aca="false">IF(ABS(D12)&lt;0.0000005000000005,"PASS","FAIL")</f>
        <v>PASS</v>
      </c>
    </row>
    <row r="13" customFormat="false" ht="15" hidden="false" customHeight="false" outlineLevel="0" collapsed="false">
      <c r="A13" s="5" t="s">
        <v>185</v>
      </c>
      <c r="B13" s="16" t="n">
        <v>0.069156</v>
      </c>
      <c r="C13" s="32" t="n">
        <f aca="false">Surplus!$B$15</f>
        <v>0.0691559633027523</v>
      </c>
      <c r="D13" s="29" t="n">
        <f aca="false">C13-B13</f>
        <v>-3.66972477128247E-008</v>
      </c>
      <c r="E13" s="25" t="str">
        <f aca="false">IF(ABS(D13)&lt;0.0000005000000005,"PASS","FAIL")</f>
        <v>PASS</v>
      </c>
    </row>
    <row r="14" customFormat="false" ht="15" hidden="false" customHeight="false" outlineLevel="0" collapsed="false">
      <c r="A14" s="5" t="s">
        <v>186</v>
      </c>
      <c r="B14" s="8" t="n">
        <v>93204281.16</v>
      </c>
      <c r="C14" s="30" t="n">
        <f aca="false">Surplus!$B$17</f>
        <v>93204281.1587219</v>
      </c>
      <c r="D14" s="29" t="n">
        <f aca="false">C14-B14</f>
        <v>-0.00127805769443512</v>
      </c>
      <c r="E14" s="25" t="str">
        <f aca="false">IF(ABS(D14)&lt;0.005000000005,"PASS","FAIL")</f>
        <v>PASS</v>
      </c>
    </row>
    <row r="15" customFormat="false" ht="15" hidden="false" customHeight="false" outlineLevel="0" collapsed="false">
      <c r="A15" s="5" t="s">
        <v>187</v>
      </c>
      <c r="B15" s="8" t="n">
        <v>27403718.84</v>
      </c>
      <c r="C15" s="30" t="n">
        <f aca="false">Surplus!$B$18</f>
        <v>27403718.8412781</v>
      </c>
      <c r="D15" s="29" t="n">
        <f aca="false">C15-B15</f>
        <v>0.00127806141972542</v>
      </c>
      <c r="E15" s="25" t="str">
        <f aca="false">IF(ABS(D15)&lt;0.005000000005,"PASS","FAIL")</f>
        <v>PASS</v>
      </c>
    </row>
    <row r="16" customFormat="false" ht="15" hidden="false" customHeight="false" outlineLevel="0" collapsed="false">
      <c r="A16" s="5" t="s">
        <v>188</v>
      </c>
      <c r="B16" s="33" t="n">
        <v>5.2377</v>
      </c>
      <c r="C16" s="34" t="n">
        <f aca="false">Surplus!$B$19</f>
        <v>5.23771384581003</v>
      </c>
      <c r="D16" s="29" t="n">
        <f aca="false">C16-B16</f>
        <v>1.38458100265026E-005</v>
      </c>
      <c r="E16" s="25" t="str">
        <f aca="false">IF(ABS(D16)&lt;0.00005000000005,"PASS","FAIL")</f>
        <v>PASS</v>
      </c>
    </row>
    <row r="17" customFormat="false" ht="15" hidden="false" customHeight="false" outlineLevel="0" collapsed="false">
      <c r="A17" s="5" t="s">
        <v>189</v>
      </c>
      <c r="B17" s="15" t="n">
        <v>87740000</v>
      </c>
      <c r="C17" s="28" t="n">
        <f aca="false">Surplus!$B$22</f>
        <v>87740000</v>
      </c>
      <c r="D17" s="29" t="n">
        <f aca="false">C17-B17</f>
        <v>0</v>
      </c>
      <c r="E17" s="25" t="str">
        <f aca="false">IF(ABS(D17)&lt;0.5000000005,"PASS","FAIL")</f>
        <v>PASS</v>
      </c>
    </row>
    <row r="18" customFormat="false" ht="15" hidden="false" customHeight="false" outlineLevel="0" collapsed="false">
      <c r="A18" s="5" t="s">
        <v>190</v>
      </c>
      <c r="B18" s="15" t="n">
        <v>53500000</v>
      </c>
      <c r="C18" s="28" t="n">
        <f aca="false">Surplus!$B$23</f>
        <v>53500000</v>
      </c>
      <c r="D18" s="29" t="n">
        <f aca="false">C18-B18</f>
        <v>0</v>
      </c>
      <c r="E18" s="25" t="str">
        <f aca="false">IF(ABS(D18)&lt;0.5000000005,"PASS","FAIL")</f>
        <v>PASS</v>
      </c>
    </row>
    <row r="19" customFormat="false" ht="15" hidden="false" customHeight="false" outlineLevel="0" collapsed="false">
      <c r="A19" s="5" t="s">
        <v>191</v>
      </c>
      <c r="B19" s="15" t="n">
        <v>34240000</v>
      </c>
      <c r="C19" s="28" t="n">
        <f aca="false">Surplus!$B$24</f>
        <v>34240000</v>
      </c>
      <c r="D19" s="29" t="n">
        <f aca="false">C19-B19</f>
        <v>0</v>
      </c>
      <c r="E19" s="25" t="str">
        <f aca="false">IF(ABS(D19)&lt;0.5000000005,"PASS","FAIL")</f>
        <v>PASS</v>
      </c>
    </row>
    <row r="20" customFormat="false" ht="15" hidden="false" customHeight="false" outlineLevel="0" collapsed="false">
      <c r="A20" s="5" t="s">
        <v>192</v>
      </c>
      <c r="B20" s="15" t="n">
        <v>64200000</v>
      </c>
      <c r="C20" s="28" t="n">
        <f aca="false">Surplus!$B$25</f>
        <v>64200000</v>
      </c>
      <c r="D20" s="29" t="n">
        <f aca="false">C20-B20</f>
        <v>0</v>
      </c>
      <c r="E20" s="25" t="str">
        <f aca="false">IF(ABS(D20)&lt;0.5000000005,"PASS","FAIL")</f>
        <v>PASS</v>
      </c>
    </row>
    <row r="21" customFormat="false" ht="15" hidden="false" customHeight="false" outlineLevel="0" collapsed="false">
      <c r="A21" s="5" t="s">
        <v>87</v>
      </c>
      <c r="B21" s="15" t="n">
        <v>23540000</v>
      </c>
      <c r="C21" s="28" t="n">
        <f aca="false">Surplus!$B$26</f>
        <v>23540000</v>
      </c>
      <c r="D21" s="29" t="n">
        <f aca="false">C21-B21</f>
        <v>0</v>
      </c>
      <c r="E21" s="25" t="str">
        <f aca="false">IF(ABS(D21)&lt;0.5000000005,"PASS","FAIL")</f>
        <v>PASS</v>
      </c>
    </row>
    <row r="22" customFormat="false" ht="15" hidden="false" customHeight="false" outlineLevel="0" collapsed="false">
      <c r="A22" s="5" t="s">
        <v>193</v>
      </c>
      <c r="B22" s="15" t="n">
        <v>42800000</v>
      </c>
      <c r="C22" s="28" t="n">
        <f aca="false">Surplus!$B$27</f>
        <v>42800000</v>
      </c>
      <c r="D22" s="29" t="n">
        <f aca="false">C22-B22</f>
        <v>0</v>
      </c>
      <c r="E22" s="25" t="str">
        <f aca="false">IF(ABS(D22)&lt;0.5000000005,"PASS","FAIL")</f>
        <v>PASS</v>
      </c>
    </row>
    <row r="23" customFormat="false" ht="15" hidden="false" customHeight="false" outlineLevel="0" collapsed="false">
      <c r="A23" s="5" t="s">
        <v>87</v>
      </c>
      <c r="B23" s="15" t="n">
        <v>44940000</v>
      </c>
      <c r="C23" s="28" t="n">
        <f aca="false">Surplus!$B$28</f>
        <v>44940000</v>
      </c>
      <c r="D23" s="29" t="n">
        <f aca="false">C23-B23</f>
        <v>0</v>
      </c>
      <c r="E23" s="25" t="str">
        <f aca="false">IF(ABS(D23)&lt;0.5000000005,"PASS","FAIL")</f>
        <v>PASS</v>
      </c>
    </row>
    <row r="24" customFormat="false" ht="15" hidden="false" customHeight="false" outlineLevel="0" collapsed="false">
      <c r="A24" s="5" t="s">
        <v>194</v>
      </c>
      <c r="B24" s="16" t="n">
        <v>0.319626</v>
      </c>
      <c r="C24" s="32" t="n">
        <f aca="false">Surplus!$B$29</f>
        <v>0.319626168224299</v>
      </c>
      <c r="D24" s="29" t="n">
        <f aca="false">C24-B24</f>
        <v>1.68224299046393E-007</v>
      </c>
      <c r="E24" s="25" t="str">
        <f aca="false">IF(ABS(D24)&lt;0.0000005000000005,"PASS","FAIL")</f>
        <v>PASS</v>
      </c>
    </row>
    <row r="25" customFormat="false" ht="15" hidden="false" customHeight="false" outlineLevel="0" collapsed="false">
      <c r="A25" s="5" t="s">
        <v>195</v>
      </c>
      <c r="B25" s="15" t="n">
        <v>19340000</v>
      </c>
      <c r="C25" s="28" t="n">
        <f aca="false">Surplus!$B$30</f>
        <v>19340000</v>
      </c>
      <c r="D25" s="29" t="n">
        <f aca="false">C25-B25</f>
        <v>0</v>
      </c>
      <c r="E25" s="25" t="str">
        <f aca="false">IF(ABS(D25)&lt;0.5000000005,"PASS","FAIL")</f>
        <v>PASS</v>
      </c>
    </row>
    <row r="26" customFormat="false" ht="15" hidden="false" customHeight="false" outlineLevel="0" collapsed="false">
      <c r="A26" s="5" t="s">
        <v>196</v>
      </c>
      <c r="B26" s="15" t="n">
        <v>102720</v>
      </c>
      <c r="C26" s="28" t="n">
        <f aca="false">Surplus!$B$31</f>
        <v>102720</v>
      </c>
      <c r="D26" s="29" t="n">
        <f aca="false">C26-B26</f>
        <v>0</v>
      </c>
      <c r="E26" s="25" t="str">
        <f aca="false">IF(ABS(D26)&lt;0.5000000005,"PASS","FAIL")</f>
        <v>PASS</v>
      </c>
    </row>
    <row r="27" customFormat="false" ht="15" hidden="false" customHeight="false" outlineLevel="0" collapsed="false">
      <c r="A27" s="5" t="s">
        <v>197</v>
      </c>
      <c r="B27" s="8" t="n">
        <v>27403718.84</v>
      </c>
      <c r="C27" s="30" t="n">
        <f aca="false">Surplus!$B$36</f>
        <v>27403718.8412781</v>
      </c>
      <c r="D27" s="29" t="n">
        <f aca="false">C27-B27</f>
        <v>0.00127806141972542</v>
      </c>
      <c r="E27" s="25" t="str">
        <f aca="false">IF(ABS(D27)&lt;0.005000000005,"PASS","FAIL")</f>
        <v>PASS</v>
      </c>
    </row>
    <row r="28" customFormat="false" ht="15" hidden="false" customHeight="false" outlineLevel="0" collapsed="false">
      <c r="A28" s="5" t="s">
        <v>98</v>
      </c>
      <c r="B28" s="8" t="n">
        <v>89361.7</v>
      </c>
      <c r="C28" s="30" t="n">
        <f aca="false">Wallet!$B$4</f>
        <v>89361.7021276596</v>
      </c>
      <c r="D28" s="29" t="n">
        <f aca="false">C28-B28</f>
        <v>0.00212765957985539</v>
      </c>
      <c r="E28" s="25" t="str">
        <f aca="false">IF(ABS(D28)&lt;0.005000000005,"PASS","FAIL")</f>
        <v>PASS</v>
      </c>
    </row>
    <row r="29" customFormat="false" ht="15" hidden="false" customHeight="false" outlineLevel="0" collapsed="false">
      <c r="A29" s="5" t="s">
        <v>99</v>
      </c>
      <c r="B29" s="8" t="n">
        <v>381818.18</v>
      </c>
      <c r="C29" s="30" t="n">
        <f aca="false">Wallet!$B$5</f>
        <v>381818.181818182</v>
      </c>
      <c r="D29" s="29" t="n">
        <f aca="false">C29-B29</f>
        <v>0.00181818183045834</v>
      </c>
      <c r="E29" s="25" t="str">
        <f aca="false">IF(ABS(D29)&lt;0.005000000005,"PASS","FAIL")</f>
        <v>PASS</v>
      </c>
    </row>
    <row r="30" customFormat="false" ht="15" hidden="false" customHeight="false" outlineLevel="0" collapsed="false">
      <c r="A30" s="5" t="s">
        <v>198</v>
      </c>
      <c r="B30" s="16" t="n">
        <v>0.158207</v>
      </c>
      <c r="C30" s="32" t="n">
        <f aca="false">Wallet!$B$6</f>
        <v>0.15820698747528</v>
      </c>
      <c r="D30" s="29" t="n">
        <f aca="false">C30-B30</f>
        <v>-1.2524719816831E-008</v>
      </c>
      <c r="E30" s="25" t="str">
        <f aca="false">IF(ABS(D30)&lt;0.0000005000000005,"PASS","FAIL")</f>
        <v>PASS</v>
      </c>
    </row>
    <row r="31" customFormat="false" ht="15" hidden="false" customHeight="false" outlineLevel="0" collapsed="false">
      <c r="A31" s="5" t="s">
        <v>199</v>
      </c>
      <c r="B31" s="15" t="n">
        <v>1312500</v>
      </c>
      <c r="C31" s="28" t="n">
        <f aca="false">Wallet!$B$10</f>
        <v>1312500</v>
      </c>
      <c r="D31" s="29" t="n">
        <f aca="false">C31-B31</f>
        <v>0</v>
      </c>
      <c r="E31" s="25" t="str">
        <f aca="false">IF(ABS(D31)&lt;0.5000000005,"PASS","FAIL")</f>
        <v>PASS</v>
      </c>
    </row>
    <row r="32" customFormat="false" ht="15" hidden="false" customHeight="false" outlineLevel="0" collapsed="false">
      <c r="A32" s="5" t="s">
        <v>200</v>
      </c>
      <c r="B32" s="15" t="n">
        <v>250000</v>
      </c>
      <c r="C32" s="28" t="n">
        <f aca="false">Wallet!$B$11</f>
        <v>250000</v>
      </c>
      <c r="D32" s="29" t="n">
        <f aca="false">C32-B32</f>
        <v>0</v>
      </c>
      <c r="E32" s="25" t="str">
        <f aca="false">IF(ABS(D32)&lt;0.5000000005,"PASS","FAIL")</f>
        <v>PASS</v>
      </c>
    </row>
    <row r="33" customFormat="false" ht="15" hidden="false" customHeight="false" outlineLevel="0" collapsed="false">
      <c r="A33" s="5" t="s">
        <v>31</v>
      </c>
      <c r="B33" s="15" t="n">
        <v>5250000</v>
      </c>
      <c r="C33" s="28" t="n">
        <f aca="false">Wallet!$B$12</f>
        <v>5250000</v>
      </c>
      <c r="D33" s="29" t="n">
        <f aca="false">C33-B33</f>
        <v>0</v>
      </c>
      <c r="E33" s="25" t="str">
        <f aca="false">IF(ABS(D33)&lt;0.5000000005,"PASS","FAIL")</f>
        <v>PASS</v>
      </c>
    </row>
    <row r="34" customFormat="false" ht="15" hidden="false" customHeight="false" outlineLevel="0" collapsed="false">
      <c r="A34" s="5" t="s">
        <v>201</v>
      </c>
      <c r="B34" s="8" t="n">
        <v>55555.56</v>
      </c>
      <c r="C34" s="30" t="n">
        <f aca="false">Wallet!$B$13</f>
        <v>55555.5555555556</v>
      </c>
      <c r="D34" s="29" t="n">
        <f aca="false">C34-B34</f>
        <v>-0.00444444444292458</v>
      </c>
      <c r="E34" s="25" t="str">
        <f aca="false">IF(ABS(D34)&lt;0.005000000005,"PASS","FAIL")</f>
        <v>PASS</v>
      </c>
    </row>
    <row r="35" customFormat="false" ht="15" hidden="false" customHeight="false" outlineLevel="0" collapsed="false">
      <c r="A35" s="5" t="s">
        <v>107</v>
      </c>
      <c r="B35" s="8" t="n">
        <v>11068055.56</v>
      </c>
      <c r="C35" s="30" t="n">
        <f aca="false">Wallet!$B$14</f>
        <v>11068055.5555556</v>
      </c>
      <c r="D35" s="29" t="n">
        <f aca="false">C35-B35</f>
        <v>-0.00444444455206394</v>
      </c>
      <c r="E35" s="25" t="str">
        <f aca="false">IF(ABS(D35)&lt;0.005000000005,"PASS","FAIL")</f>
        <v>PASS</v>
      </c>
    </row>
    <row r="36" customFormat="false" ht="15" hidden="false" customHeight="false" outlineLevel="0" collapsed="false">
      <c r="A36" s="5" t="s">
        <v>202</v>
      </c>
      <c r="B36" s="8" t="n">
        <v>111111.11</v>
      </c>
      <c r="C36" s="30" t="n">
        <f aca="false">Wallet!$B$15</f>
        <v>111111.111111111</v>
      </c>
      <c r="D36" s="29" t="n">
        <f aca="false">C36-B36</f>
        <v>0.00111111110891216</v>
      </c>
      <c r="E36" s="25" t="str">
        <f aca="false">IF(ABS(D36)&lt;0.005000000005,"PASS","FAIL")</f>
        <v>PASS</v>
      </c>
    </row>
    <row r="37" customFormat="false" ht="15" hidden="false" customHeight="false" outlineLevel="0" collapsed="false">
      <c r="A37" s="5" t="s">
        <v>203</v>
      </c>
      <c r="B37" s="8" t="n">
        <v>11123611.11</v>
      </c>
      <c r="C37" s="30" t="n">
        <f aca="false">Wallet!$B$16</f>
        <v>11123611.1111111</v>
      </c>
      <c r="D37" s="29" t="n">
        <f aca="false">C37-B37</f>
        <v>0.00111111253499985</v>
      </c>
      <c r="E37" s="25" t="str">
        <f aca="false">IF(ABS(D37)&lt;0.005000000005,"PASS","FAIL")</f>
        <v>PASS</v>
      </c>
    </row>
    <row r="38" customFormat="false" ht="15" hidden="false" customHeight="false" outlineLevel="0" collapsed="false">
      <c r="A38" s="5" t="s">
        <v>204</v>
      </c>
      <c r="B38" s="16" t="n">
        <v>0.37947</v>
      </c>
      <c r="C38" s="32" t="n">
        <f aca="false">Wallet!$B$17</f>
        <v>0.379470447985946</v>
      </c>
      <c r="D38" s="29" t="n">
        <f aca="false">C38-B38</f>
        <v>4.47985945561946E-007</v>
      </c>
      <c r="E38" s="25" t="str">
        <f aca="false">IF(ABS(D38)&lt;0.0000005000000005,"PASS","FAIL")</f>
        <v>PASS</v>
      </c>
    </row>
    <row r="39" customFormat="false" ht="15" hidden="false" customHeight="false" outlineLevel="0" collapsed="false">
      <c r="A39" s="5" t="s">
        <v>205</v>
      </c>
      <c r="B39" s="14" t="n">
        <v>0.2</v>
      </c>
      <c r="C39" s="35" t="n">
        <f aca="false">Wallet!$B$20</f>
        <v>0.2</v>
      </c>
      <c r="D39" s="29" t="n">
        <f aca="false">C39-B39</f>
        <v>0</v>
      </c>
      <c r="E39" s="25" t="str">
        <f aca="false">IF(ABS(D39)&lt;0.005000000005,"PASS","FAIL")</f>
        <v>PASS</v>
      </c>
    </row>
    <row r="40" customFormat="false" ht="15" hidden="false" customHeight="false" outlineLevel="0" collapsed="false">
      <c r="A40" s="5" t="s">
        <v>206</v>
      </c>
      <c r="B40" s="15" t="n">
        <v>262500</v>
      </c>
      <c r="C40" s="28" t="n">
        <f aca="false">Wallet!$B$21</f>
        <v>262500</v>
      </c>
      <c r="D40" s="29" t="n">
        <f aca="false">C40-B40</f>
        <v>0</v>
      </c>
      <c r="E40" s="25" t="str">
        <f aca="false">IF(ABS(D40)&lt;0.5000000005,"PASS","FAIL")</f>
        <v>PASS</v>
      </c>
    </row>
    <row r="41" customFormat="false" ht="15" hidden="false" customHeight="false" outlineLevel="0" collapsed="false">
      <c r="A41" s="5" t="s">
        <v>207</v>
      </c>
      <c r="B41" s="15" t="n">
        <v>50000</v>
      </c>
      <c r="C41" s="28" t="n">
        <f aca="false">Wallet!$B$22</f>
        <v>50000</v>
      </c>
      <c r="D41" s="29" t="n">
        <f aca="false">C41-B41</f>
        <v>0</v>
      </c>
      <c r="E41" s="25" t="str">
        <f aca="false">IF(ABS(D41)&lt;0.5000000005,"PASS","FAIL")</f>
        <v>PASS</v>
      </c>
    </row>
    <row r="42" customFormat="false" ht="15" hidden="false" customHeight="false" outlineLevel="0" collapsed="false">
      <c r="A42" s="5" t="s">
        <v>208</v>
      </c>
      <c r="B42" s="15" t="n">
        <v>312500</v>
      </c>
      <c r="C42" s="28" t="n">
        <f aca="false">Wallet!$B$23</f>
        <v>312500</v>
      </c>
      <c r="D42" s="29" t="n">
        <f aca="false">C42-B42</f>
        <v>0</v>
      </c>
      <c r="E42" s="25" t="str">
        <f aca="false">IF(ABS(D42)&lt;0.5000000005,"PASS","FAIL")</f>
        <v>PASS</v>
      </c>
    </row>
    <row r="43" customFormat="false" ht="15" hidden="false" customHeight="false" outlineLevel="0" collapsed="false">
      <c r="A43" s="5" t="s">
        <v>209</v>
      </c>
      <c r="B43" s="16" t="n">
        <v>0.00625</v>
      </c>
      <c r="C43" s="32" t="n">
        <f aca="false">Wallet!$B$24</f>
        <v>0.00625</v>
      </c>
      <c r="D43" s="29" t="n">
        <f aca="false">C43-B43</f>
        <v>0</v>
      </c>
      <c r="E43" s="25" t="str">
        <f aca="false">IF(ABS(D43)&lt;0.0000005000000005,"PASS","FAIL")</f>
        <v>PASS</v>
      </c>
    </row>
    <row r="44" customFormat="false" ht="15" hidden="false" customHeight="false" outlineLevel="0" collapsed="false">
      <c r="A44" s="5" t="s">
        <v>210</v>
      </c>
      <c r="B44" s="15" t="n">
        <v>750000</v>
      </c>
      <c r="C44" s="28" t="n">
        <f aca="false">Wallet!$B$25</f>
        <v>750000</v>
      </c>
      <c r="D44" s="29" t="n">
        <f aca="false">C44-B44</f>
        <v>0</v>
      </c>
      <c r="E44" s="25" t="str">
        <f aca="false">IF(ABS(D44)&lt;0.5000000005,"PASS","FAIL")</f>
        <v>PASS</v>
      </c>
    </row>
    <row r="45" customFormat="false" ht="15" hidden="false" customHeight="false" outlineLevel="0" collapsed="false">
      <c r="A45" s="5" t="s">
        <v>211</v>
      </c>
      <c r="B45" s="8" t="n">
        <v>851111.11</v>
      </c>
      <c r="C45" s="30" t="n">
        <f aca="false">Wallet!$B$26</f>
        <v>851111.111111111</v>
      </c>
      <c r="D45" s="29" t="n">
        <f aca="false">C45-B45</f>
        <v>0.00111111125443131</v>
      </c>
      <c r="E45" s="25" t="str">
        <f aca="false">IF(ABS(D45)&lt;0.005000000005,"PASS","FAIL")</f>
        <v>PASS</v>
      </c>
    </row>
    <row r="46" customFormat="false" ht="15" hidden="false" customHeight="false" outlineLevel="0" collapsed="false">
      <c r="A46" s="5" t="s">
        <v>212</v>
      </c>
      <c r="B46" s="16" t="n">
        <v>0.727481</v>
      </c>
      <c r="C46" s="32" t="n">
        <f aca="false">Wallet!$B$28</f>
        <v>0.727480764128416</v>
      </c>
      <c r="D46" s="29" t="n">
        <f aca="false">C46-B46</f>
        <v>-2.35871583931235E-007</v>
      </c>
      <c r="E46" s="25" t="str">
        <f aca="false">IF(ABS(D46)&lt;0.0000005000000005,"PASS","FAIL")</f>
        <v>PASS</v>
      </c>
    </row>
    <row r="47" customFormat="false" ht="15" hidden="false" customHeight="false" outlineLevel="0" collapsed="false">
      <c r="A47" s="5" t="s">
        <v>213</v>
      </c>
      <c r="B47" s="16" t="n">
        <v>0.567127</v>
      </c>
      <c r="C47" s="32" t="n">
        <f aca="false">Wallet!$B$29</f>
        <v>0.567126558768904</v>
      </c>
      <c r="D47" s="29" t="n">
        <f aca="false">C47-B47</f>
        <v>-4.41231095771322E-007</v>
      </c>
      <c r="E47" s="25" t="str">
        <f aca="false">IF(ABS(D47)&lt;0.0000005000000005,"PASS","FAIL")</f>
        <v>PASS</v>
      </c>
    </row>
    <row r="48" customFormat="false" ht="15" hidden="false" customHeight="false" outlineLevel="0" collapsed="false">
      <c r="A48" s="5" t="s">
        <v>214</v>
      </c>
      <c r="B48" s="33" t="n">
        <v>1.2434</v>
      </c>
      <c r="C48" s="34" t="n">
        <f aca="false">Wallet!$B$30</f>
        <v>1.24338624338624</v>
      </c>
      <c r="D48" s="29" t="n">
        <f aca="false">C48-B48</f>
        <v>-1.3756613756799E-005</v>
      </c>
      <c r="E48" s="25" t="str">
        <f aca="false">IF(ABS(D48)&lt;0.00005000000005,"PASS","FAIL")</f>
        <v>PASS</v>
      </c>
    </row>
    <row r="49" customFormat="false" ht="15" hidden="false" customHeight="false" outlineLevel="0" collapsed="false">
      <c r="A49" s="5" t="s">
        <v>125</v>
      </c>
      <c r="B49" s="15" t="n">
        <v>26160000</v>
      </c>
      <c r="C49" s="28" t="n">
        <f aca="false">Controls!$B$5</f>
        <v>26160000</v>
      </c>
      <c r="D49" s="29" t="n">
        <f aca="false">C49-B49</f>
        <v>0</v>
      </c>
      <c r="E49" s="25" t="str">
        <f aca="false">IF(ABS(D49)&lt;0.5000000005,"PASS","FAIL")</f>
        <v>PASS</v>
      </c>
    </row>
    <row r="50" customFormat="false" ht="15" hidden="false" customHeight="false" outlineLevel="0" collapsed="false">
      <c r="A50" s="5" t="s">
        <v>215</v>
      </c>
      <c r="B50" s="16" t="n">
        <v>0.016</v>
      </c>
      <c r="C50" s="32" t="n">
        <f aca="false">Controls!$B$6</f>
        <v>0.016</v>
      </c>
      <c r="D50" s="29" t="n">
        <f aca="false">C50-B50</f>
        <v>0</v>
      </c>
      <c r="E50" s="25" t="str">
        <f aca="false">IF(ABS(D50)&lt;0.0000005000000005,"PASS","FAIL")</f>
        <v>PASS</v>
      </c>
    </row>
    <row r="51" customFormat="false" ht="15" hidden="false" customHeight="false" outlineLevel="0" collapsed="false">
      <c r="A51" s="5" t="s">
        <v>216</v>
      </c>
      <c r="B51" s="15" t="n">
        <v>126260000</v>
      </c>
      <c r="C51" s="28" t="n">
        <f aca="false">Controls!$B$8</f>
        <v>126260000</v>
      </c>
      <c r="D51" s="29" t="n">
        <f aca="false">C51-B51</f>
        <v>0</v>
      </c>
      <c r="E51" s="25" t="str">
        <f aca="false">IF(ABS(D51)&lt;0.5000000005,"PASS","FAIL")</f>
        <v>PASS</v>
      </c>
    </row>
    <row r="52" customFormat="false" ht="15" hidden="false" customHeight="false" outlineLevel="0" collapsed="false">
      <c r="A52" s="5" t="s">
        <v>217</v>
      </c>
      <c r="B52" s="15" t="n">
        <v>47000000</v>
      </c>
      <c r="C52" s="28" t="n">
        <f aca="false">Controls!$B$9</f>
        <v>47000000</v>
      </c>
      <c r="D52" s="29" t="n">
        <f aca="false">C52-B52</f>
        <v>0</v>
      </c>
      <c r="E52" s="25" t="str">
        <f aca="false">IF(ABS(D52)&lt;0.5000000005,"PASS","FAIL")</f>
        <v>PASS</v>
      </c>
    </row>
    <row r="53" customFormat="false" ht="15" hidden="false" customHeight="false" outlineLevel="0" collapsed="false">
      <c r="A53" s="5" t="s">
        <v>218</v>
      </c>
      <c r="B53" s="33" t="n">
        <v>58.5486</v>
      </c>
      <c r="C53" s="34" t="n">
        <f aca="false">Controls!$B$10</f>
        <v>58.5485714285714</v>
      </c>
      <c r="D53" s="29" t="n">
        <f aca="false">C53-B53</f>
        <v>-2.8571428572377E-005</v>
      </c>
      <c r="E53" s="25" t="str">
        <f aca="false">IF(ABS(D53)&lt;0.00005000000005,"PASS","FAIL")</f>
        <v>PASS</v>
      </c>
    </row>
    <row r="54" customFormat="false" ht="15" hidden="false" customHeight="false" outlineLevel="0" collapsed="false">
      <c r="A54" s="5" t="s">
        <v>219</v>
      </c>
      <c r="B54" s="33" t="n">
        <v>1.2457</v>
      </c>
      <c r="C54" s="34" t="n">
        <f aca="false">Controls!$B$11</f>
        <v>1.24571428571429</v>
      </c>
      <c r="D54" s="29" t="n">
        <f aca="false">C54-B54</f>
        <v>1.42857142857444E-005</v>
      </c>
      <c r="E54" s="25" t="str">
        <f aca="false">IF(ABS(D54)&lt;0.00005000000005,"PASS","FAIL")</f>
        <v>PASS</v>
      </c>
    </row>
    <row r="55" customFormat="false" ht="15" hidden="false" customHeight="false" outlineLevel="0" collapsed="false">
      <c r="A55" s="5" t="s">
        <v>220</v>
      </c>
      <c r="B55" s="8" t="n">
        <v>214000000</v>
      </c>
      <c r="C55" s="30" t="n">
        <f aca="false">Report!$B$5</f>
        <v>214000000</v>
      </c>
      <c r="D55" s="29" t="n">
        <f aca="false">C55-B55</f>
        <v>0</v>
      </c>
      <c r="E55" s="25" t="str">
        <f aca="false">IF(ABS(D55)&lt;0.005000000005,"PASS","FAIL")</f>
        <v>PASS</v>
      </c>
    </row>
    <row r="56" customFormat="false" ht="15" hidden="false" customHeight="false" outlineLevel="0" collapsed="false">
      <c r="A56" s="5" t="s">
        <v>221</v>
      </c>
      <c r="B56" s="8" t="n">
        <v>205000000</v>
      </c>
      <c r="C56" s="30" t="n">
        <f aca="false">Report!$B$6</f>
        <v>205000000</v>
      </c>
      <c r="D56" s="29" t="n">
        <f aca="false">C56-B56</f>
        <v>0</v>
      </c>
      <c r="E56" s="25" t="str">
        <f aca="false">IF(ABS(D56)&lt;0.005000000005,"PASS","FAIL")</f>
        <v>PASS</v>
      </c>
    </row>
    <row r="57" customFormat="false" ht="15" hidden="false" customHeight="false" outlineLevel="0" collapsed="false">
      <c r="A57" s="5" t="s">
        <v>222</v>
      </c>
      <c r="B57" s="8" t="n">
        <v>152000000</v>
      </c>
      <c r="C57" s="30" t="n">
        <f aca="false">Report!$B$7</f>
        <v>152000000</v>
      </c>
      <c r="D57" s="29" t="n">
        <f aca="false">C57-B57</f>
        <v>0</v>
      </c>
      <c r="E57" s="25" t="str">
        <f aca="false">IF(ABS(D57)&lt;0.005000000005,"PASS","FAIL")</f>
        <v>PASS</v>
      </c>
    </row>
    <row r="58" customFormat="false" ht="15" hidden="false" customHeight="false" outlineLevel="0" collapsed="false">
      <c r="A58" s="5" t="s">
        <v>223</v>
      </c>
      <c r="B58" s="8" t="n">
        <v>120608000</v>
      </c>
      <c r="C58" s="30" t="n">
        <f aca="false">Report!$B$8</f>
        <v>120608000</v>
      </c>
      <c r="D58" s="29" t="n">
        <f aca="false">C58-B58</f>
        <v>0</v>
      </c>
      <c r="E58" s="25" t="str">
        <f aca="false">IF(ABS(D58)&lt;0.005000000005,"PASS","FAIL")</f>
        <v>PASS</v>
      </c>
    </row>
    <row r="59" customFormat="false" ht="15" hidden="false" customHeight="false" outlineLevel="0" collapsed="false">
      <c r="A59" s="5" t="s">
        <v>224</v>
      </c>
      <c r="B59" s="8" t="n">
        <v>68400000</v>
      </c>
      <c r="C59" s="30" t="n">
        <f aca="false">Report!$B$9</f>
        <v>68400000</v>
      </c>
      <c r="D59" s="29" t="n">
        <f aca="false">C59-B59</f>
        <v>0</v>
      </c>
      <c r="E59" s="25" t="str">
        <f aca="false">IF(ABS(D59)&lt;0.005000000005,"PASS","FAIL")</f>
        <v>PASS</v>
      </c>
    </row>
    <row r="60" customFormat="false" ht="15" hidden="false" customHeight="false" outlineLevel="0" collapsed="false">
      <c r="A60" s="5" t="s">
        <v>225</v>
      </c>
      <c r="B60" s="8" t="n">
        <v>124596281.16</v>
      </c>
      <c r="C60" s="30" t="n">
        <f aca="false">Report!$B$10</f>
        <v>124596281.158722</v>
      </c>
      <c r="D60" s="29" t="n">
        <f aca="false">C60-B60</f>
        <v>-0.00127805769443512</v>
      </c>
      <c r="E60" s="25" t="str">
        <f aca="false">IF(ABS(D60)&lt;0.005000000005,"PASS","FAIL")</f>
        <v>PASS</v>
      </c>
    </row>
    <row r="61" customFormat="false" ht="15" hidden="false" customHeight="false" outlineLevel="0" collapsed="false">
      <c r="A61" s="5" t="s">
        <v>226</v>
      </c>
      <c r="B61" s="8" t="n">
        <v>370608000</v>
      </c>
      <c r="C61" s="30" t="n">
        <f aca="false">Report!$B$11</f>
        <v>370608000</v>
      </c>
      <c r="D61" s="29" t="n">
        <f aca="false">C61-B61</f>
        <v>0</v>
      </c>
      <c r="E61" s="25" t="str">
        <f aca="false">IF(ABS(D61)&lt;0.005000000005,"PASS","FAIL")</f>
        <v>PASS</v>
      </c>
    </row>
    <row r="62" customFormat="false" ht="15" hidden="false" customHeight="false" outlineLevel="0" collapsed="false">
      <c r="A62" s="5" t="s">
        <v>227</v>
      </c>
      <c r="B62" s="8" t="n">
        <v>27403718.84</v>
      </c>
      <c r="C62" s="30" t="n">
        <f aca="false">Report!$B$12</f>
        <v>27403718.8412781</v>
      </c>
      <c r="D62" s="29" t="n">
        <f aca="false">C62-B62</f>
        <v>0.00127806141972542</v>
      </c>
      <c r="E62" s="25" t="str">
        <f aca="false">IF(ABS(D62)&lt;0.005000000005,"PASS","FAIL")</f>
        <v>PASS</v>
      </c>
    </row>
    <row r="63" customFormat="false" ht="15" hidden="false" customHeight="false" outlineLevel="0" collapsed="false">
      <c r="A63" s="5" t="s">
        <v>228</v>
      </c>
      <c r="B63" s="16" t="n">
        <v>0.084127</v>
      </c>
      <c r="C63" s="32" t="n">
        <f aca="false">Report!$B$13</f>
        <v>0.0841269841269841</v>
      </c>
      <c r="D63" s="29" t="n">
        <f aca="false">C63-B63</f>
        <v>-1.58730159016685E-008</v>
      </c>
      <c r="E63" s="25" t="str">
        <f aca="false">IF(ABS(D63)&lt;0.0000005000000005,"PASS","FAIL")</f>
        <v>PASS</v>
      </c>
    </row>
    <row r="64" customFormat="false" ht="15" hidden="false" customHeight="false" outlineLevel="0" collapsed="false">
      <c r="A64" s="5" t="s">
        <v>229</v>
      </c>
      <c r="B64" s="13" t="n">
        <v>2</v>
      </c>
      <c r="C64" s="36" t="n">
        <f aca="false">Report!$B$14</f>
        <v>2</v>
      </c>
      <c r="D64" s="29" t="n">
        <f aca="false">C64-B64</f>
        <v>0</v>
      </c>
      <c r="E64" s="25" t="str">
        <f aca="false">IF(ABS(D64)&lt;0.00005000000005,"PASS","FAIL")</f>
        <v>PASS</v>
      </c>
    </row>
    <row r="65" customFormat="false" ht="15" hidden="false" customHeight="false" outlineLevel="0" collapsed="false">
      <c r="A65" s="5" t="s">
        <v>230</v>
      </c>
      <c r="B65" s="13" t="n">
        <v>2.369</v>
      </c>
      <c r="C65" s="36" t="n">
        <f aca="false">Report!$B$15</f>
        <v>2.36904761904762</v>
      </c>
      <c r="D65" s="29" t="n">
        <f aca="false">C65-B65</f>
        <v>4.76190476188521E-005</v>
      </c>
      <c r="E65" s="25" t="str">
        <f aca="false">IF(ABS(D65)&lt;0.00005000000005,"PASS","FAIL")</f>
        <v>PASS</v>
      </c>
    </row>
    <row r="66" customFormat="false" ht="15" hidden="false" customHeight="false" outlineLevel="0" collapsed="false">
      <c r="A66" s="5" t="s">
        <v>231</v>
      </c>
      <c r="B66" s="13" t="n">
        <v>2.5559</v>
      </c>
      <c r="C66" s="36" t="n">
        <f aca="false">Report!$B$16</f>
        <v>2.55590476190476</v>
      </c>
      <c r="D66" s="29" t="n">
        <f aca="false">C66-B66</f>
        <v>4.76190476206284E-006</v>
      </c>
      <c r="E66" s="25" t="str">
        <f aca="false">IF(ABS(D66)&lt;0.00005000000005,"PASS","FAIL")</f>
        <v>PASS</v>
      </c>
    </row>
    <row r="67" customFormat="false" ht="15" hidden="false" customHeight="false" outlineLevel="0" collapsed="false">
      <c r="A67" s="5" t="s">
        <v>232</v>
      </c>
      <c r="B67" s="13" t="n">
        <v>6.3283</v>
      </c>
      <c r="C67" s="36" t="n">
        <f aca="false">Report!$B$17</f>
        <v>6.32827949901121</v>
      </c>
      <c r="D67" s="29" t="n">
        <f aca="false">C67-B67</f>
        <v>-2.05009887936924E-005</v>
      </c>
      <c r="E67" s="25" t="str">
        <f aca="false">IF(ABS(D67)&lt;0.00005000000005,"PASS","FAIL")</f>
        <v>PASS</v>
      </c>
    </row>
    <row r="68" customFormat="false" ht="15" hidden="false" customHeight="false" outlineLevel="0" collapsed="false">
      <c r="A68" s="5" t="s">
        <v>233</v>
      </c>
      <c r="B68" s="8" t="n">
        <v>-608000</v>
      </c>
      <c r="C68" s="30" t="n">
        <f aca="false">Report!$B$18</f>
        <v>-608000</v>
      </c>
      <c r="D68" s="29" t="n">
        <f aca="false">C68-B68</f>
        <v>0</v>
      </c>
      <c r="E68" s="25" t="str">
        <f aca="false">IF(ABS(D68)&lt;0.005000000005,"PASS","FAIL")</f>
        <v>PASS</v>
      </c>
    </row>
    <row r="69" customFormat="false" ht="15" hidden="false" customHeight="false" outlineLevel="0" collapsed="false">
      <c r="A69" s="5" t="s">
        <v>234</v>
      </c>
      <c r="B69" s="13" t="n">
        <v>5.8036</v>
      </c>
      <c r="C69" s="36" t="n">
        <f aca="false">Report!$B$19</f>
        <v>5.80360998359098</v>
      </c>
      <c r="D69" s="29" t="n">
        <f aca="false">C69-B69</f>
        <v>9.98359098236534E-006</v>
      </c>
      <c r="E69" s="25" t="str">
        <f aca="false">IF(ABS(D69)&lt;0.00005000000005,"PASS","FAIL")</f>
        <v>PASS</v>
      </c>
    </row>
    <row r="70" customFormat="false" ht="15" hidden="false" customHeight="false" outlineLevel="0" collapsed="false">
      <c r="A70" s="5" t="s">
        <v>235</v>
      </c>
      <c r="B70" s="11" t="n">
        <v>0.625</v>
      </c>
      <c r="C70" s="31" t="n">
        <f aca="false">Report!$B$20</f>
        <v>0.625</v>
      </c>
      <c r="D70" s="29" t="n">
        <f aca="false">C70-B70</f>
        <v>0</v>
      </c>
      <c r="E70" s="25" t="str">
        <f aca="false">IF(ABS(D70)&lt;0.00005000000005,"PASS","FAIL")</f>
        <v>PASS</v>
      </c>
    </row>
    <row r="71" customFormat="false" ht="15" hidden="false" customHeight="false" outlineLevel="0" collapsed="false">
      <c r="A71" s="5" t="s">
        <v>236</v>
      </c>
      <c r="B71" s="8" t="n">
        <v>1019367.99</v>
      </c>
      <c r="C71" s="30" t="n">
        <f aca="false">Report!$B$21</f>
        <v>1019367.99184506</v>
      </c>
      <c r="D71" s="29" t="n">
        <f aca="false">C71-B71</f>
        <v>0.00184505642391741</v>
      </c>
      <c r="E71" s="25" t="str">
        <f aca="false">IF(ABS(D71)&lt;0.005000000005,"PASS","FAIL")</f>
        <v>PASS</v>
      </c>
    </row>
    <row r="72" customFormat="false" ht="15" hidden="false" customHeight="false" outlineLevel="0" collapsed="false">
      <c r="A72" s="5" t="s">
        <v>237</v>
      </c>
      <c r="B72" s="8" t="n">
        <v>34240000</v>
      </c>
      <c r="C72" s="30" t="n">
        <f aca="false">Report!$B$22</f>
        <v>34240000</v>
      </c>
      <c r="D72" s="29" t="n">
        <f aca="false">C72-B72</f>
        <v>0</v>
      </c>
      <c r="E72" s="25" t="str">
        <f aca="false">IF(ABS(D72)&lt;0.005000000005,"PASS","FAIL")</f>
        <v>PASS</v>
      </c>
    </row>
    <row r="73" customFormat="false" ht="15" hidden="false" customHeight="false" outlineLevel="0" collapsed="false">
      <c r="A73" s="5" t="s">
        <v>238</v>
      </c>
      <c r="B73" s="8" t="n">
        <v>7848000</v>
      </c>
      <c r="C73" s="30" t="n">
        <f aca="false">Report!$B$23</f>
        <v>7848000</v>
      </c>
      <c r="D73" s="29" t="n">
        <f aca="false">C73-B73</f>
        <v>0</v>
      </c>
      <c r="E73" s="25" t="str">
        <f aca="false">IF(ABS(D73)&lt;0.005000000005,"PASS","FAIL")</f>
        <v>PASS</v>
      </c>
    </row>
    <row r="74" customFormat="false" ht="15" hidden="false" customHeight="false" outlineLevel="0" collapsed="false">
      <c r="A74" s="5" t="s">
        <v>239</v>
      </c>
      <c r="B74" s="33" t="n">
        <v>0.585</v>
      </c>
      <c r="C74" s="34" t="n">
        <f aca="false">Report!$B$26</f>
        <v>0.584994881294789</v>
      </c>
      <c r="D74" s="29" t="n">
        <f aca="false">C74-B74</f>
        <v>-5.11870521124891E-006</v>
      </c>
      <c r="E74" s="25" t="str">
        <f aca="false">IF(ABS(D74)&lt;0.00005000000005,"PASS","FAIL")</f>
        <v>PASS</v>
      </c>
    </row>
    <row r="75" customFormat="false" ht="15" hidden="false" customHeight="false" outlineLevel="0" collapsed="false">
      <c r="A75" s="5" t="s">
        <v>240</v>
      </c>
      <c r="B75" s="16" t="n">
        <v>0.251504</v>
      </c>
      <c r="C75" s="32" t="n">
        <f aca="false">Report!$B$27</f>
        <v>0.251503951014952</v>
      </c>
      <c r="D75" s="29" t="n">
        <f aca="false">C75-B75</f>
        <v>-4.89850477403131E-008</v>
      </c>
      <c r="E75" s="25" t="str">
        <f aca="false">IF(ABS(D75)&lt;0.0000005000000005,"PASS","FAIL")</f>
        <v>PASS</v>
      </c>
    </row>
    <row r="76" customFormat="false" ht="15" hidden="false" customHeight="false" outlineLevel="0" collapsed="false">
      <c r="A76" s="5" t="s">
        <v>241</v>
      </c>
      <c r="B76" s="8" t="n">
        <v>117777777.78</v>
      </c>
      <c r="C76" s="30" t="n">
        <f aca="false">Report!$B$28</f>
        <v>117777777.777778</v>
      </c>
      <c r="D76" s="29" t="n">
        <f aca="false">C76-B76</f>
        <v>-0.00222226977348328</v>
      </c>
      <c r="E76" s="25" t="str">
        <f aca="false">IF(ABS(D76)&lt;0.005000000005,"PASS","FAIL")</f>
        <v>PASS</v>
      </c>
    </row>
    <row r="77" customFormat="false" ht="15" hidden="false" customHeight="false" outlineLevel="0" collapsed="false">
      <c r="A77" s="5" t="s">
        <v>242</v>
      </c>
      <c r="B77" s="15" t="n">
        <v>117777800</v>
      </c>
      <c r="C77" s="28" t="n">
        <f aca="false">Report!$B$29</f>
        <v>117777800</v>
      </c>
      <c r="D77" s="29" t="n">
        <f aca="false">C77-B77</f>
        <v>0</v>
      </c>
      <c r="E77" s="25" t="str">
        <f aca="false">IF(ABS(D77)&lt;0.5000000005,"PASS","FAIL")</f>
        <v>PASS</v>
      </c>
    </row>
    <row r="78" customFormat="false" ht="15" hidden="false" customHeight="false" outlineLevel="0" collapsed="false">
      <c r="A78" s="5" t="s">
        <v>243</v>
      </c>
      <c r="B78" s="16" t="n">
        <v>0.674567</v>
      </c>
      <c r="C78" s="32" t="n">
        <f aca="false">Report!$B$30</f>
        <v>0.674567197685965</v>
      </c>
      <c r="D78" s="29" t="n">
        <f aca="false">C78-B78</f>
        <v>1.97685964709038E-007</v>
      </c>
      <c r="E78" s="25" t="str">
        <f aca="false">IF(ABS(D78)&lt;0.0000005000000005,"PASS","FAIL")</f>
        <v>PASS</v>
      </c>
    </row>
    <row r="80" customFormat="false" ht="15" hidden="false" customHeight="false" outlineLevel="0" collapsed="false">
      <c r="A80" s="25" t="s">
        <v>244</v>
      </c>
      <c r="E80" s="25" t="str">
        <f aca="false">IF(COUNTIF(E5:E78,"FAIL")=0,"PASS","FAIL")</f>
        <v>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2026-09-24T01:44:21Z</dcterms:created>
  <dc:creator>openpyxl</dc:creator>
  <dc:description/>
  <dc:language>en-US</dc:language>
  <cp:lastModifiedBy/>
  <dcterms:modified xsi:type="dcterms:W3CDTF">2026-09-24T01:44:21Z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