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1. Assumptions" sheetId="2" state="visible" r:id="rId4"/>
    <sheet name="2. Both ways" sheetId="3" state="visible" r:id="rId5"/>
    <sheet name="3. Check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<sst xmlns="http://schemas.openxmlformats.org/spreadsheetml/2006/main" count="109" uniqueCount="99">
  <si>
    <t xml:space="preserve">Locked box against completion accounts</t>
  </si>
  <si>
    <t xml:space="preserve">Companion workbook to Closing the Deal — Julian R. Sterling</t>
  </si>
  <si>
    <t xml:space="preserve">What this workbook is</t>
  </si>
  <si>
    <t xml:space="preserve">The same deal run through both price mechanisms, on identical commercial terms, with nothing changed except the machinery. The difference on Meridian is EUR 6.56 m in the seller's favour — and two completely different things produce it.</t>
  </si>
  <si>
    <t xml:space="preserve">The three sheets</t>
  </si>
  <si>
    <t xml:space="preserve">1. Assumptions — the locked box terms and the completion accounts terms.</t>
  </si>
  <si>
    <t xml:space="preserve">2. Both ways — the two mechanisms side by side, with the difference split between its two causes: WHEN the debt-like items were settled, and WHERE in the seasonal cycle the balance sheet falls.</t>
  </si>
  <si>
    <t xml:space="preserve">3. Checks — every figure the book prints, recomputed.</t>
  </si>
  <si>
    <t xml:space="preserve">Where to start</t>
  </si>
  <si>
    <t xml:space="preserve">Sheet 2, the two lines under « why they differ ». The mechanism is not neutral plumbing: it decides when the argument happens, and therefore who has leverage during it. Before signing, the seller can walk away. After signing, it cannot.</t>
  </si>
  <si>
    <t xml:space="preserve">Revised 24 September 2026</t>
  </si>
  <si>
    <t xml:space="preserve">The timing of the debt-like items is worth 11.90, more than the whole difference of 6.56. Where the balance sheet falls in the season runs against the seller by 5.50, and the ticker less the leakage adds 0.16. Sheet 2, rows 17 to 23, shows the three, their sum and the share the timing takes.</t>
  </si>
  <si>
    <t xml:space="preserve">Sheet 3 adds those three figures and five identities that hold whatever you type. 13 checks, all passing. A typing error in a note on sheet 1 is corrected.</t>
  </si>
  <si>
    <t xml:space="preserve">Assumptions</t>
  </si>
  <si>
    <t xml:space="preserve">Common</t>
  </si>
  <si>
    <t xml:space="preserve">Enterprise value (EUR m)</t>
  </si>
  <si>
    <t xml:space="preserve">Target working capital, the peg (EUR m)</t>
  </si>
  <si>
    <t xml:space="preserve">Twelve-month average</t>
  </si>
  <si>
    <t xml:space="preserve">Locked box</t>
  </si>
  <si>
    <t xml:space="preserve">Net debt at the locked box date (EUR m)</t>
  </si>
  <si>
    <t xml:space="preserve">CARRIES THE ANSWER — negotiated BEFORE signing, when the seller could still walk</t>
  </si>
  <si>
    <t xml:space="preserve">Working capital at the locked box date (EUR m)</t>
  </si>
  <si>
    <t xml:space="preserve">Month 12 — the trough of the season</t>
  </si>
  <si>
    <t xml:space="preserve">Ticker rate</t>
  </si>
  <si>
    <t xml:space="preserve">Interest on the price from the box date</t>
  </si>
  <si>
    <t xml:space="preserve">Months to completion</t>
  </si>
  <si>
    <t xml:space="preserve">Leakage (EUR m)</t>
  </si>
  <si>
    <t xml:space="preserve">Value that left to the seller after the box closed</t>
  </si>
  <si>
    <t xml:space="preserve">Permitted leakage (EUR m)</t>
  </si>
  <si>
    <t xml:space="preserve">Listed in the agreement; not deducted</t>
  </si>
  <si>
    <t xml:space="preserve">Completion accounts</t>
  </si>
  <si>
    <t xml:space="preserve">Net debt on the completion accounts (EUR m)</t>
  </si>
  <si>
    <t xml:space="preserve">The buyer's own determination, reached AFTER signing</t>
  </si>
  <si>
    <t xml:space="preserve">Working capital at completion (EUR m)</t>
  </si>
  <si>
    <t xml:space="preserve">Near the peak of the season</t>
  </si>
  <si>
    <t xml:space="preserve">The same deal, both mechanisms</t>
  </si>
  <si>
    <t xml:space="preserve">Note</t>
  </si>
  <si>
    <t xml:space="preserve">Enterprise value</t>
  </si>
  <si>
    <t xml:space="preserve">Less: net debt</t>
  </si>
  <si>
    <t xml:space="preserve">The whole first cause of the difference</t>
  </si>
  <si>
    <t xml:space="preserve">Working capital used</t>
  </si>
  <si>
    <t xml:space="preserve">Less: the peg</t>
  </si>
  <si>
    <t xml:space="preserve">Working capital adjustment</t>
  </si>
  <si>
    <t xml:space="preserve">The second cause</t>
  </si>
  <si>
    <t xml:space="preserve">Price before interest</t>
  </si>
  <si>
    <t xml:space="preserve">Plus: ticker</t>
  </si>
  <si>
    <t xml:space="preserve">The seller's compensation for the delay</t>
  </si>
  <si>
    <t xml:space="preserve">Less: leakage</t>
  </si>
  <si>
    <t xml:space="preserve">Permitted leakage of EUR 0.42 m is not deducted</t>
  </si>
  <si>
    <t xml:space="preserve">Received by the seller</t>
  </si>
  <si>
    <t xml:space="preserve">Difference, in the seller's favour</t>
  </si>
  <si>
    <t xml:space="preserve">Why they differ</t>
  </si>
  <si>
    <t xml:space="preserve">1. When the debt-like items were settled</t>
  </si>
  <si>
    <t xml:space="preserve">A difference in bargaining position, not in accounting</t>
  </si>
  <si>
    <t xml:space="preserve">2. Where in the season the balance sheet falls</t>
  </si>
  <si>
    <t xml:space="preserve">The completion date is chosen by someone</t>
  </si>
  <si>
    <t xml:space="preserve">3. Ticker, less leakage</t>
  </si>
  <si>
    <t xml:space="preserve">Sum of the three</t>
  </si>
  <si>
    <t xml:space="preserve">Reconciles to the difference above</t>
  </si>
  <si>
    <t xml:space="preserve">Timing as a share of the difference</t>
  </si>
  <si>
    <t xml:space="preserve">More than the whole difference: the season works against the seller</t>
  </si>
  <si>
    <t xml:space="preserve">Season, ticker and leakage together</t>
  </si>
  <si>
    <t xml:space="preserve">The parts that get argued about; together they run the other way</t>
  </si>
  <si>
    <t xml:space="preserve">Checks — every figure the book prints, against what this workbook computes</t>
  </si>
  <si>
    <t xml:space="preserve">Closing the Deal — Julian R. Sterling</t>
  </si>
  <si>
    <t xml:space="preserve">Column D is a live formula pointing into the model, not a re-typed number. Change an input and this sheet moves with it.</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</si>
  <si>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</si>
  <si>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</si>
  <si>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</si>
  <si>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</si>
  <si>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</si>
  <si>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</si>
  <si>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</si>
  <si>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4</t>
  </si>
  <si>
    <t xml:space="preserve">Locked box price before interest, EUR m</t>
  </si>
  <si>
    <t xml:space="preserve">Each figure is checked to the precision the book prints it at. If a check fails, the model is wrong until proven otherwise.</t>
  </si>
  <si>
    <t xml:space="preserve">Ticker, EUR m</t>
  </si>
  <si>
    <t xml:space="preserve">Paid on completion under a locked box, EUR m</t>
  </si>
  <si>
    <t xml:space="preserve">Ch. 5</t>
  </si>
  <si>
    <t xml:space="preserve">Equity price on completion accounts, EUR m</t>
  </si>
  <si>
    <t xml:space="preserve">Ch. 6</t>
  </si>
  <si>
    <t xml:space="preserve">Difference between the mechanisms, EUR m</t>
  </si>
  <si>
    <t xml:space="preserve">Page</t>
  </si>
  <si>
    <t xml:space="preserve">When the debt-like items were settled, EUR m</t>
  </si>
  <si>
    <t xml:space="preserve">Revised</t>
  </si>
  <si>
    <t xml:space="preserve">Where in the season the balance sheet falls, EUR m</t>
  </si>
  <si>
    <t xml:space="preserve">Ticker less leakage, EUR m</t>
  </si>
  <si>
    <t xml:space="preserve">Identities that hold for any inputs</t>
  </si>
  <si>
    <t xml:space="preserve">Model</t>
  </si>
  <si>
    <t xml:space="preserve">The three causes add up to the difference</t>
  </si>
  <si>
    <t xml:space="preserve">The peg is the same on both sides, so it cancels out of the difference</t>
  </si>
  <si>
    <t xml:space="preserve">The ticker is the price before interest at the ticker rate for the months to completion</t>
  </si>
  <si>
    <t xml:space="preserve">Only leakage is deducted; permitted leakage is not</t>
  </si>
  <si>
    <t xml:space="preserve">Completion accounts carry no ticker and no leakage</t>
  </si>
  <si>
    <t xml:space="preserve">Lines reproduced within the book's own printed precision</t>
  </si>
  <si>
    <t xml:space="preserve">Lines differing only by the book's rounding of an intermediate</t>
  </si>
  <si>
    <t xml:space="preserve">Lines to check</t>
  </si>
  <si>
    <t xml:space="preserve">Identities that hold</t>
  </si>
  <si>
    <t xml:space="preserve">All checks (13)</t>
  </si>
</sst>
</file>

<file path=xl/styles.xml><?xml version="1.0" encoding="utf-8"?>
<styleSheet xmlns="http://schemas.openxmlformats.org/spreadsheetml/2006/main">
  <numFmts count="6">
    <numFmt numFmtId="164" formatCode="General"/>
    <numFmt numFmtId="165" formatCode="#,##0.00"/>
    <numFmt numFmtId="166" formatCode="0.00%"/>
    <numFmt numFmtId="167" formatCode="0"/>
    <numFmt numFmtId="168" formatCode="0.0%"/>
    <numFmt numFmtId="169" formatCode="General"/>
  </numFmts>
  <fonts count="11">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b val="true"/>
      <sz val="13"/>
      <color rgb="FF1F3864"/>
      <name val="Cambria"/>
      <family val="0"/>
      <charset val="1"/>
    </font>
    <font>
      <sz val="11"/>
      <color rgb="FF1F4E79"/>
      <name val="Cambria"/>
      <family val="0"/>
      <charset val="1"/>
    </font>
    <font>
      <b val="true"/>
      <sz val="11"/>
      <color rgb="FF1F4E79"/>
      <name val="Cambria"/>
      <family val="0"/>
      <charset val="1"/>
    </font>
    <font>
      <b val="true"/>
      <sz val="11"/>
      <name val="Cambria"/>
      <family val="0"/>
      <charset val="1"/>
    </font>
  </fonts>
  <fills count="4">
    <fill>
      <patternFill patternType="none"/>
    </fill>
    <fill>
      <patternFill patternType="gray125"/>
    </fill>
    <fill>
      <patternFill patternType="solid">
        <fgColor rgb="FFDCE9F7"/>
        <bgColor rgb="FFCCFFFF"/>
      </patternFill>
    </fill>
    <fill>
      <patternFill patternType="solid">
        <fgColor rgb="FFFFF2CC"/>
        <bgColor rgb="FFFF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7" fontId="8"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9" hidden="false" customHeight="true" outlineLevel="0" collapsed="false">
      <c r="A5" s="4" t="s">
        <v>3</v>
      </c>
    </row>
    <row r="7" customFormat="false" ht="15" hidden="false" customHeight="false" outlineLevel="0" collapsed="false">
      <c r="A7" s="3" t="s">
        <v>4</v>
      </c>
    </row>
    <row r="8" customFormat="false" ht="15" hidden="false" customHeight="true" outlineLevel="0" collapsed="false">
      <c r="A8" s="4" t="s">
        <v>5</v>
      </c>
    </row>
    <row r="9" customFormat="false" ht="25.5" hidden="false" customHeight="true" outlineLevel="0" collapsed="false">
      <c r="A9" s="4" t="s">
        <v>6</v>
      </c>
    </row>
    <row r="10" customFormat="false" ht="15" hidden="false" customHeight="true" outlineLevel="0" collapsed="false">
      <c r="A10" s="4" t="s">
        <v>7</v>
      </c>
    </row>
    <row r="12" customFormat="false" ht="15" hidden="false" customHeight="false" outlineLevel="0" collapsed="false">
      <c r="A12" s="3" t="s">
        <v>8</v>
      </c>
    </row>
    <row r="13" customFormat="false" ht="39" hidden="false" customHeight="true" outlineLevel="0" collapsed="false">
      <c r="A13" s="4" t="s">
        <v>9</v>
      </c>
    </row>
    <row r="15" customFormat="false" ht="15" hidden="false" customHeight="false" outlineLevel="0" collapsed="false">
      <c r="A15" s="3" t="s">
        <v>10</v>
      </c>
    </row>
    <row r="16" customFormat="false" ht="41.75" hidden="false" customHeight="false" outlineLevel="0" collapsed="false">
      <c r="A16" s="4" t="s">
        <v>11</v>
      </c>
    </row>
    <row r="17" customFormat="false" ht="28.35" hidden="false" customHeight="false" outlineLevel="0" collapsed="false">
      <c r="A17" s="4"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3" min="3" style="0" width="58"/>
  </cols>
  <sheetData>
    <row r="1" customFormat="false" ht="16.15" hidden="false" customHeight="false" outlineLevel="0" collapsed="false">
      <c r="A1" s="5" t="s">
        <v>13</v>
      </c>
    </row>
    <row r="3" customFormat="false" ht="15" hidden="false" customHeight="false" outlineLevel="0" collapsed="false">
      <c r="A3" s="3" t="s">
        <v>14</v>
      </c>
    </row>
    <row r="4" customFormat="false" ht="15" hidden="false" customHeight="false" outlineLevel="0" collapsed="false">
      <c r="A4" s="0" t="s">
        <v>15</v>
      </c>
      <c r="B4" s="6" t="n">
        <v>118</v>
      </c>
    </row>
    <row r="5" customFormat="false" ht="15" hidden="false" customHeight="false" outlineLevel="0" collapsed="false">
      <c r="A5" s="0" t="s">
        <v>16</v>
      </c>
      <c r="B5" s="6" t="n">
        <v>19.8333</v>
      </c>
      <c r="C5" s="7" t="s">
        <v>17</v>
      </c>
    </row>
    <row r="6" customFormat="false" ht="15" hidden="false" customHeight="false" outlineLevel="0" collapsed="false">
      <c r="A6" s="3" t="s">
        <v>18</v>
      </c>
    </row>
    <row r="7" customFormat="false" ht="22.35" hidden="false" customHeight="false" outlineLevel="0" collapsed="false">
      <c r="A7" s="0" t="s">
        <v>19</v>
      </c>
      <c r="B7" s="8" t="n">
        <v>47.5</v>
      </c>
      <c r="C7" s="7" t="s">
        <v>20</v>
      </c>
    </row>
    <row r="8" customFormat="false" ht="15" hidden="false" customHeight="false" outlineLevel="0" collapsed="false">
      <c r="A8" s="0" t="s">
        <v>21</v>
      </c>
      <c r="B8" s="6" t="n">
        <v>16.9</v>
      </c>
      <c r="C8" s="7" t="s">
        <v>22</v>
      </c>
    </row>
    <row r="9" customFormat="false" ht="15" hidden="false" customHeight="false" outlineLevel="0" collapsed="false">
      <c r="A9" s="0" t="s">
        <v>23</v>
      </c>
      <c r="B9" s="9" t="n">
        <v>0.06</v>
      </c>
      <c r="C9" s="7" t="s">
        <v>24</v>
      </c>
    </row>
    <row r="10" customFormat="false" ht="15" hidden="false" customHeight="false" outlineLevel="0" collapsed="false">
      <c r="A10" s="0" t="s">
        <v>25</v>
      </c>
      <c r="B10" s="10" t="n">
        <v>3</v>
      </c>
    </row>
    <row r="11" customFormat="false" ht="15" hidden="false" customHeight="false" outlineLevel="0" collapsed="false">
      <c r="A11" s="0" t="s">
        <v>26</v>
      </c>
      <c r="B11" s="6" t="n">
        <v>0.85</v>
      </c>
      <c r="C11" s="7" t="s">
        <v>27</v>
      </c>
    </row>
    <row r="12" customFormat="false" ht="15" hidden="false" customHeight="false" outlineLevel="0" collapsed="false">
      <c r="A12" s="0" t="s">
        <v>28</v>
      </c>
      <c r="B12" s="6" t="n">
        <v>0.42</v>
      </c>
      <c r="C12" s="7" t="s">
        <v>29</v>
      </c>
    </row>
    <row r="13" customFormat="false" ht="15" hidden="false" customHeight="false" outlineLevel="0" collapsed="false">
      <c r="A13" s="3" t="s">
        <v>30</v>
      </c>
    </row>
    <row r="14" customFormat="false" ht="15" hidden="false" customHeight="false" outlineLevel="0" collapsed="false">
      <c r="A14" s="0" t="s">
        <v>31</v>
      </c>
      <c r="B14" s="8" t="n">
        <v>59.4</v>
      </c>
      <c r="C14" s="7" t="s">
        <v>32</v>
      </c>
    </row>
    <row r="15" customFormat="false" ht="15" hidden="false" customHeight="false" outlineLevel="0" collapsed="false">
      <c r="A15" s="0" t="s">
        <v>33</v>
      </c>
      <c r="B15" s="6" t="n">
        <v>22.4</v>
      </c>
      <c r="C15" s="7" t="s">
        <v>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3" min="2" style="0" width="16"/>
    <col collapsed="false" customWidth="true" hidden="false" outlineLevel="0" max="4" min="4" style="0" width="54"/>
  </cols>
  <sheetData>
    <row r="1" customFormat="false" ht="16.15" hidden="false" customHeight="false" outlineLevel="0" collapsed="false">
      <c r="A1" s="5" t="s">
        <v>35</v>
      </c>
    </row>
    <row r="3" customFormat="false" ht="28.35" hidden="false" customHeight="false" outlineLevel="0" collapsed="false">
      <c r="A3" s="11"/>
      <c r="B3" s="11" t="s">
        <v>18</v>
      </c>
      <c r="C3" s="11" t="s">
        <v>30</v>
      </c>
      <c r="D3" s="11" t="s">
        <v>36</v>
      </c>
    </row>
    <row r="4" customFormat="false" ht="15" hidden="false" customHeight="false" outlineLevel="0" collapsed="false">
      <c r="A4" s="0" t="s">
        <v>37</v>
      </c>
      <c r="B4" s="12" t="n">
        <f aca="false">'1. Assumptions'!$B$4</f>
        <v>118</v>
      </c>
      <c r="C4" s="12" t="n">
        <f aca="false">'1. Assumptions'!$B$4</f>
        <v>118</v>
      </c>
      <c r="D4" s="7"/>
    </row>
    <row r="5" customFormat="false" ht="15" hidden="false" customHeight="false" outlineLevel="0" collapsed="false">
      <c r="A5" s="0" t="s">
        <v>38</v>
      </c>
      <c r="B5" s="12" t="n">
        <f aca="false">-'1. Assumptions'!$B$7</f>
        <v>-47.5</v>
      </c>
      <c r="C5" s="12" t="n">
        <f aca="false">-'1. Assumptions'!$B$14</f>
        <v>-59.4</v>
      </c>
      <c r="D5" s="7" t="s">
        <v>39</v>
      </c>
    </row>
    <row r="6" customFormat="false" ht="15" hidden="false" customHeight="false" outlineLevel="0" collapsed="false">
      <c r="A6" s="0" t="s">
        <v>40</v>
      </c>
      <c r="B6" s="12" t="n">
        <f aca="false">'1. Assumptions'!$B$8</f>
        <v>16.9</v>
      </c>
      <c r="C6" s="12" t="n">
        <f aca="false">'1. Assumptions'!$B$15</f>
        <v>22.4</v>
      </c>
      <c r="D6" s="7"/>
    </row>
    <row r="7" customFormat="false" ht="15" hidden="false" customHeight="false" outlineLevel="0" collapsed="false">
      <c r="A7" s="0" t="s">
        <v>41</v>
      </c>
      <c r="B7" s="12" t="n">
        <f aca="false">-'1. Assumptions'!$B$5</f>
        <v>-19.8333</v>
      </c>
      <c r="C7" s="12" t="n">
        <f aca="false">-'1. Assumptions'!$B$5</f>
        <v>-19.8333</v>
      </c>
      <c r="D7" s="7"/>
    </row>
    <row r="8" customFormat="false" ht="15" hidden="false" customHeight="false" outlineLevel="0" collapsed="false">
      <c r="A8" s="0" t="s">
        <v>42</v>
      </c>
      <c r="B8" s="12" t="n">
        <f aca="false">B6+B7</f>
        <v>-2.9333</v>
      </c>
      <c r="C8" s="12" t="n">
        <f aca="false">C6+C7</f>
        <v>2.5667</v>
      </c>
      <c r="D8" s="7" t="s">
        <v>43</v>
      </c>
    </row>
    <row r="9" customFormat="false" ht="15" hidden="false" customHeight="false" outlineLevel="0" collapsed="false">
      <c r="A9" s="13" t="s">
        <v>44</v>
      </c>
      <c r="B9" s="14" t="n">
        <f aca="false">B4+B5+B8</f>
        <v>67.5667</v>
      </c>
      <c r="C9" s="14" t="n">
        <f aca="false">C4+C5+C8</f>
        <v>61.1667</v>
      </c>
      <c r="D9" s="7"/>
    </row>
    <row r="10" customFormat="false" ht="15" hidden="false" customHeight="false" outlineLevel="0" collapsed="false">
      <c r="A10" s="0" t="s">
        <v>45</v>
      </c>
      <c r="B10" s="12" t="n">
        <f aca="false">B9*'1. Assumptions'!$B$9*'1. Assumptions'!$B$10/12</f>
        <v>1.0135005</v>
      </c>
      <c r="D10" s="7" t="s">
        <v>46</v>
      </c>
    </row>
    <row r="11" customFormat="false" ht="15" hidden="false" customHeight="false" outlineLevel="0" collapsed="false">
      <c r="A11" s="0" t="s">
        <v>47</v>
      </c>
      <c r="B11" s="12" t="n">
        <f aca="false">-'1. Assumptions'!$B$11</f>
        <v>-0.85</v>
      </c>
      <c r="D11" s="7" t="s">
        <v>48</v>
      </c>
    </row>
    <row r="12" customFormat="false" ht="15" hidden="false" customHeight="false" outlineLevel="0" collapsed="false">
      <c r="A12" s="13" t="s">
        <v>49</v>
      </c>
      <c r="B12" s="14" t="n">
        <f aca="false">B9+B10+B11</f>
        <v>67.7302005</v>
      </c>
      <c r="C12" s="14" t="n">
        <f aca="false">C9</f>
        <v>61.1667</v>
      </c>
      <c r="D12" s="7"/>
    </row>
    <row r="14" customFormat="false" ht="15" hidden="false" customHeight="false" outlineLevel="0" collapsed="false">
      <c r="A14" s="13" t="s">
        <v>50</v>
      </c>
      <c r="B14" s="14" t="n">
        <f aca="false">'2. Both ways'!$B$12-'2. Both ways'!$C$12</f>
        <v>6.56350050000001</v>
      </c>
    </row>
    <row r="16" customFormat="false" ht="15" hidden="false" customHeight="false" outlineLevel="0" collapsed="false">
      <c r="A16" s="3" t="s">
        <v>51</v>
      </c>
    </row>
    <row r="17" customFormat="false" ht="15" hidden="false" customHeight="false" outlineLevel="0" collapsed="false">
      <c r="A17" s="0" t="s">
        <v>52</v>
      </c>
      <c r="B17" s="12" t="n">
        <f aca="false">'1. Assumptions'!$B$14-'1. Assumptions'!$B$7</f>
        <v>11.9</v>
      </c>
      <c r="D17" s="2" t="s">
        <v>53</v>
      </c>
    </row>
    <row r="18" customFormat="false" ht="15" hidden="false" customHeight="false" outlineLevel="0" collapsed="false">
      <c r="A18" s="0" t="s">
        <v>54</v>
      </c>
      <c r="B18" s="12" t="n">
        <f aca="false">-('1. Assumptions'!$B$15-'1. Assumptions'!$B$8)</f>
        <v>-5.5</v>
      </c>
      <c r="D18" s="2" t="s">
        <v>55</v>
      </c>
    </row>
    <row r="19" customFormat="false" ht="15" hidden="false" customHeight="false" outlineLevel="0" collapsed="false">
      <c r="A19" s="0" t="s">
        <v>56</v>
      </c>
      <c r="B19" s="12" t="n">
        <f aca="false">B10+B11</f>
        <v>0.1635005</v>
      </c>
    </row>
    <row r="20" customFormat="false" ht="15" hidden="false" customHeight="false" outlineLevel="0" collapsed="false">
      <c r="A20" s="13" t="s">
        <v>57</v>
      </c>
      <c r="B20" s="12" t="n">
        <f aca="false">SUM(B17:B19)</f>
        <v>6.5635005</v>
      </c>
      <c r="D20" s="2" t="s">
        <v>58</v>
      </c>
    </row>
    <row r="22" customFormat="false" ht="15" hidden="false" customHeight="false" outlineLevel="0" collapsed="false">
      <c r="A22" s="0" t="s">
        <v>59</v>
      </c>
      <c r="B22" s="15" t="n">
        <f aca="false">B17/B14</f>
        <v>1.81305691985549</v>
      </c>
      <c r="D22" s="2" t="s">
        <v>60</v>
      </c>
    </row>
    <row r="23" customFormat="false" ht="15" hidden="false" customHeight="false" outlineLevel="0" collapsed="false">
      <c r="A23" s="0" t="s">
        <v>61</v>
      </c>
      <c r="B23" s="12" t="n">
        <f aca="false">B18+B19</f>
        <v>-5.3364995</v>
      </c>
      <c r="D23" s="2" t="s">
        <v>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2" min="2" style="0" width="62"/>
    <col collapsed="false" customWidth="true" hidden="false" outlineLevel="0" max="6" min="3" style="0" width="13"/>
    <col collapsed="false" customWidth="true" hidden="false" outlineLevel="0" max="7" min="7" style="0" width="2"/>
    <col collapsed="false" customWidth="true" hidden="false" outlineLevel="0" max="8" min="8" style="0" width="60"/>
  </cols>
  <sheetData>
    <row r="1" customFormat="false" ht="16.15" hidden="false" customHeight="false" outlineLevel="0" collapsed="false">
      <c r="A1" s="5" t="s">
        <v>63</v>
      </c>
    </row>
    <row r="2" customFormat="false" ht="15" hidden="false" customHeight="false" outlineLevel="0" collapsed="false">
      <c r="A2" s="2" t="s">
        <v>64</v>
      </c>
    </row>
    <row r="3" customFormat="false" ht="15" hidden="false" customHeight="false" outlineLevel="0" collapsed="false">
      <c r="A3" s="2" t="s">
        <v>65</v>
      </c>
    </row>
    <row r="5" customFormat="false" ht="15" hidden="false" customHeight="false" outlineLevel="0" collapsed="false">
      <c r="A5" s="11" t="s">
        <v>66</v>
      </c>
      <c r="B5" s="11" t="s">
        <v>67</v>
      </c>
      <c r="C5" s="11" t="s">
        <v>68</v>
      </c>
      <c r="D5" s="11" t="s">
        <v>69</v>
      </c>
      <c r="E5" s="11" t="s">
        <v>70</v>
      </c>
      <c r="F5" s="11" t="s">
        <v>71</v>
      </c>
      <c r="H5" s="13" t="s">
        <v>72</v>
      </c>
    </row>
    <row r="6" customFormat="false" ht="28.35" hidden="false" customHeight="false" outlineLevel="0" collapsed="false">
      <c r="A6" s="0" t="s">
        <v>73</v>
      </c>
      <c r="B6" s="4" t="s">
        <v>74</v>
      </c>
      <c r="C6" s="0" t="n">
        <v>67.57</v>
      </c>
      <c r="D6" s="16" t="n">
        <f aca="false">ROUND('2. Both ways'!$B$9,2)</f>
        <v>67.57</v>
      </c>
      <c r="E6" s="16" t="n">
        <f aca="false">D6-C6</f>
        <v>0</v>
      </c>
      <c r="F6" s="0" t="str">
        <f aca="false">IF(ABS(E6)&lt;=0.005,"reproduced",IF(ABS(E6)&lt;=0.005*3,"rounding","to check"))</f>
        <v>reproduced</v>
      </c>
      <c r="H6" s="4" t="s">
        <v>75</v>
      </c>
    </row>
    <row r="7" customFormat="false" ht="15" hidden="false" customHeight="false" outlineLevel="0" collapsed="false">
      <c r="A7" s="0" t="s">
        <v>73</v>
      </c>
      <c r="B7" s="4" t="s">
        <v>76</v>
      </c>
      <c r="C7" s="0" t="n">
        <v>1.01</v>
      </c>
      <c r="D7" s="16" t="n">
        <f aca="false">ROUND('2. Both ways'!$B$10,2)</f>
        <v>1.01</v>
      </c>
      <c r="E7" s="16" t="n">
        <f aca="false">D7-C7</f>
        <v>0</v>
      </c>
      <c r="F7" s="0" t="str">
        <f aca="false">IF(ABS(E7)&lt;=0.005,"reproduced",IF(ABS(E7)&lt;=0.005*3,"rounding","to check"))</f>
        <v>reproduced</v>
      </c>
    </row>
    <row r="8" customFormat="false" ht="15" hidden="false" customHeight="false" outlineLevel="0" collapsed="false">
      <c r="A8" s="0" t="s">
        <v>73</v>
      </c>
      <c r="B8" s="4" t="s">
        <v>77</v>
      </c>
      <c r="C8" s="0" t="n">
        <v>67.73</v>
      </c>
      <c r="D8" s="16" t="n">
        <f aca="false">ROUND('2. Both ways'!$B$12,2)</f>
        <v>67.73</v>
      </c>
      <c r="E8" s="16" t="n">
        <f aca="false">D8-C8</f>
        <v>0</v>
      </c>
      <c r="F8" s="0" t="str">
        <f aca="false">IF(ABS(E8)&lt;=0.005,"reproduced",IF(ABS(E8)&lt;=0.005*3,"rounding","to check"))</f>
        <v>reproduced</v>
      </c>
    </row>
    <row r="9" customFormat="false" ht="15" hidden="false" customHeight="false" outlineLevel="0" collapsed="false">
      <c r="A9" s="0" t="s">
        <v>78</v>
      </c>
      <c r="B9" s="4" t="s">
        <v>79</v>
      </c>
      <c r="C9" s="0" t="n">
        <v>61.17</v>
      </c>
      <c r="D9" s="16" t="n">
        <f aca="false">ROUND('2. Both ways'!$C$12,2)</f>
        <v>61.17</v>
      </c>
      <c r="E9" s="16" t="n">
        <f aca="false">D9-C9</f>
        <v>0</v>
      </c>
      <c r="F9" s="0" t="str">
        <f aca="false">IF(ABS(E9)&lt;=0.005,"reproduced",IF(ABS(E9)&lt;=0.005*3,"rounding","to check"))</f>
        <v>reproduced</v>
      </c>
    </row>
    <row r="10" customFormat="false" ht="15" hidden="false" customHeight="false" outlineLevel="0" collapsed="false">
      <c r="A10" s="0" t="s">
        <v>80</v>
      </c>
      <c r="B10" s="4" t="s">
        <v>81</v>
      </c>
      <c r="C10" s="0" t="n">
        <v>6.56</v>
      </c>
      <c r="D10" s="16" t="n">
        <f aca="false">ROUND('2. Both ways'!$B$14,2)</f>
        <v>6.56</v>
      </c>
      <c r="E10" s="16" t="n">
        <f aca="false">D10-C10</f>
        <v>0</v>
      </c>
      <c r="F10" s="0" t="str">
        <f aca="false">IF(ABS(E10)&lt;=0.005,"reproduced",IF(ABS(E10)&lt;=0.005*3,"rounding","to check"))</f>
        <v>reproduced</v>
      </c>
    </row>
    <row r="11" customFormat="false" ht="15" hidden="false" customHeight="false" outlineLevel="0" collapsed="false">
      <c r="A11" s="0" t="s">
        <v>82</v>
      </c>
      <c r="B11" s="4" t="s">
        <v>83</v>
      </c>
      <c r="C11" s="0" t="n">
        <v>11.9</v>
      </c>
      <c r="D11" s="16" t="n">
        <f aca="false">ROUND('2. Both ways'!$B$17,2)</f>
        <v>11.9</v>
      </c>
      <c r="E11" s="16" t="n">
        <f aca="false">D11-C11</f>
        <v>0</v>
      </c>
      <c r="F11" s="0" t="str">
        <f aca="false">IF(ABS(E11)&lt;=0.005,"reproduced",IF(ABS(E11)&lt;=0.005*3,"rounding","to check"))</f>
        <v>reproduced</v>
      </c>
    </row>
    <row r="12" customFormat="false" ht="15" hidden="false" customHeight="false" outlineLevel="0" collapsed="false">
      <c r="A12" s="0" t="s">
        <v>84</v>
      </c>
      <c r="B12" s="4" t="s">
        <v>85</v>
      </c>
      <c r="C12" s="0" t="n">
        <v>-5.5</v>
      </c>
      <c r="D12" s="16" t="n">
        <f aca="false">ROUND('2. Both ways'!$B$18,2)</f>
        <v>-5.5</v>
      </c>
      <c r="E12" s="16" t="n">
        <f aca="false">D12-C12</f>
        <v>0</v>
      </c>
      <c r="F12" s="0" t="str">
        <f aca="false">IF(ABS(E12)&lt;=0.005,"reproduced",IF(ABS(E12)&lt;=0.005*3,"rounding","to check"))</f>
        <v>reproduced</v>
      </c>
    </row>
    <row r="13" customFormat="false" ht="15" hidden="false" customHeight="false" outlineLevel="0" collapsed="false">
      <c r="A13" s="0" t="s">
        <v>84</v>
      </c>
      <c r="B13" s="4" t="s">
        <v>86</v>
      </c>
      <c r="C13" s="0" t="n">
        <v>0.16</v>
      </c>
      <c r="D13" s="16" t="n">
        <f aca="false">ROUND('2. Both ways'!$B$19,2)</f>
        <v>0.16</v>
      </c>
      <c r="E13" s="16" t="n">
        <f aca="false">D13-C13</f>
        <v>0</v>
      </c>
      <c r="F13" s="0" t="str">
        <f aca="false">IF(ABS(E13)&lt;=0.005,"reproduced",IF(ABS(E13)&lt;=0.005*3,"rounding","to check"))</f>
        <v>reproduced</v>
      </c>
    </row>
    <row r="14" customFormat="false" ht="15" hidden="false" customHeight="false" outlineLevel="0" collapsed="false">
      <c r="A14" s="13"/>
      <c r="C14" s="13"/>
    </row>
    <row r="15" customFormat="false" ht="55.2" hidden="false" customHeight="false" outlineLevel="0" collapsed="false">
      <c r="A15" s="11" t="s">
        <v>87</v>
      </c>
      <c r="F15" s="11" t="s">
        <v>71</v>
      </c>
    </row>
    <row r="16" customFormat="false" ht="15" hidden="false" customHeight="false" outlineLevel="0" collapsed="false">
      <c r="A16" s="0" t="s">
        <v>88</v>
      </c>
      <c r="B16" s="4" t="s">
        <v>89</v>
      </c>
      <c r="F16" s="0" t="str">
        <f aca="false">IF(ABS('2. Both ways'!B20-'2. Both ways'!B14)&lt;0.000000001,"OK","CHECK")</f>
        <v>OK</v>
      </c>
    </row>
    <row r="17" customFormat="false" ht="15" hidden="false" customHeight="false" outlineLevel="0" collapsed="false">
      <c r="A17" s="0" t="s">
        <v>88</v>
      </c>
      <c r="B17" s="4" t="s">
        <v>90</v>
      </c>
      <c r="F17" s="0" t="str">
        <f aca="false">IF(ABS(('2. Both ways'!B9-'2. Both ways'!C9)-(('1. Assumptions'!B14-'1. Assumptions'!B7)+('1. Assumptions'!B8-'1. Assumptions'!B15)))&lt;0.000000001,"OK","CHECK")</f>
        <v>OK</v>
      </c>
    </row>
    <row r="18" customFormat="false" ht="28.35" hidden="false" customHeight="false" outlineLevel="0" collapsed="false">
      <c r="A18" s="0" t="s">
        <v>88</v>
      </c>
      <c r="B18" s="4" t="s">
        <v>91</v>
      </c>
      <c r="F18" s="0" t="str">
        <f aca="false">IF(ABS('2. Both ways'!B10-'2. Both ways'!B9*'1. Assumptions'!B9*'1. Assumptions'!B10/12)&lt;0.000000001,"OK","CHECK")</f>
        <v>OK</v>
      </c>
    </row>
    <row r="19" customFormat="false" ht="15" hidden="false" customHeight="false" outlineLevel="0" collapsed="false">
      <c r="A19" s="0" t="s">
        <v>88</v>
      </c>
      <c r="B19" s="4" t="s">
        <v>92</v>
      </c>
      <c r="F19" s="0" t="str">
        <f aca="false">IF(ABS('2. Both ways'!B11+'1. Assumptions'!B11)&lt;0.000000000001,"OK","CHECK")</f>
        <v>OK</v>
      </c>
    </row>
    <row r="20" customFormat="false" ht="15" hidden="false" customHeight="false" outlineLevel="0" collapsed="false">
      <c r="A20" s="0" t="s">
        <v>88</v>
      </c>
      <c r="B20" s="4" t="s">
        <v>93</v>
      </c>
      <c r="F20" s="0" t="str">
        <f aca="false">IF(ABS('2. Both ways'!C12-'2. Both ways'!C9)&lt;0.000000000001,"OK","CHECK")</f>
        <v>OK</v>
      </c>
    </row>
    <row r="22" customFormat="false" ht="15" hidden="false" customHeight="false" outlineLevel="0" collapsed="false">
      <c r="A22" s="13" t="s">
        <v>94</v>
      </c>
      <c r="C22" s="13" t="n">
        <f aca="false">COUNTIF(F6:F13,"reproduced")</f>
        <v>8</v>
      </c>
    </row>
    <row r="23" customFormat="false" ht="15" hidden="false" customHeight="false" outlineLevel="0" collapsed="false">
      <c r="A23" s="13" t="s">
        <v>95</v>
      </c>
      <c r="C23" s="13" t="n">
        <f aca="false">COUNTIF(F6:F13,"rounding")</f>
        <v>0</v>
      </c>
    </row>
    <row r="24" customFormat="false" ht="15" hidden="false" customHeight="false" outlineLevel="0" collapsed="false">
      <c r="A24" s="13" t="s">
        <v>96</v>
      </c>
      <c r="C24" s="13" t="n">
        <f aca="false">COUNTIF(F6:F13,"to check")</f>
        <v>0</v>
      </c>
    </row>
    <row r="25" customFormat="false" ht="15" hidden="false" customHeight="false" outlineLevel="0" collapsed="false">
      <c r="A25" s="13" t="s">
        <v>97</v>
      </c>
      <c r="C25" s="13" t="n">
        <f aca="false">COUNTIF(F16:F20,"OK")</f>
        <v>5</v>
      </c>
    </row>
    <row r="26" customFormat="false" ht="15" hidden="false" customHeight="false" outlineLevel="0" collapsed="false">
      <c r="A26" s="13" t="s">
        <v>98</v>
      </c>
      <c r="C26" s="13" t="str">
        <f aca="false">IF(AND(COUNTIF(F6:F13,"to check")=0,COUNTIF(F16:F20,"OK")=5),"ALL OK",COUNTIF(F6:F13,"reproduced")+COUNTIF(F6:F13,"rounding")+COUNTIF(F16:F20,"OK")&amp;" / 13 OK")</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2026-08-23T23:37:31Z</dcterms:created>
  <dc:creator>openpyxl</dc:creator>
  <dc:description/>
  <dc:language>en-US</dc:language>
  <cp:lastModifiedBy/>
  <dcterms:modified xsi:type="dcterms:W3CDTF">2026-09-24T20:22:23Z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