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VaR Three Ways" sheetId="3" state="visible" r:id="rId5"/>
    <sheet name="The Backtest" sheetId="4" state="visible" r:id="rId6"/>
    <sheet name="Checks" sheetId="5" state="visible" r:id="rId7"/>
  </sheets>
  <definedNames>
    <definedName function="false" hidden="false" name="CONF" vbProcedure="false">Inputs!$B$7</definedName>
    <definedName function="false" hidden="false" name="CONFES" vbProcedure="false">Inputs!$B$8</definedName>
    <definedName function="false" hidden="false" name="CORRSW" vbProcedure="false">Inputs!$B$11</definedName>
    <definedName function="false" hidden="false" name="EXC" vbProcedure="false">Inputs!$B$10</definedName>
    <definedName function="false" hidden="false" name="NAV" vbProcedure="false">Inputs!$B$5</definedName>
    <definedName function="false" hidden="false" name="OBS" vbProcedure="false">Inputs!$B$9</definedName>
    <definedName function="false" hidden="false" name="TDAYS" vbProcedure="false">Inputs!$B$6</definedName>
    <definedName function="false" hidden="false" name="VOL" vbProcedure="false">Inputs!$D$15:$D$18</definedName>
    <definedName function="false" hidden="false" name="WT" vbProcedure="false">Inputs!$C$15:$C$18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<sst xmlns="http://schemas.openxmlformats.org/spreadsheetml/2006/main" count="174" uniqueCount="116">
  <si>
    <t xml:space="preserve">Workbook 2 - Value at Risk, Expected Shortfall and the Backtest</t>
  </si>
  <si>
    <t xml:space="preserve">Companion to Financial Risk Management by Julian R. Sterling</t>
  </si>
  <si>
    <t xml:space="preserve">What this workbook does</t>
  </si>
  <si>
    <t xml:space="preserve">It builds parametric value at risk from the sleeve volatilities and the correlation matrix, one visible step at a time, then puts expected shortfall beside it and counts the exceptions a 99 per cent measure should produce.</t>
  </si>
  <si>
    <t xml:space="preserve">The result worth sitting with</t>
  </si>
  <si>
    <t xml:space="preserve">On a normal distribution, expected shortfall at 97.5 per cent divided by value at risk at 99 per cent is 1.005. Switching measures changes almost nothing. What changes the answer is the shape of the tail, not the statistic you compute on it.</t>
  </si>
  <si>
    <t xml:space="preserve">The book</t>
  </si>
  <si>
    <t xml:space="preserve">Financial Risk Management - A Practitioner's Guide to Measuring What Actually Breaks a Fund, by Julian R. Sterling.</t>
  </si>
  <si>
    <t xml:space="preserve">All four companion workbooks: julianrsterling.com/risk</t>
  </si>
  <si>
    <t xml:space="preserve">Revised 24 September 2026</t>
  </si>
  <si>
    <t xml:space="preserve">The correlation switch the book describes is now in the workbook: cell B11 of the Inputs sheet, 1 for the reported matrix, 2 for the crisis matrix, which sits beside the reported one on the VaR sheet. Below the construction, both are computed side by side: a diversification benefit of 0.767 of a point, 11.5 per cent of the undiversified 6.65, of which 27.6 per cent survives the crisis matrix.</t>
  </si>
  <si>
    <t xml:space="preserve">The backtest zones are now drawn by the binomial rather than typed. On 500 observations the green zone ends at 8 exceptions, not 9 as the first edition of this sheet had it: a correct 99 per cent model shows nine or fewer with a probability of 96.9 per cent, past the 95 per cent that bounds the green zone (eight or fewer: 93.3 per cent). The amber zone ends at 14, as before. On 250 observations the same formulas return the published 4 and 9.</t>
  </si>
  <si>
    <t xml:space="preserve">Eleven checks added, eighteen in all.</t>
  </si>
  <si>
    <t xml:space="preserve">Inputs</t>
  </si>
  <si>
    <t xml:space="preserve">Yellow cells only.</t>
  </si>
  <si>
    <t xml:space="preserve">Net assets</t>
  </si>
  <si>
    <t xml:space="preserve">Trading days in a year</t>
  </si>
  <si>
    <t xml:space="preserve">Confidence, VaR</t>
  </si>
  <si>
    <t xml:space="preserve">Confidence, expected shortfall</t>
  </si>
  <si>
    <t xml:space="preserve">Observations in the backtest</t>
  </si>
  <si>
    <t xml:space="preserve">Exceptions observed</t>
  </si>
  <si>
    <t xml:space="preserve">Correlation matrix: 1 reported, 2 crisis</t>
  </si>
  <si>
    <t xml:space="preserve">The four sleeves</t>
  </si>
  <si>
    <t xml:space="preserve">Sleeve</t>
  </si>
  <si>
    <t xml:space="preserve">Market value</t>
  </si>
  <si>
    <t xml:space="preserve">Weight</t>
  </si>
  <si>
    <t xml:space="preserve">Volatility</t>
  </si>
  <si>
    <t xml:space="preserve">Investment-grade credit</t>
  </si>
  <si>
    <t xml:space="preserve">High yield</t>
  </si>
  <si>
    <t xml:space="preserve">Leveraged loans</t>
  </si>
  <si>
    <t xml:space="preserve">Structured credit</t>
  </si>
  <si>
    <t xml:space="preserve">Value at risk, and the tail beyond it</t>
  </si>
  <si>
    <t xml:space="preserve">Chapters 4 and 5. The parametric construction step by step, with expected shortfall alongside.</t>
  </si>
  <si>
    <t xml:space="preserve">Reported correlations</t>
  </si>
  <si>
    <t xml:space="preserve">Crisis correlations</t>
  </si>
  <si>
    <t xml:space="preserve">Investment-grade</t>
  </si>
  <si>
    <t xml:space="preserve">High</t>
  </si>
  <si>
    <t xml:space="preserve">Leveraged</t>
  </si>
  <si>
    <t xml:space="preserve">Structured</t>
  </si>
  <si>
    <t xml:space="preserve">The grid below uses the matrix chosen on the Inputs sheet: 1 the reported values, 2 the crisis values.</t>
  </si>
  <si>
    <t xml:space="preserve">Portfolio volatility, annual</t>
  </si>
  <si>
    <t xml:space="preserve">Daily volatility</t>
  </si>
  <si>
    <t xml:space="preserve">Normal quantile at the VaR confidence</t>
  </si>
  <si>
    <t xml:space="preserve">One-day value at risk</t>
  </si>
  <si>
    <t xml:space="preserve">  as a share of net assets</t>
  </si>
  <si>
    <t xml:space="preserve">Twenty-day value at risk</t>
  </si>
  <si>
    <t xml:space="preserve">Expected shortfall</t>
  </si>
  <si>
    <t xml:space="preserve">Normal quantile at the ES confidence</t>
  </si>
  <si>
    <t xml:space="preserve">Expected shortfall multiplier</t>
  </si>
  <si>
    <t xml:space="preserve">Expected shortfall, one day</t>
  </si>
  <si>
    <t xml:space="preserve">Expected shortfall / value at risk</t>
  </si>
  <si>
    <t xml:space="preserve">On a normal distribution the two measures are almost the same number. The improvement is not the measure. It is the tail.</t>
  </si>
  <si>
    <t xml:space="preserve">Horizon scaling</t>
  </si>
  <si>
    <t xml:space="preserve">Horizon, days</t>
  </si>
  <si>
    <t xml:space="preserve">Value at risk</t>
  </si>
  <si>
    <t xml:space="preserve">Share of net assets</t>
  </si>
  <si>
    <t xml:space="preserve">The horizon is a property of the portfolio, not a modelling choice. A book that takes twenty days to sell has a twenty-day horizon whether or not the model uses one.</t>
  </si>
  <si>
    <t xml:space="preserve">Diversification: the reported matrix against the crisis matrix</t>
  </si>
  <si>
    <t xml:space="preserve">Both computed side by side, whatever the switch says. Throw the switch and the construction above re-runs in crisis correlations.</t>
  </si>
  <si>
    <t xml:space="preserve">Reported</t>
  </si>
  <si>
    <t xml:space="preserve">Crisis</t>
  </si>
  <si>
    <t xml:space="preserve">Volatility if everything correlated at 1</t>
  </si>
  <si>
    <t xml:space="preserve">Measure</t>
  </si>
  <si>
    <t xml:space="preserve">Diversification benefit, in points</t>
  </si>
  <si>
    <t xml:space="preserve">  as a reduction</t>
  </si>
  <si>
    <t xml:space="preserve">Share of the diversification benefit that survives</t>
  </si>
  <si>
    <t xml:space="preserve">The benefit is 0.767 of a point to begin with, and most of it goes in the months that produce redemptions.</t>
  </si>
  <si>
    <t xml:space="preserve">What ninety-nine per cent promises</t>
  </si>
  <si>
    <t xml:space="preserve">Chapter 6. A 99 per cent measure promises exceptions, not their absence.</t>
  </si>
  <si>
    <t xml:space="preserve">Observations</t>
  </si>
  <si>
    <t xml:space="preserve">Exceptions expected</t>
  </si>
  <si>
    <t xml:space="preserve">Zone</t>
  </si>
  <si>
    <t xml:space="preserve">Reading</t>
  </si>
  <si>
    <t xml:space="preserve">Chance a correct model shows at least this many</t>
  </si>
  <si>
    <t xml:space="preserve">The zones, on this many observations</t>
  </si>
  <si>
    <t xml:space="preserve">Exceptions</t>
  </si>
  <si>
    <t xml:space="preserve">What it means</t>
  </si>
  <si>
    <t xml:space="preserve">Green</t>
  </si>
  <si>
    <t xml:space="preserve">consistent with a working model</t>
  </si>
  <si>
    <t xml:space="preserve">Amber</t>
  </si>
  <si>
    <t xml:space="preserve">inconclusive - the count test cannot separate a bad model from bad luck</t>
  </si>
  <si>
    <t xml:space="preserve">Red</t>
  </si>
  <si>
    <t xml:space="preserve">the model is rejected</t>
  </si>
  <si>
    <t xml:space="preserve">A count test says nothing about clustering. Five exceptions over two years is a working model; five in one week is a model that stopped working, and the count is identical.</t>
  </si>
  <si>
    <t xml:space="preserve">Where the zones fall</t>
  </si>
  <si>
    <t xml:space="preserve">The conventional construction: green while a correct model would show no more exceptions with a probability below 95 per cent, red from 99.99 per cent.</t>
  </si>
  <si>
    <t xml:space="preserve">Green ends at</t>
  </si>
  <si>
    <t xml:space="preserve">Amber ends at</t>
  </si>
  <si>
    <t xml:space="preserve">Red from</t>
  </si>
  <si>
    <t xml:space="preserve">On 250 observations this is the published table, 4 and 9. On 500 the green zone ends at 8, not 9: nine exceptions in two years is amber.</t>
  </si>
  <si>
    <t xml:space="preserve">Checks against the printed book</t>
  </si>
  <si>
    <t xml:space="preserve">Every line reproduces a figure printed in Chapters 4 to 7, or a threshold of the published table.</t>
  </si>
  <si>
    <t xml:space="preserve">Ch.</t>
  </si>
  <si>
    <t xml:space="preserve">Figure as printed in the book</t>
  </si>
  <si>
    <t xml:space="preserve">Printed</t>
  </si>
  <si>
    <t xml:space="preserve">Workbook</t>
  </si>
  <si>
    <t xml:space="preserve">Difference</t>
  </si>
  <si>
    <t xml:space="preserve">Result</t>
  </si>
  <si>
    <t xml:space="preserve">4</t>
  </si>
  <si>
    <t xml:space="preserve">One-day 99 per cent value at risk</t>
  </si>
  <si>
    <t xml:space="preserve">Portfolio volatility</t>
  </si>
  <si>
    <t xml:space="preserve">Normal quantile at 99 per cent</t>
  </si>
  <si>
    <t xml:space="preserve">7</t>
  </si>
  <si>
    <t xml:space="preserve">5</t>
  </si>
  <si>
    <t xml:space="preserve">6</t>
  </si>
  <si>
    <t xml:space="preserve">Exceptions expected on 500 observations</t>
  </si>
  <si>
    <t xml:space="preserve">Volatility if correlation were 1</t>
  </si>
  <si>
    <t xml:space="preserve">Volatility in crisis correlations</t>
  </si>
  <si>
    <t xml:space="preserve">Value at risk in crisis correlations</t>
  </si>
  <si>
    <t xml:space="preserve">Diversification benefit surviving</t>
  </si>
  <si>
    <t xml:space="preserve">Correlation switch at the book's setting</t>
  </si>
  <si>
    <t xml:space="preserve">Green zone ends at, 500 observations (revised: 8, not 9)</t>
  </si>
  <si>
    <t xml:space="preserve">Amber zone ends at, 500 observations</t>
  </si>
  <si>
    <t xml:space="preserve">Green zone ends at, 250 observations (the published table)</t>
  </si>
  <si>
    <t xml:space="preserve">Amber zone ends at, 250 observations (the published table)</t>
  </si>
  <si>
    <t xml:space="preserve">Checks passing</t>
  </si>
</sst>
</file>

<file path=xl/styles.xml><?xml version="1.0" encoding="utf-8"?>
<styleSheet xmlns="http://schemas.openxmlformats.org/spreadsheetml/2006/main">
  <numFmts count="13">
    <numFmt numFmtId="164" formatCode="General"/>
    <numFmt numFmtId="165" formatCode="#,##0;\-#,##0"/>
    <numFmt numFmtId="166" formatCode="0"/>
    <numFmt numFmtId="167" formatCode="0.0%;\-0.0%"/>
    <numFmt numFmtId="168" formatCode="#,##0"/>
    <numFmt numFmtId="169" formatCode="0.00"/>
    <numFmt numFmtId="170" formatCode="0.0000000"/>
    <numFmt numFmtId="171" formatCode="0.00%;\-0.00%"/>
    <numFmt numFmtId="172" formatCode="0.000000"/>
    <numFmt numFmtId="173" formatCode="0.000"/>
    <numFmt numFmtId="174" formatCode="0.000%;\-0.000%"/>
    <numFmt numFmtId="175" formatCode="0.0"/>
    <numFmt numFmtId="176" formatCode="@"/>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i val="true"/>
      <sz val="9"/>
      <color rgb="FF5A6A70"/>
      <name val="Calibri"/>
      <family val="0"/>
      <charset val="1"/>
    </font>
    <font>
      <b val="true"/>
      <sz val="11"/>
      <color rgb="FF1A1A1A"/>
      <name val="Calibri"/>
      <family val="0"/>
      <charset val="1"/>
    </font>
    <font>
      <b val="true"/>
      <sz val="11"/>
      <color rgb="FF1E7A3C"/>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8" fillId="4" borderId="3" xfId="0" applyFont="true" applyBorder="tru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7" fontId="8" fillId="4" borderId="3"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right" vertical="bottom" textRotation="0" wrapText="tru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left" vertical="bottom" textRotation="0" wrapText="tru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5" fontId="11"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true" applyProtection="false">
      <alignment horizontal="left" vertical="bottom" textRotation="0" wrapText="false" indent="0" shrinkToFit="false"/>
      <protection locked="true" hidden="false"/>
    </xf>
    <xf numFmtId="176" fontId="7" fillId="0" borderId="0" xfId="0" applyFont="true" applyBorder="false" applyAlignment="true" applyProtection="false">
      <alignment horizontal="left" vertical="bottom" textRotation="0" wrapText="false" indent="0" shrinkToFit="false"/>
      <protection locked="true" hidden="false"/>
    </xf>
    <xf numFmtId="166" fontId="7" fillId="0" borderId="0" xfId="0" applyFont="true" applyBorder="false" applyAlignment="true" applyProtection="false">
      <alignment horizontal="left"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30" hidden="false" customHeight="true" outlineLevel="0" collapsed="false">
      <c r="A15" s="5" t="s">
        <v>7</v>
      </c>
    </row>
    <row r="16" customFormat="false" ht="15" hidden="false" customHeight="true" outlineLevel="0" collapsed="false">
      <c r="A16" s="5" t="s">
        <v>8</v>
      </c>
    </row>
    <row r="18" customFormat="false" ht="15" hidden="false" customHeight="false" outlineLevel="0" collapsed="false">
      <c r="A18" s="6" t="s">
        <v>9</v>
      </c>
    </row>
    <row r="20" customFormat="false" ht="41.75" hidden="false" customHeight="false" outlineLevel="0" collapsed="false">
      <c r="A20" s="5" t="s">
        <v>10</v>
      </c>
    </row>
    <row r="21" customFormat="false" ht="55.2" hidden="false" customHeight="false" outlineLevel="0" collapsed="false">
      <c r="A21" s="5" t="s">
        <v>11</v>
      </c>
    </row>
    <row r="22" customFormat="false" ht="15" hidden="false" customHeight="false" outlineLevel="0" collapsed="false">
      <c r="A22" s="5"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5"/>
    <col collapsed="false" customWidth="true" hidden="false" outlineLevel="0" max="5" min="3" style="0" width="12"/>
    <col collapsed="false" customWidth="true" hidden="false" outlineLevel="0" max="6" min="6" style="0" width="4"/>
    <col collapsed="false" customWidth="true" hidden="false" outlineLevel="0" max="7" min="7" style="0" width="48"/>
  </cols>
  <sheetData>
    <row r="1" customFormat="false" ht="24" hidden="false" customHeight="true" outlineLevel="0" collapsed="false">
      <c r="A1" s="1" t="s">
        <v>13</v>
      </c>
    </row>
    <row r="2" customFormat="false" ht="15" hidden="false" customHeight="false" outlineLevel="0" collapsed="false">
      <c r="A2" s="2" t="s">
        <v>14</v>
      </c>
    </row>
    <row r="3" customFormat="false" ht="15" hidden="false" customHeight="false" outlineLevel="0" collapsed="false">
      <c r="A3" s="3"/>
      <c r="B3" s="3"/>
      <c r="C3" s="3"/>
      <c r="D3" s="3"/>
      <c r="E3" s="3"/>
    </row>
    <row r="5" customFormat="false" ht="15" hidden="false" customHeight="false" outlineLevel="0" collapsed="false">
      <c r="A5" s="7" t="s">
        <v>15</v>
      </c>
      <c r="B5" s="8" t="n">
        <v>840000000</v>
      </c>
    </row>
    <row r="6" customFormat="false" ht="15" hidden="false" customHeight="false" outlineLevel="0" collapsed="false">
      <c r="A6" s="7" t="s">
        <v>16</v>
      </c>
      <c r="B6" s="9" t="n">
        <v>252</v>
      </c>
    </row>
    <row r="7" customFormat="false" ht="15" hidden="false" customHeight="false" outlineLevel="0" collapsed="false">
      <c r="A7" s="7" t="s">
        <v>17</v>
      </c>
      <c r="B7" s="10" t="n">
        <v>0.99</v>
      </c>
    </row>
    <row r="8" customFormat="false" ht="15" hidden="false" customHeight="false" outlineLevel="0" collapsed="false">
      <c r="A8" s="7" t="s">
        <v>18</v>
      </c>
      <c r="B8" s="10" t="n">
        <v>0.975</v>
      </c>
    </row>
    <row r="9" customFormat="false" ht="15" hidden="false" customHeight="false" outlineLevel="0" collapsed="false">
      <c r="A9" s="7" t="s">
        <v>19</v>
      </c>
      <c r="B9" s="11" t="n">
        <v>500</v>
      </c>
    </row>
    <row r="10" customFormat="false" ht="15" hidden="false" customHeight="false" outlineLevel="0" collapsed="false">
      <c r="A10" s="7" t="s">
        <v>20</v>
      </c>
      <c r="B10" s="9" t="n">
        <v>6</v>
      </c>
    </row>
    <row r="11" customFormat="false" ht="15" hidden="false" customHeight="false" outlineLevel="0" collapsed="false">
      <c r="A11" s="7" t="s">
        <v>21</v>
      </c>
      <c r="B11" s="12" t="n">
        <v>1</v>
      </c>
    </row>
    <row r="12" customFormat="false" ht="15" hidden="false" customHeight="false" outlineLevel="0" collapsed="false">
      <c r="A12" s="4" t="s">
        <v>22</v>
      </c>
      <c r="B12" s="13"/>
      <c r="C12" s="13"/>
      <c r="D12" s="13"/>
      <c r="E12" s="13"/>
    </row>
    <row r="14" customFormat="false" ht="30" hidden="false" customHeight="true" outlineLevel="0" collapsed="false">
      <c r="A14" s="14" t="s">
        <v>23</v>
      </c>
      <c r="B14" s="15" t="s">
        <v>24</v>
      </c>
      <c r="C14" s="15" t="s">
        <v>25</v>
      </c>
      <c r="D14" s="15" t="s">
        <v>26</v>
      </c>
      <c r="E14" s="15"/>
    </row>
    <row r="15" customFormat="false" ht="15" hidden="false" customHeight="false" outlineLevel="0" collapsed="false">
      <c r="A15" s="7" t="s">
        <v>27</v>
      </c>
      <c r="B15" s="8" t="n">
        <v>252000000</v>
      </c>
      <c r="C15" s="16" t="n">
        <f aca="false">B15/NAV</f>
        <v>0.3</v>
      </c>
      <c r="D15" s="10" t="n">
        <v>0.045</v>
      </c>
    </row>
    <row r="16" customFormat="false" ht="15" hidden="false" customHeight="false" outlineLevel="0" collapsed="false">
      <c r="A16" s="17" t="s">
        <v>28</v>
      </c>
      <c r="B16" s="18" t="n">
        <v>294000000</v>
      </c>
      <c r="C16" s="19" t="n">
        <f aca="false">B16/NAV</f>
        <v>0.35</v>
      </c>
      <c r="D16" s="20" t="n">
        <v>0.08</v>
      </c>
    </row>
    <row r="17" customFormat="false" ht="15" hidden="false" customHeight="false" outlineLevel="0" collapsed="false">
      <c r="A17" s="7" t="s">
        <v>29</v>
      </c>
      <c r="B17" s="8" t="n">
        <v>210000000</v>
      </c>
      <c r="C17" s="16" t="n">
        <f aca="false">B17/NAV</f>
        <v>0.25</v>
      </c>
      <c r="D17" s="10" t="n">
        <v>0.06</v>
      </c>
    </row>
    <row r="18" customFormat="false" ht="15" hidden="false" customHeight="false" outlineLevel="0" collapsed="false">
      <c r="A18" s="17" t="s">
        <v>30</v>
      </c>
      <c r="B18" s="18" t="n">
        <v>84000000</v>
      </c>
      <c r="C18" s="19" t="n">
        <f aca="false">B18/NAV</f>
        <v>0.1</v>
      </c>
      <c r="D18" s="20" t="n">
        <v>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4" min="2" style="0" width="16"/>
    <col collapsed="false" customWidth="true" hidden="false" outlineLevel="0" max="5" min="5" style="0" width="4"/>
    <col collapsed="false" customWidth="true" hidden="false" outlineLevel="0" max="6" min="6" style="0" width="3"/>
    <col collapsed="false" customWidth="true" hidden="false" outlineLevel="0" max="7" min="7" style="0" width="26"/>
    <col collapsed="false" customWidth="true" hidden="false" outlineLevel="0" max="8" min="8" style="0" width="14"/>
    <col collapsed="false" customWidth="true" hidden="false" outlineLevel="0" max="11" min="9" style="0" width="12"/>
  </cols>
  <sheetData>
    <row r="1" customFormat="false" ht="24" hidden="false" customHeight="true" outlineLevel="0" collapsed="false">
      <c r="A1" s="1" t="s">
        <v>31</v>
      </c>
    </row>
    <row r="2" customFormat="false" ht="15" hidden="false" customHeight="false" outlineLevel="0" collapsed="false">
      <c r="A2" s="2" t="s">
        <v>32</v>
      </c>
    </row>
    <row r="3" customFormat="false" ht="15" hidden="false" customHeight="false" outlineLevel="0" collapsed="false">
      <c r="A3" s="3"/>
      <c r="B3" s="3"/>
      <c r="C3" s="3"/>
      <c r="D3" s="3"/>
    </row>
    <row r="5" customFormat="false" ht="15" hidden="false" customHeight="false" outlineLevel="0" collapsed="false">
      <c r="A5" s="4" t="s">
        <v>33</v>
      </c>
      <c r="B5" s="13"/>
      <c r="C5" s="13"/>
      <c r="D5" s="13"/>
      <c r="G5" s="6" t="s">
        <v>34</v>
      </c>
    </row>
    <row r="7" customFormat="false" ht="30" hidden="false" customHeight="true" outlineLevel="0" collapsed="false">
      <c r="A7" s="14"/>
      <c r="B7" s="15" t="s">
        <v>35</v>
      </c>
      <c r="C7" s="15" t="s">
        <v>36</v>
      </c>
      <c r="D7" s="15" t="s">
        <v>37</v>
      </c>
      <c r="E7" s="15" t="s">
        <v>38</v>
      </c>
      <c r="G7" s="21"/>
      <c r="H7" s="21" t="s">
        <v>35</v>
      </c>
      <c r="I7" s="21" t="s">
        <v>36</v>
      </c>
      <c r="J7" s="21" t="s">
        <v>37</v>
      </c>
      <c r="K7" s="21" t="s">
        <v>38</v>
      </c>
    </row>
    <row r="8" customFormat="false" ht="15" hidden="false" customHeight="false" outlineLevel="0" collapsed="false">
      <c r="A8" s="7" t="s">
        <v>27</v>
      </c>
      <c r="B8" s="22" t="n">
        <v>1</v>
      </c>
      <c r="C8" s="22" t="n">
        <v>0.75</v>
      </c>
      <c r="D8" s="22" t="n">
        <v>0.55</v>
      </c>
      <c r="E8" s="22" t="n">
        <v>0.45</v>
      </c>
      <c r="G8" s="7" t="s">
        <v>27</v>
      </c>
      <c r="H8" s="23" t="n">
        <v>1</v>
      </c>
      <c r="I8" s="23" t="n">
        <v>0.92</v>
      </c>
      <c r="J8" s="23" t="n">
        <v>0.88</v>
      </c>
      <c r="K8" s="23" t="n">
        <v>0.82</v>
      </c>
    </row>
    <row r="9" customFormat="false" ht="15" hidden="false" customHeight="false" outlineLevel="0" collapsed="false">
      <c r="A9" s="7" t="s">
        <v>28</v>
      </c>
      <c r="B9" s="22" t="n">
        <v>0.75</v>
      </c>
      <c r="C9" s="22" t="n">
        <v>1</v>
      </c>
      <c r="D9" s="22" t="n">
        <v>0.8</v>
      </c>
      <c r="E9" s="22" t="n">
        <v>0.7</v>
      </c>
      <c r="G9" s="7" t="s">
        <v>28</v>
      </c>
      <c r="H9" s="23" t="n">
        <v>0.92</v>
      </c>
      <c r="I9" s="23" t="n">
        <v>1</v>
      </c>
      <c r="J9" s="23" t="n">
        <v>0.95</v>
      </c>
      <c r="K9" s="23" t="n">
        <v>0.9</v>
      </c>
    </row>
    <row r="10" customFormat="false" ht="15" hidden="false" customHeight="false" outlineLevel="0" collapsed="false">
      <c r="A10" s="7" t="s">
        <v>29</v>
      </c>
      <c r="B10" s="22" t="n">
        <v>0.55</v>
      </c>
      <c r="C10" s="22" t="n">
        <v>0.8</v>
      </c>
      <c r="D10" s="22" t="n">
        <v>1</v>
      </c>
      <c r="E10" s="22" t="n">
        <v>0.65</v>
      </c>
      <c r="G10" s="7" t="s">
        <v>29</v>
      </c>
      <c r="H10" s="23" t="n">
        <v>0.88</v>
      </c>
      <c r="I10" s="23" t="n">
        <v>0.95</v>
      </c>
      <c r="J10" s="23" t="n">
        <v>1</v>
      </c>
      <c r="K10" s="23" t="n">
        <v>0.93</v>
      </c>
    </row>
    <row r="11" customFormat="false" ht="15" hidden="false" customHeight="false" outlineLevel="0" collapsed="false">
      <c r="A11" s="7" t="s">
        <v>30</v>
      </c>
      <c r="B11" s="22" t="n">
        <v>0.45</v>
      </c>
      <c r="C11" s="22" t="n">
        <v>0.7</v>
      </c>
      <c r="D11" s="22" t="n">
        <v>0.65</v>
      </c>
      <c r="E11" s="22" t="n">
        <v>1</v>
      </c>
      <c r="G11" s="7" t="s">
        <v>30</v>
      </c>
      <c r="H11" s="23" t="n">
        <v>0.82</v>
      </c>
      <c r="I11" s="23" t="n">
        <v>0.9</v>
      </c>
      <c r="J11" s="23" t="n">
        <v>0.93</v>
      </c>
      <c r="K11" s="23" t="n">
        <v>1</v>
      </c>
    </row>
    <row r="12" customFormat="false" ht="15" hidden="false" customHeight="false" outlineLevel="0" collapsed="false">
      <c r="A12" s="24" t="s">
        <v>39</v>
      </c>
    </row>
    <row r="13" customFormat="false" ht="15" hidden="false" customHeight="false" outlineLevel="0" collapsed="false">
      <c r="A13" s="7" t="s">
        <v>27</v>
      </c>
      <c r="B13" s="25" t="n">
        <f aca="false">INDEX(WT,1)*INDEX(VOL,1)*IF(CORRSW=2,H8,B8)*INDEX(WT,1)*INDEX(VOL,1)</f>
        <v>0.00018225</v>
      </c>
      <c r="C13" s="25" t="n">
        <f aca="false">INDEX(WT,1)*INDEX(VOL,1)*IF(CORRSW=2,I8,C8)*INDEX(WT,2)*INDEX(VOL,2)</f>
        <v>0.0002835</v>
      </c>
      <c r="D13" s="25" t="n">
        <f aca="false">INDEX(WT,1)*INDEX(VOL,1)*IF(CORRSW=2,J8,D8)*INDEX(WT,3)*INDEX(VOL,3)</f>
        <v>0.000111375</v>
      </c>
      <c r="E13" s="25" t="n">
        <f aca="false">INDEX(WT,1)*INDEX(VOL,1)*IF(CORRSW=2,K8,E8)*INDEX(WT,4)*INDEX(VOL,4)</f>
        <v>6.075E-005</v>
      </c>
    </row>
    <row r="14" customFormat="false" ht="15" hidden="false" customHeight="false" outlineLevel="0" collapsed="false">
      <c r="A14" s="7" t="s">
        <v>28</v>
      </c>
      <c r="B14" s="25" t="n">
        <f aca="false">INDEX(WT,2)*INDEX(VOL,2)*IF(CORRSW=2,H9,B9)*INDEX(WT,1)*INDEX(VOL,1)</f>
        <v>0.0002835</v>
      </c>
      <c r="C14" s="25" t="n">
        <f aca="false">INDEX(WT,2)*INDEX(VOL,2)*IF(CORRSW=2,I9,C9)*INDEX(WT,2)*INDEX(VOL,2)</f>
        <v>0.000784</v>
      </c>
      <c r="D14" s="25" t="n">
        <f aca="false">INDEX(WT,2)*INDEX(VOL,2)*IF(CORRSW=2,J9,D9)*INDEX(WT,3)*INDEX(VOL,3)</f>
        <v>0.000336</v>
      </c>
      <c r="E14" s="25" t="n">
        <f aca="false">INDEX(WT,2)*INDEX(VOL,2)*IF(CORRSW=2,K9,E9)*INDEX(WT,4)*INDEX(VOL,4)</f>
        <v>0.000196</v>
      </c>
    </row>
    <row r="15" customFormat="false" ht="15" hidden="false" customHeight="false" outlineLevel="0" collapsed="false">
      <c r="A15" s="7" t="s">
        <v>29</v>
      </c>
      <c r="B15" s="25" t="n">
        <f aca="false">INDEX(WT,3)*INDEX(VOL,3)*IF(CORRSW=2,H10,B10)*INDEX(WT,1)*INDEX(VOL,1)</f>
        <v>0.000111375</v>
      </c>
      <c r="C15" s="25" t="n">
        <f aca="false">INDEX(WT,3)*INDEX(VOL,3)*IF(CORRSW=2,I10,C10)*INDEX(WT,2)*INDEX(VOL,2)</f>
        <v>0.000336</v>
      </c>
      <c r="D15" s="25" t="n">
        <f aca="false">INDEX(WT,3)*INDEX(VOL,3)*IF(CORRSW=2,J10,D10)*INDEX(WT,3)*INDEX(VOL,3)</f>
        <v>0.000225</v>
      </c>
      <c r="E15" s="25" t="n">
        <f aca="false">INDEX(WT,3)*INDEX(VOL,3)*IF(CORRSW=2,K10,E10)*INDEX(WT,4)*INDEX(VOL,4)</f>
        <v>9.75E-005</v>
      </c>
    </row>
    <row r="16" customFormat="false" ht="15" hidden="false" customHeight="false" outlineLevel="0" collapsed="false">
      <c r="A16" s="7" t="s">
        <v>30</v>
      </c>
      <c r="B16" s="25" t="n">
        <f aca="false">INDEX(WT,4)*INDEX(VOL,4)*IF(CORRSW=2,H11,B11)*INDEX(WT,1)*INDEX(VOL,1)</f>
        <v>6.075E-005</v>
      </c>
      <c r="C16" s="25" t="n">
        <f aca="false">INDEX(WT,4)*INDEX(VOL,4)*IF(CORRSW=2,I11,C11)*INDEX(WT,2)*INDEX(VOL,2)</f>
        <v>0.000196</v>
      </c>
      <c r="D16" s="25" t="n">
        <f aca="false">INDEX(WT,4)*INDEX(VOL,4)*IF(CORRSW=2,J11,D11)*INDEX(WT,3)*INDEX(VOL,3)</f>
        <v>9.75E-005</v>
      </c>
      <c r="E16" s="25" t="n">
        <f aca="false">INDEX(WT,4)*INDEX(VOL,4)*IF(CORRSW=2,K11,E11)*INDEX(WT,4)*INDEX(VOL,4)</f>
        <v>0.0001</v>
      </c>
    </row>
    <row r="18" customFormat="false" ht="15" hidden="false" customHeight="false" outlineLevel="0" collapsed="false">
      <c r="A18" s="26" t="s">
        <v>40</v>
      </c>
      <c r="B18" s="27" t="n">
        <f aca="false">SQRT(SUM(B13:E16))</f>
        <v>0.058834513680322</v>
      </c>
    </row>
    <row r="19" customFormat="false" ht="15" hidden="false" customHeight="false" outlineLevel="0" collapsed="false">
      <c r="A19" s="7" t="s">
        <v>41</v>
      </c>
      <c r="B19" s="28" t="n">
        <f aca="false">B18/SQRT(TDAYS)</f>
        <v>0.00370622599298951</v>
      </c>
    </row>
    <row r="20" customFormat="false" ht="15" hidden="false" customHeight="false" outlineLevel="0" collapsed="false">
      <c r="A20" s="7" t="s">
        <v>42</v>
      </c>
      <c r="B20" s="29" t="n">
        <f aca="false">NORMSINV(CONF)</f>
        <v>2.32634787404084</v>
      </c>
    </row>
    <row r="21" customFormat="false" ht="15" hidden="false" customHeight="false" outlineLevel="0" collapsed="false">
      <c r="A21" s="26" t="s">
        <v>43</v>
      </c>
      <c r="B21" s="30" t="n">
        <f aca="false">B20*B19*NAV</f>
        <v>7242455.60598509</v>
      </c>
    </row>
    <row r="22" customFormat="false" ht="15" hidden="false" customHeight="false" outlineLevel="0" collapsed="false">
      <c r="A22" s="7" t="s">
        <v>44</v>
      </c>
      <c r="B22" s="28" t="n">
        <f aca="false">B21/NAV</f>
        <v>0.00862197095950606</v>
      </c>
    </row>
    <row r="23" customFormat="false" ht="15" hidden="false" customHeight="false" outlineLevel="0" collapsed="false">
      <c r="A23" s="7" t="s">
        <v>45</v>
      </c>
      <c r="B23" s="31" t="n">
        <f aca="false">B21*SQRT(20)</f>
        <v>32389246.1180142</v>
      </c>
    </row>
    <row r="25" customFormat="false" ht="15" hidden="false" customHeight="false" outlineLevel="0" collapsed="false">
      <c r="A25" s="4" t="s">
        <v>46</v>
      </c>
      <c r="B25" s="13"/>
      <c r="C25" s="13"/>
      <c r="D25" s="13"/>
    </row>
    <row r="27" customFormat="false" ht="15" hidden="false" customHeight="false" outlineLevel="0" collapsed="false">
      <c r="A27" s="7" t="s">
        <v>47</v>
      </c>
      <c r="B27" s="29" t="n">
        <f aca="false">NORMSINV(CONFES)</f>
        <v>1.95996398454005</v>
      </c>
    </row>
    <row r="28" customFormat="false" ht="15" hidden="false" customHeight="false" outlineLevel="0" collapsed="false">
      <c r="A28" s="7" t="s">
        <v>48</v>
      </c>
      <c r="B28" s="29" t="n">
        <f aca="false">EXP(-(B27^2)/2)/SQRT(2*PI())/(1-CONFES)</f>
        <v>2.33780279220142</v>
      </c>
    </row>
    <row r="29" customFormat="false" ht="15" hidden="false" customHeight="false" outlineLevel="0" collapsed="false">
      <c r="A29" s="26" t="s">
        <v>49</v>
      </c>
      <c r="B29" s="30" t="n">
        <f aca="false">B28*B19*NAV</f>
        <v>7278117.39894989</v>
      </c>
    </row>
    <row r="30" customFormat="false" ht="15" hidden="false" customHeight="false" outlineLevel="0" collapsed="false">
      <c r="A30" s="26" t="s">
        <v>50</v>
      </c>
      <c r="B30" s="32" t="n">
        <f aca="false">B28/NORMSINV(CONF)</f>
        <v>1.00492399193104</v>
      </c>
    </row>
    <row r="31" customFormat="false" ht="15" hidden="false" customHeight="false" outlineLevel="0" collapsed="false">
      <c r="A31" s="24" t="s">
        <v>51</v>
      </c>
    </row>
    <row r="33" customFormat="false" ht="15" hidden="false" customHeight="false" outlineLevel="0" collapsed="false">
      <c r="A33" s="4" t="s">
        <v>52</v>
      </c>
      <c r="B33" s="13"/>
      <c r="C33" s="13"/>
      <c r="D33" s="13"/>
    </row>
    <row r="35" customFormat="false" ht="30" hidden="false" customHeight="true" outlineLevel="0" collapsed="false">
      <c r="A35" s="14" t="s">
        <v>53</v>
      </c>
      <c r="B35" s="15" t="s">
        <v>54</v>
      </c>
      <c r="C35" s="15" t="s">
        <v>55</v>
      </c>
      <c r="D35" s="15"/>
    </row>
    <row r="36" customFormat="false" ht="15" hidden="false" customHeight="false" outlineLevel="0" collapsed="false">
      <c r="A36" s="9" t="n">
        <v>1</v>
      </c>
      <c r="B36" s="31" t="n">
        <f aca="false">B$21*SQRT(A36)</f>
        <v>7242455.60598509</v>
      </c>
      <c r="C36" s="28" t="n">
        <f aca="false">B36/NAV</f>
        <v>0.00862197095950606</v>
      </c>
    </row>
    <row r="37" customFormat="false" ht="15" hidden="false" customHeight="false" outlineLevel="0" collapsed="false">
      <c r="A37" s="9" t="n">
        <v>5</v>
      </c>
      <c r="B37" s="31" t="n">
        <f aca="false">B$21*SQRT(A37)</f>
        <v>16194623.0590071</v>
      </c>
      <c r="C37" s="28" t="n">
        <f aca="false">B37/NAV</f>
        <v>0.0192793131654846</v>
      </c>
    </row>
    <row r="38" customFormat="false" ht="15" hidden="false" customHeight="false" outlineLevel="0" collapsed="false">
      <c r="A38" s="9" t="n">
        <v>10</v>
      </c>
      <c r="B38" s="31" t="n">
        <f aca="false">B$21*SQRT(A38)</f>
        <v>22902655.5675679</v>
      </c>
      <c r="C38" s="28" t="n">
        <f aca="false">B38/NAV</f>
        <v>0.0272650661518665</v>
      </c>
    </row>
    <row r="39" customFormat="false" ht="15" hidden="false" customHeight="false" outlineLevel="0" collapsed="false">
      <c r="A39" s="9" t="n">
        <v>20</v>
      </c>
      <c r="B39" s="31" t="n">
        <f aca="false">B$21*SQRT(A39)</f>
        <v>32389246.1180142</v>
      </c>
      <c r="C39" s="28" t="n">
        <f aca="false">B39/NAV</f>
        <v>0.0385586263309693</v>
      </c>
    </row>
    <row r="40" customFormat="false" ht="15" hidden="false" customHeight="false" outlineLevel="0" collapsed="false">
      <c r="A40" s="9" t="n">
        <v>60</v>
      </c>
      <c r="B40" s="31" t="n">
        <f aca="false">B$21*SQRT(A40)</f>
        <v>56099819.8952536</v>
      </c>
      <c r="C40" s="28" t="n">
        <f aca="false">B40/NAV</f>
        <v>0.0667854998753019</v>
      </c>
    </row>
    <row r="42" customFormat="false" ht="15" hidden="false" customHeight="false" outlineLevel="0" collapsed="false">
      <c r="A42" s="24" t="s">
        <v>56</v>
      </c>
    </row>
    <row r="44" customFormat="false" ht="15" hidden="false" customHeight="false" outlineLevel="0" collapsed="false">
      <c r="A44" s="6" t="s">
        <v>57</v>
      </c>
    </row>
    <row r="45" customFormat="false" ht="15" hidden="false" customHeight="false" outlineLevel="0" collapsed="false">
      <c r="A45" s="24" t="s">
        <v>58</v>
      </c>
    </row>
    <row r="47" customFormat="false" ht="35.05" hidden="false" customHeight="false" outlineLevel="0" collapsed="false">
      <c r="A47" s="33" t="s">
        <v>59</v>
      </c>
      <c r="B47" s="21" t="s">
        <v>35</v>
      </c>
      <c r="C47" s="21" t="s">
        <v>36</v>
      </c>
      <c r="D47" s="21" t="s">
        <v>37</v>
      </c>
      <c r="E47" s="21" t="s">
        <v>38</v>
      </c>
      <c r="G47" s="21" t="s">
        <v>60</v>
      </c>
      <c r="H47" s="21" t="s">
        <v>35</v>
      </c>
      <c r="I47" s="21" t="s">
        <v>36</v>
      </c>
      <c r="J47" s="21" t="s">
        <v>37</v>
      </c>
      <c r="K47" s="21" t="s">
        <v>38</v>
      </c>
    </row>
    <row r="48" customFormat="false" ht="15" hidden="false" customHeight="false" outlineLevel="0" collapsed="false">
      <c r="A48" s="7" t="s">
        <v>27</v>
      </c>
      <c r="B48" s="29" t="n">
        <f aca="false">INDEX(WT,1)*INDEX(VOL,1)*B8*INDEX(WT,1)*INDEX(VOL,1)</f>
        <v>0.00018225</v>
      </c>
      <c r="C48" s="29" t="n">
        <f aca="false">INDEX(WT,1)*INDEX(VOL,1)*C8*INDEX(WT,2)*INDEX(VOL,2)</f>
        <v>0.0002835</v>
      </c>
      <c r="D48" s="29" t="n">
        <f aca="false">INDEX(WT,1)*INDEX(VOL,1)*D8*INDEX(WT,3)*INDEX(VOL,3)</f>
        <v>0.000111375</v>
      </c>
      <c r="E48" s="29" t="n">
        <f aca="false">INDEX(WT,1)*INDEX(VOL,1)*E8*INDEX(WT,4)*INDEX(VOL,4)</f>
        <v>6.075E-005</v>
      </c>
      <c r="G48" s="7" t="s">
        <v>27</v>
      </c>
      <c r="H48" s="29" t="n">
        <f aca="false">INDEX(WT,1)*INDEX(VOL,1)*H8*INDEX(WT,1)*INDEX(VOL,1)</f>
        <v>0.00018225</v>
      </c>
      <c r="I48" s="29" t="n">
        <f aca="false">INDEX(WT,1)*INDEX(VOL,1)*I8*INDEX(WT,2)*INDEX(VOL,2)</f>
        <v>0.00034776</v>
      </c>
      <c r="J48" s="29" t="n">
        <f aca="false">INDEX(WT,1)*INDEX(VOL,1)*J8*INDEX(WT,3)*INDEX(VOL,3)</f>
        <v>0.0001782</v>
      </c>
      <c r="K48" s="29" t="n">
        <f aca="false">INDEX(WT,1)*INDEX(VOL,1)*K8*INDEX(WT,4)*INDEX(VOL,4)</f>
        <v>0.0001107</v>
      </c>
    </row>
    <row r="49" customFormat="false" ht="15" hidden="false" customHeight="false" outlineLevel="0" collapsed="false">
      <c r="A49" s="7" t="s">
        <v>28</v>
      </c>
      <c r="B49" s="29" t="n">
        <f aca="false">INDEX(WT,2)*INDEX(VOL,2)*B9*INDEX(WT,1)*INDEX(VOL,1)</f>
        <v>0.0002835</v>
      </c>
      <c r="C49" s="29" t="n">
        <f aca="false">INDEX(WT,2)*INDEX(VOL,2)*C9*INDEX(WT,2)*INDEX(VOL,2)</f>
        <v>0.000784</v>
      </c>
      <c r="D49" s="29" t="n">
        <f aca="false">INDEX(WT,2)*INDEX(VOL,2)*D9*INDEX(WT,3)*INDEX(VOL,3)</f>
        <v>0.000336</v>
      </c>
      <c r="E49" s="29" t="n">
        <f aca="false">INDEX(WT,2)*INDEX(VOL,2)*E9*INDEX(WT,4)*INDEX(VOL,4)</f>
        <v>0.000196</v>
      </c>
      <c r="G49" s="7" t="s">
        <v>28</v>
      </c>
      <c r="H49" s="29" t="n">
        <f aca="false">INDEX(WT,2)*INDEX(VOL,2)*H9*INDEX(WT,1)*INDEX(VOL,1)</f>
        <v>0.00034776</v>
      </c>
      <c r="I49" s="29" t="n">
        <f aca="false">INDEX(WT,2)*INDEX(VOL,2)*I9*INDEX(WT,2)*INDEX(VOL,2)</f>
        <v>0.000784</v>
      </c>
      <c r="J49" s="29" t="n">
        <f aca="false">INDEX(WT,2)*INDEX(VOL,2)*J9*INDEX(WT,3)*INDEX(VOL,3)</f>
        <v>0.000399</v>
      </c>
      <c r="K49" s="29" t="n">
        <f aca="false">INDEX(WT,2)*INDEX(VOL,2)*K9*INDEX(WT,4)*INDEX(VOL,4)</f>
        <v>0.000252</v>
      </c>
    </row>
    <row r="50" customFormat="false" ht="15" hidden="false" customHeight="false" outlineLevel="0" collapsed="false">
      <c r="A50" s="7" t="s">
        <v>29</v>
      </c>
      <c r="B50" s="29" t="n">
        <f aca="false">INDEX(WT,3)*INDEX(VOL,3)*B10*INDEX(WT,1)*INDEX(VOL,1)</f>
        <v>0.000111375</v>
      </c>
      <c r="C50" s="29" t="n">
        <f aca="false">INDEX(WT,3)*INDEX(VOL,3)*C10*INDEX(WT,2)*INDEX(VOL,2)</f>
        <v>0.000336</v>
      </c>
      <c r="D50" s="29" t="n">
        <f aca="false">INDEX(WT,3)*INDEX(VOL,3)*D10*INDEX(WT,3)*INDEX(VOL,3)</f>
        <v>0.000225</v>
      </c>
      <c r="E50" s="29" t="n">
        <f aca="false">INDEX(WT,3)*INDEX(VOL,3)*E10*INDEX(WT,4)*INDEX(VOL,4)</f>
        <v>9.75E-005</v>
      </c>
      <c r="G50" s="7" t="s">
        <v>29</v>
      </c>
      <c r="H50" s="29" t="n">
        <f aca="false">INDEX(WT,3)*INDEX(VOL,3)*H10*INDEX(WT,1)*INDEX(VOL,1)</f>
        <v>0.0001782</v>
      </c>
      <c r="I50" s="29" t="n">
        <f aca="false">INDEX(WT,3)*INDEX(VOL,3)*I10*INDEX(WT,2)*INDEX(VOL,2)</f>
        <v>0.000399</v>
      </c>
      <c r="J50" s="29" t="n">
        <f aca="false">INDEX(WT,3)*INDEX(VOL,3)*J10*INDEX(WT,3)*INDEX(VOL,3)</f>
        <v>0.000225</v>
      </c>
      <c r="K50" s="29" t="n">
        <f aca="false">INDEX(WT,3)*INDEX(VOL,3)*K10*INDEX(WT,4)*INDEX(VOL,4)</f>
        <v>0.0001395</v>
      </c>
    </row>
    <row r="51" customFormat="false" ht="15" hidden="false" customHeight="false" outlineLevel="0" collapsed="false">
      <c r="A51" s="7" t="s">
        <v>30</v>
      </c>
      <c r="B51" s="29" t="n">
        <f aca="false">INDEX(WT,4)*INDEX(VOL,4)*B11*INDEX(WT,1)*INDEX(VOL,1)</f>
        <v>6.075E-005</v>
      </c>
      <c r="C51" s="29" t="n">
        <f aca="false">INDEX(WT,4)*INDEX(VOL,4)*C11*INDEX(WT,2)*INDEX(VOL,2)</f>
        <v>0.000196</v>
      </c>
      <c r="D51" s="29" t="n">
        <f aca="false">INDEX(WT,4)*INDEX(VOL,4)*D11*INDEX(WT,3)*INDEX(VOL,3)</f>
        <v>9.75E-005</v>
      </c>
      <c r="E51" s="29" t="n">
        <f aca="false">INDEX(WT,4)*INDEX(VOL,4)*E11*INDEX(WT,4)*INDEX(VOL,4)</f>
        <v>0.0001</v>
      </c>
      <c r="G51" s="7" t="s">
        <v>30</v>
      </c>
      <c r="H51" s="29" t="n">
        <f aca="false">INDEX(WT,4)*INDEX(VOL,4)*H11*INDEX(WT,1)*INDEX(VOL,1)</f>
        <v>0.0001107</v>
      </c>
      <c r="I51" s="29" t="n">
        <f aca="false">INDEX(WT,4)*INDEX(VOL,4)*I11*INDEX(WT,2)*INDEX(VOL,2)</f>
        <v>0.000252</v>
      </c>
      <c r="J51" s="29" t="n">
        <f aca="false">INDEX(WT,4)*INDEX(VOL,4)*J11*INDEX(WT,3)*INDEX(VOL,3)</f>
        <v>0.0001395</v>
      </c>
      <c r="K51" s="29" t="n">
        <f aca="false">INDEX(WT,4)*INDEX(VOL,4)*K11*INDEX(WT,4)*INDEX(VOL,4)</f>
        <v>0.0001</v>
      </c>
    </row>
    <row r="53" customFormat="false" ht="15" hidden="false" customHeight="false" outlineLevel="0" collapsed="false">
      <c r="A53" s="7" t="s">
        <v>61</v>
      </c>
      <c r="B53" s="34" t="n">
        <f aca="false">SUMPRODUCT(WT,VOL)</f>
        <v>0.0665</v>
      </c>
    </row>
    <row r="55" customFormat="false" ht="15" hidden="false" customHeight="false" outlineLevel="0" collapsed="false">
      <c r="A55" s="33" t="s">
        <v>62</v>
      </c>
      <c r="B55" s="21" t="s">
        <v>59</v>
      </c>
      <c r="C55" s="21" t="s">
        <v>60</v>
      </c>
    </row>
    <row r="56" customFormat="false" ht="15" hidden="false" customHeight="false" outlineLevel="0" collapsed="false">
      <c r="A56" s="7" t="s">
        <v>40</v>
      </c>
      <c r="B56" s="34" t="n">
        <f aca="false">SQRT(SUM(B48:E51))</f>
        <v>0.058834513680322</v>
      </c>
      <c r="C56" s="34" t="n">
        <f aca="false">SQRT(SUM(H48:K51))</f>
        <v>0.0643861009846069</v>
      </c>
    </row>
    <row r="57" customFormat="false" ht="15" hidden="false" customHeight="false" outlineLevel="0" collapsed="false">
      <c r="A57" s="7" t="s">
        <v>63</v>
      </c>
      <c r="B57" s="34" t="n">
        <f aca="false">$B$53-B56</f>
        <v>0.00766548631967798</v>
      </c>
      <c r="C57" s="34" t="n">
        <f aca="false">$B$53-C56</f>
        <v>0.00211389901539308</v>
      </c>
    </row>
    <row r="58" customFormat="false" ht="15" hidden="false" customHeight="false" outlineLevel="0" collapsed="false">
      <c r="A58" s="7" t="s">
        <v>64</v>
      </c>
      <c r="B58" s="16" t="n">
        <f aca="false">B57/$B$53</f>
        <v>0.115270470972601</v>
      </c>
      <c r="C58" s="16" t="n">
        <f aca="false">C57/$B$53</f>
        <v>0.0317879551186929</v>
      </c>
    </row>
    <row r="59" customFormat="false" ht="15" hidden="false" customHeight="false" outlineLevel="0" collapsed="false">
      <c r="A59" s="7" t="s">
        <v>43</v>
      </c>
      <c r="B59" s="31" t="n">
        <f aca="false">NORMSINV(CONF)*B56/SQRT(TDAYS)*NAV</f>
        <v>7242455.60598509</v>
      </c>
      <c r="C59" s="31" t="n">
        <f aca="false">NORMSINV(CONF)*C56/SQRT(TDAYS)*NAV</f>
        <v>7925849.11226101</v>
      </c>
    </row>
    <row r="60" customFormat="false" ht="15" hidden="false" customHeight="false" outlineLevel="0" collapsed="false">
      <c r="A60" s="26" t="s">
        <v>65</v>
      </c>
      <c r="B60" s="35" t="n">
        <f aca="false">C57/B57</f>
        <v>0.275768415366748</v>
      </c>
    </row>
    <row r="61" customFormat="false" ht="15" hidden="false" customHeight="false" outlineLevel="0" collapsed="false">
      <c r="A61" s="24" t="s">
        <v>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4" min="2" style="0" width="16"/>
    <col collapsed="false" customWidth="true" hidden="false" outlineLevel="0" max="5" min="5" style="0" width="4"/>
    <col collapsed="false" customWidth="true" hidden="false" outlineLevel="0" max="6" min="6" style="0" width="50"/>
  </cols>
  <sheetData>
    <row r="1" customFormat="false" ht="24" hidden="false" customHeight="true" outlineLevel="0" collapsed="false">
      <c r="A1" s="1" t="s">
        <v>67</v>
      </c>
    </row>
    <row r="2" customFormat="false" ht="15" hidden="false" customHeight="false" outlineLevel="0" collapsed="false">
      <c r="A2" s="2" t="s">
        <v>68</v>
      </c>
    </row>
    <row r="3" customFormat="false" ht="15" hidden="false" customHeight="false" outlineLevel="0" collapsed="false">
      <c r="A3" s="3"/>
      <c r="B3" s="3"/>
      <c r="C3" s="3"/>
      <c r="D3" s="3"/>
    </row>
    <row r="5" customFormat="false" ht="15" hidden="false" customHeight="false" outlineLevel="0" collapsed="false">
      <c r="A5" s="7" t="s">
        <v>69</v>
      </c>
      <c r="B5" s="36" t="n">
        <f aca="false">OBS</f>
        <v>500</v>
      </c>
    </row>
    <row r="6" customFormat="false" ht="15" hidden="false" customHeight="false" outlineLevel="0" collapsed="false">
      <c r="A6" s="26" t="s">
        <v>70</v>
      </c>
      <c r="B6" s="37" t="n">
        <f aca="false">OBS*(1-CONF)</f>
        <v>5</v>
      </c>
    </row>
    <row r="7" customFormat="false" ht="15" hidden="false" customHeight="false" outlineLevel="0" collapsed="false">
      <c r="A7" s="7" t="s">
        <v>20</v>
      </c>
      <c r="B7" s="38" t="n">
        <f aca="false">EXC</f>
        <v>6</v>
      </c>
    </row>
    <row r="8" customFormat="false" ht="15" hidden="false" customHeight="false" outlineLevel="0" collapsed="false">
      <c r="A8" s="26" t="s">
        <v>71</v>
      </c>
      <c r="B8" s="39" t="str">
        <f aca="false">IF(EXC&lt;=$B$24,"green",IF(EXC&lt;=$C$24,"amber","red"))</f>
        <v>green</v>
      </c>
    </row>
    <row r="9" customFormat="false" ht="15" hidden="false" customHeight="false" outlineLevel="0" collapsed="false">
      <c r="A9" s="7" t="s">
        <v>72</v>
      </c>
      <c r="B9" s="40" t="str">
        <f aca="false">IF(EXC&lt;=$B$24,"consistent with the model; keep watching the clustering",IF(EXC&lt;=$C$24,"cannot distinguish a bad model from bad luck; investigate","the model is rejected"))</f>
        <v>consistent with the model; keep watching the clustering</v>
      </c>
    </row>
    <row r="10" customFormat="false" ht="15" hidden="false" customHeight="false" outlineLevel="0" collapsed="false">
      <c r="A10" s="7" t="s">
        <v>73</v>
      </c>
      <c r="B10" s="16" t="n">
        <f aca="false">IF(EXC=0,1,1-BINOMDIST(EXC-1,OBS,1-CONF,TRUE()))</f>
        <v>0.384037868178548</v>
      </c>
    </row>
    <row r="11" customFormat="false" ht="15" hidden="false" customHeight="false" outlineLevel="0" collapsed="false">
      <c r="A11" s="4" t="s">
        <v>74</v>
      </c>
      <c r="B11" s="13"/>
      <c r="C11" s="13"/>
      <c r="D11" s="13"/>
    </row>
    <row r="13" customFormat="false" ht="30" hidden="false" customHeight="true" outlineLevel="0" collapsed="false">
      <c r="A13" s="14" t="s">
        <v>71</v>
      </c>
      <c r="B13" s="15" t="s">
        <v>75</v>
      </c>
      <c r="C13" s="15" t="s">
        <v>76</v>
      </c>
      <c r="D13" s="15"/>
    </row>
    <row r="14" customFormat="false" ht="15" hidden="false" customHeight="false" outlineLevel="0" collapsed="false">
      <c r="A14" s="7" t="s">
        <v>77</v>
      </c>
      <c r="B14" s="7" t="str">
        <f aca="false">"0 to "&amp;B24</f>
        <v>0 to 8</v>
      </c>
      <c r="C14" s="7" t="s">
        <v>78</v>
      </c>
    </row>
    <row r="15" customFormat="false" ht="15" hidden="false" customHeight="false" outlineLevel="0" collapsed="false">
      <c r="A15" s="7" t="s">
        <v>79</v>
      </c>
      <c r="B15" s="7" t="str">
        <f aca="false">(B24+1)&amp;" to "&amp;C24</f>
        <v>9 to 14</v>
      </c>
      <c r="C15" s="7" t="s">
        <v>80</v>
      </c>
    </row>
    <row r="16" customFormat="false" ht="15" hidden="false" customHeight="false" outlineLevel="0" collapsed="false">
      <c r="A16" s="7" t="s">
        <v>81</v>
      </c>
      <c r="B16" s="7" t="str">
        <f aca="false">D24&amp;" and above"</f>
        <v>15 and above</v>
      </c>
      <c r="C16" s="7" t="s">
        <v>82</v>
      </c>
    </row>
    <row r="18" customFormat="false" ht="15" hidden="false" customHeight="false" outlineLevel="0" collapsed="false">
      <c r="A18" s="24" t="s">
        <v>83</v>
      </c>
    </row>
    <row r="20" customFormat="false" ht="15" hidden="false" customHeight="false" outlineLevel="0" collapsed="false">
      <c r="A20" s="6" t="s">
        <v>84</v>
      </c>
    </row>
    <row r="21" customFormat="false" ht="15" hidden="false" customHeight="false" outlineLevel="0" collapsed="false">
      <c r="A21" s="24" t="s">
        <v>85</v>
      </c>
    </row>
    <row r="23" customFormat="false" ht="15" hidden="false" customHeight="false" outlineLevel="0" collapsed="false">
      <c r="A23" s="33" t="s">
        <v>69</v>
      </c>
      <c r="B23" s="21" t="s">
        <v>86</v>
      </c>
      <c r="C23" s="21" t="s">
        <v>87</v>
      </c>
      <c r="D23" s="21" t="s">
        <v>88</v>
      </c>
    </row>
    <row r="24" customFormat="false" ht="15" hidden="false" customHeight="false" outlineLevel="0" collapsed="false">
      <c r="A24" s="38" t="n">
        <f aca="false">OBS</f>
        <v>500</v>
      </c>
      <c r="B24" s="38" t="n">
        <f aca="false">CRITBINOM(A24,1-CONF,0.95)-1</f>
        <v>8</v>
      </c>
      <c r="C24" s="38" t="n">
        <f aca="false">CRITBINOM(A24,1-CONF,0.9999)-1</f>
        <v>14</v>
      </c>
      <c r="D24" s="38" t="n">
        <f aca="false">C24+1</f>
        <v>15</v>
      </c>
    </row>
    <row r="25" customFormat="false" ht="15" hidden="false" customHeight="false" outlineLevel="0" collapsed="false">
      <c r="A25" s="41" t="n">
        <v>250</v>
      </c>
      <c r="B25" s="38" t="n">
        <f aca="false">CRITBINOM(A25,1-CONF,0.95)-1</f>
        <v>4</v>
      </c>
      <c r="C25" s="38" t="n">
        <f aca="false">CRITBINOM(A25,1-CONF,0.9999)-1</f>
        <v>9</v>
      </c>
      <c r="D25" s="38" t="n">
        <f aca="false">C25+1</f>
        <v>10</v>
      </c>
    </row>
    <row r="26" customFormat="false" ht="15" hidden="false" customHeight="false" outlineLevel="0" collapsed="false">
      <c r="A26" s="24" t="s">
        <v>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60"/>
    <col collapsed="false" customWidth="true" hidden="false" outlineLevel="0" max="4" min="3" style="0" width="18"/>
    <col collapsed="false" customWidth="true" hidden="false" outlineLevel="0" max="5" min="5" style="0" width="14"/>
    <col collapsed="false" customWidth="true" hidden="false" outlineLevel="0" max="6" min="6" style="0" width="11"/>
  </cols>
  <sheetData>
    <row r="1" customFormat="false" ht="24" hidden="false" customHeight="true" outlineLevel="0" collapsed="false">
      <c r="A1" s="1" t="s">
        <v>90</v>
      </c>
    </row>
    <row r="2" customFormat="false" ht="15" hidden="false" customHeight="false" outlineLevel="0" collapsed="false">
      <c r="A2" s="2" t="s">
        <v>91</v>
      </c>
    </row>
    <row r="3" customFormat="false" ht="15" hidden="false" customHeight="false" outlineLevel="0" collapsed="false">
      <c r="A3" s="3"/>
      <c r="B3" s="3"/>
      <c r="C3" s="3"/>
      <c r="D3" s="3"/>
      <c r="E3" s="3"/>
      <c r="F3" s="3"/>
    </row>
    <row r="5" customFormat="false" ht="30" hidden="false" customHeight="true" outlineLevel="0" collapsed="false">
      <c r="A5" s="14" t="s">
        <v>92</v>
      </c>
      <c r="B5" s="15" t="s">
        <v>93</v>
      </c>
      <c r="C5" s="15" t="s">
        <v>94</v>
      </c>
      <c r="D5" s="15" t="s">
        <v>95</v>
      </c>
      <c r="E5" s="15" t="s">
        <v>96</v>
      </c>
      <c r="F5" s="15" t="s">
        <v>97</v>
      </c>
    </row>
    <row r="6" customFormat="false" ht="15" hidden="false" customHeight="false" outlineLevel="0" collapsed="false">
      <c r="A6" s="7" t="s">
        <v>98</v>
      </c>
      <c r="B6" s="7" t="s">
        <v>99</v>
      </c>
      <c r="C6" s="42" t="n">
        <v>7242456</v>
      </c>
      <c r="D6" s="31" t="n">
        <f aca="false">ROUND('VaR Three Ways'!B21,0)</f>
        <v>7242456</v>
      </c>
      <c r="E6" s="31" t="n">
        <f aca="false">D6-C6</f>
        <v>0</v>
      </c>
      <c r="F6" s="43" t="str">
        <f aca="false">IF(ABS(D6-C6)&lt;=1,"PASS","FAIL")</f>
        <v>PASS</v>
      </c>
    </row>
    <row r="7" customFormat="false" ht="15" hidden="false" customHeight="false" outlineLevel="0" collapsed="false">
      <c r="A7" s="7" t="s">
        <v>98</v>
      </c>
      <c r="B7" s="7" t="s">
        <v>44</v>
      </c>
      <c r="C7" s="44" t="n">
        <v>0.00862</v>
      </c>
      <c r="D7" s="28" t="n">
        <f aca="false">ROUND('VaR Three Ways'!B21/NAV,5)</f>
        <v>0.00862</v>
      </c>
      <c r="E7" s="28" t="n">
        <f aca="false">D7-C7</f>
        <v>0</v>
      </c>
      <c r="F7" s="43" t="str">
        <f aca="false">IF(ABS(D7-C7)&lt;=0.000005,"PASS","FAIL")</f>
        <v>PASS</v>
      </c>
    </row>
    <row r="8" customFormat="false" ht="15" hidden="false" customHeight="false" outlineLevel="0" collapsed="false">
      <c r="A8" s="7" t="s">
        <v>98</v>
      </c>
      <c r="B8" s="7" t="s">
        <v>100</v>
      </c>
      <c r="C8" s="44" t="n">
        <v>0.05883</v>
      </c>
      <c r="D8" s="28" t="n">
        <f aca="false">ROUND('VaR Three Ways'!B18,5)</f>
        <v>0.05883</v>
      </c>
      <c r="E8" s="28" t="n">
        <f aca="false">D8-C8</f>
        <v>0</v>
      </c>
      <c r="F8" s="43" t="str">
        <f aca="false">IF(ABS(D8-C8)&lt;=0.000005,"PASS","FAIL")</f>
        <v>PASS</v>
      </c>
    </row>
    <row r="9" customFormat="false" ht="15" hidden="false" customHeight="false" outlineLevel="0" collapsed="false">
      <c r="A9" s="7" t="s">
        <v>98</v>
      </c>
      <c r="B9" s="7" t="s">
        <v>101</v>
      </c>
      <c r="C9" s="45" t="n">
        <v>2.326</v>
      </c>
      <c r="D9" s="46" t="n">
        <f aca="false">ROUND('VaR Three Ways'!B20,3)</f>
        <v>2.326</v>
      </c>
      <c r="E9" s="46" t="n">
        <f aca="false">D9-C9</f>
        <v>0</v>
      </c>
      <c r="F9" s="43" t="str">
        <f aca="false">IF(ABS(D9-C9)&lt;=0.0005,"PASS","FAIL")</f>
        <v>PASS</v>
      </c>
    </row>
    <row r="10" customFormat="false" ht="15" hidden="false" customHeight="false" outlineLevel="0" collapsed="false">
      <c r="A10" s="7" t="s">
        <v>102</v>
      </c>
      <c r="B10" s="7" t="s">
        <v>45</v>
      </c>
      <c r="C10" s="42" t="n">
        <v>32389246</v>
      </c>
      <c r="D10" s="31" t="n">
        <f aca="false">ROUND('VaR Three Ways'!B21*SQRT(20),0)</f>
        <v>32389246</v>
      </c>
      <c r="E10" s="31" t="n">
        <f aca="false">D10-C10</f>
        <v>0</v>
      </c>
      <c r="F10" s="43" t="str">
        <f aca="false">IF(ABS(D10-C10)&lt;=1,"PASS","FAIL")</f>
        <v>PASS</v>
      </c>
    </row>
    <row r="11" customFormat="false" ht="15" hidden="false" customHeight="false" outlineLevel="0" collapsed="false">
      <c r="A11" s="7" t="s">
        <v>103</v>
      </c>
      <c r="B11" s="7" t="s">
        <v>50</v>
      </c>
      <c r="C11" s="45" t="n">
        <v>1.005</v>
      </c>
      <c r="D11" s="46" t="n">
        <f aca="false">ROUND('VaR Three Ways'!B30,3)</f>
        <v>1.005</v>
      </c>
      <c r="E11" s="46" t="n">
        <f aca="false">D11-C11</f>
        <v>0</v>
      </c>
      <c r="F11" s="43" t="str">
        <f aca="false">IF(ABS(D11-C11)&lt;=0.0005,"PASS","FAIL")</f>
        <v>PASS</v>
      </c>
    </row>
    <row r="12" customFormat="false" ht="15" hidden="false" customHeight="false" outlineLevel="0" collapsed="false">
      <c r="A12" s="7" t="s">
        <v>104</v>
      </c>
      <c r="B12" s="7" t="s">
        <v>105</v>
      </c>
      <c r="C12" s="47" t="n">
        <v>5</v>
      </c>
      <c r="D12" s="48" t="n">
        <f aca="false">'The Backtest'!B6</f>
        <v>5</v>
      </c>
      <c r="E12" s="48" t="n">
        <f aca="false">D12-C12</f>
        <v>0</v>
      </c>
      <c r="F12" s="43" t="str">
        <f aca="false">IF(ABS(D12-C12)&lt;=0.05,"PASS","FAIL")</f>
        <v>PASS</v>
      </c>
    </row>
    <row r="13" customFormat="false" ht="15" hidden="false" customHeight="false" outlineLevel="0" collapsed="false">
      <c r="A13" s="7" t="s">
        <v>98</v>
      </c>
      <c r="B13" s="7" t="s">
        <v>106</v>
      </c>
      <c r="C13" s="28" t="n">
        <v>0.0665</v>
      </c>
      <c r="D13" s="28" t="n">
        <f aca="false">ROUND('VaR Three Ways'!B53,5)</f>
        <v>0.0665</v>
      </c>
      <c r="E13" s="28" t="n">
        <f aca="false">D13-C13</f>
        <v>0</v>
      </c>
      <c r="F13" s="43" t="str">
        <f aca="false">IF(ABS(D13-C13)&lt;=0.000005,"PASS","FAIL")</f>
        <v>PASS</v>
      </c>
    </row>
    <row r="14" customFormat="false" ht="15" hidden="false" customHeight="false" outlineLevel="0" collapsed="false">
      <c r="A14" s="7" t="s">
        <v>98</v>
      </c>
      <c r="B14" s="7" t="s">
        <v>63</v>
      </c>
      <c r="C14" s="28" t="n">
        <v>0.00767</v>
      </c>
      <c r="D14" s="49" t="n">
        <f aca="false">ROUND('VaR Three Ways'!B57,5)</f>
        <v>0.00767</v>
      </c>
      <c r="E14" s="28" t="n">
        <f aca="false">D14-C14</f>
        <v>0</v>
      </c>
      <c r="F14" s="43" t="str">
        <f aca="false">IF(ABS(D14-C14)&lt;=0.000005,"PASS","FAIL")</f>
        <v>PASS</v>
      </c>
    </row>
    <row r="15" customFormat="false" ht="15" hidden="false" customHeight="false" outlineLevel="0" collapsed="false">
      <c r="A15" s="7" t="s">
        <v>98</v>
      </c>
      <c r="B15" s="7" t="s">
        <v>64</v>
      </c>
      <c r="C15" s="16" t="n">
        <v>0.115</v>
      </c>
      <c r="D15" s="16" t="n">
        <f aca="false">ROUND('VaR Three Ways'!B58,3)</f>
        <v>0.115</v>
      </c>
      <c r="E15" s="16" t="n">
        <f aca="false">D15-C15</f>
        <v>0</v>
      </c>
      <c r="F15" s="43" t="str">
        <f aca="false">IF(ABS(D15-C15)&lt;=0.0005,"PASS","FAIL")</f>
        <v>PASS</v>
      </c>
    </row>
    <row r="16" customFormat="false" ht="15" hidden="false" customHeight="false" outlineLevel="0" collapsed="false">
      <c r="A16" s="7" t="s">
        <v>98</v>
      </c>
      <c r="B16" s="7" t="s">
        <v>107</v>
      </c>
      <c r="C16" s="28" t="n">
        <v>0.06439</v>
      </c>
      <c r="D16" s="28" t="n">
        <f aca="false">ROUND('VaR Three Ways'!C56,5)</f>
        <v>0.06439</v>
      </c>
      <c r="E16" s="28" t="n">
        <f aca="false">D16-C16</f>
        <v>0</v>
      </c>
      <c r="F16" s="43" t="str">
        <f aca="false">IF(ABS(D16-C16)&lt;=0.000005,"PASS","FAIL")</f>
        <v>PASS</v>
      </c>
    </row>
    <row r="17" customFormat="false" ht="15" hidden="false" customHeight="false" outlineLevel="0" collapsed="false">
      <c r="A17" s="7" t="s">
        <v>98</v>
      </c>
      <c r="B17" s="7" t="s">
        <v>108</v>
      </c>
      <c r="C17" s="31" t="n">
        <v>7925849</v>
      </c>
      <c r="D17" s="31" t="n">
        <f aca="false">ROUND('VaR Three Ways'!C59,0)</f>
        <v>7925849</v>
      </c>
      <c r="E17" s="31" t="n">
        <f aca="false">D17-C17</f>
        <v>0</v>
      </c>
      <c r="F17" s="43" t="str">
        <f aca="false">IF(ABS(D17-C17)&lt;=1,"PASS","FAIL")</f>
        <v>PASS</v>
      </c>
    </row>
    <row r="18" customFormat="false" ht="15" hidden="false" customHeight="false" outlineLevel="0" collapsed="false">
      <c r="A18" s="7" t="s">
        <v>98</v>
      </c>
      <c r="B18" s="7" t="s">
        <v>109</v>
      </c>
      <c r="C18" s="16" t="n">
        <v>0.276</v>
      </c>
      <c r="D18" s="16" t="n">
        <f aca="false">ROUND('VaR Three Ways'!B60,3)</f>
        <v>0.276</v>
      </c>
      <c r="E18" s="16" t="n">
        <f aca="false">D18-C18</f>
        <v>0</v>
      </c>
      <c r="F18" s="43" t="str">
        <f aca="false">IF(ABS(D18-C18)&lt;=0.0005,"PASS","FAIL")</f>
        <v>PASS</v>
      </c>
    </row>
    <row r="19" customFormat="false" ht="15" hidden="false" customHeight="false" outlineLevel="0" collapsed="false">
      <c r="A19" s="7" t="s">
        <v>98</v>
      </c>
      <c r="B19" s="7" t="s">
        <v>110</v>
      </c>
      <c r="C19" s="38" t="n">
        <v>1</v>
      </c>
      <c r="D19" s="38" t="n">
        <f aca="false">CORRSW</f>
        <v>1</v>
      </c>
      <c r="E19" s="38" t="n">
        <f aca="false">D19-C19</f>
        <v>0</v>
      </c>
      <c r="F19" s="43" t="str">
        <f aca="false">IF(ABS(D19-C19)&lt;=0,"PASS","FAIL")</f>
        <v>PASS</v>
      </c>
    </row>
    <row r="20" customFormat="false" ht="15" hidden="false" customHeight="false" outlineLevel="0" collapsed="false">
      <c r="A20" s="7" t="s">
        <v>104</v>
      </c>
      <c r="B20" s="7" t="s">
        <v>111</v>
      </c>
      <c r="C20" s="38" t="n">
        <v>8</v>
      </c>
      <c r="D20" s="38" t="n">
        <f aca="false">'The Backtest'!B24</f>
        <v>8</v>
      </c>
      <c r="E20" s="38" t="n">
        <f aca="false">D20-C20</f>
        <v>0</v>
      </c>
      <c r="F20" s="43" t="str">
        <f aca="false">IF(ABS(D20-C20)&lt;=0,"PASS","FAIL")</f>
        <v>PASS</v>
      </c>
    </row>
    <row r="21" customFormat="false" ht="15" hidden="false" customHeight="false" outlineLevel="0" collapsed="false">
      <c r="A21" s="7" t="s">
        <v>104</v>
      </c>
      <c r="B21" s="7" t="s">
        <v>112</v>
      </c>
      <c r="C21" s="38" t="n">
        <v>14</v>
      </c>
      <c r="D21" s="38" t="n">
        <f aca="false">'The Backtest'!C24</f>
        <v>14</v>
      </c>
      <c r="E21" s="38" t="n">
        <f aca="false">D21-C21</f>
        <v>0</v>
      </c>
      <c r="F21" s="43" t="str">
        <f aca="false">IF(ABS(D21-C21)&lt;=0,"PASS","FAIL")</f>
        <v>PASS</v>
      </c>
    </row>
    <row r="22" customFormat="false" ht="15" hidden="false" customHeight="false" outlineLevel="0" collapsed="false">
      <c r="A22" s="7" t="s">
        <v>104</v>
      </c>
      <c r="B22" s="7" t="s">
        <v>113</v>
      </c>
      <c r="C22" s="38" t="n">
        <v>4</v>
      </c>
      <c r="D22" s="38" t="n">
        <f aca="false">'The Backtest'!B25</f>
        <v>4</v>
      </c>
      <c r="E22" s="38" t="n">
        <f aca="false">D22-C22</f>
        <v>0</v>
      </c>
      <c r="F22" s="43" t="str">
        <f aca="false">IF(ABS(D22-C22)&lt;=0,"PASS","FAIL")</f>
        <v>PASS</v>
      </c>
    </row>
    <row r="23" customFormat="false" ht="15" hidden="false" customHeight="false" outlineLevel="0" collapsed="false">
      <c r="A23" s="7" t="s">
        <v>104</v>
      </c>
      <c r="B23" s="7" t="s">
        <v>114</v>
      </c>
      <c r="C23" s="38" t="n">
        <v>9</v>
      </c>
      <c r="D23" s="38" t="n">
        <f aca="false">'The Backtest'!C25</f>
        <v>9</v>
      </c>
      <c r="E23" s="38" t="n">
        <f aca="false">D23-C23</f>
        <v>0</v>
      </c>
      <c r="F23" s="43" t="str">
        <f aca="false">IF(ABS(D23-C23)&lt;=0,"PASS","FAIL")</f>
        <v>PASS</v>
      </c>
    </row>
    <row r="25" customFormat="false" ht="15" hidden="false" customHeight="false" outlineLevel="0" collapsed="false">
      <c r="B25" s="26" t="s">
        <v>115</v>
      </c>
      <c r="D25" s="39" t="str">
        <f aca="false">COUNTIF(F6:F23,"PASS")&amp;" of "&amp;18</f>
        <v>18 of 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2026-08-28T17:41:51Z</dcterms:created>
  <dc:creator>openpyxl</dc:creator>
  <dc:description/>
  <dc:language>en-US</dc:language>
  <cp:lastModifiedBy/>
  <dcterms:modified xsi:type="dcterms:W3CDTF">2026-09-24T19:57:26Z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