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The tape" sheetId="2" state="visible" r:id="rId4"/>
    <sheet name="3. Assumptions" sheetId="3" state="visible" r:id="rId5"/>
    <sheet name="4. Survival and stay" sheetId="4" state="visible" r:id="rId6"/>
    <sheet name="5. The rent roll" sheetId="5" state="visible" r:id="rId7"/>
    <sheet name="6. Income and costs" sheetId="6" state="visible" r:id="rId8"/>
    <sheet name="7. The customer" sheetId="7" state="visible" r:id="rId9"/>
    <sheet name="8. Checks" sheetId="8" state="visible" r:id="rId10"/>
    <sheet name="9. The lease-up curve" sheetId="9" state="visible" r:id="rId11"/>
    <sheet name="10. Ten years and the bid" sheetId="10" state="visible" r:id="rId12"/>
    <sheet name="11. The increase decision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<sst xmlns="http://schemas.openxmlformats.org/spreadsheetml/2006/main" count="469" uniqueCount="375">
  <si>
    <t xml:space="preserve">The Self-Storage Model</t>
  </si>
  <si>
    <t xml:space="preserve">Companion workbook to Self-Storage Real Estate</t>
  </si>
  <si>
    <t xml:space="preserve">What this is</t>
  </si>
  <si>
    <t xml:space="preserve">The cohort engine the whole book is computed from. Self-storage has no leases, so the rent roll cannot be read from a schedule — it has to be built from cohorts of arrivals decaying against a hazard of departure, each carrying the increases it has received.</t>
  </si>
  <si>
    <t xml:space="preserve">Overwrite the tape on sheet 2 and the assumptions on sheet 3, and everything downstream moves with them, including the checks on sheet 8.</t>
  </si>
  <si>
    <t xml:space="preserve">What it computes</t>
  </si>
  <si>
    <t xml:space="preserve">The advertised rate, the move-in rate and the in-place rate — the three prices Chapter 2 says never to quote without saying which one you mean.</t>
  </si>
  <si>
    <t xml:space="preserve">Length of stay, from a departure hazard that differs in the first month, in the months after an increase, and everywhere else.</t>
  </si>
  <si>
    <t xml:space="preserve">The rent roll as the sum of surviving cohorts, and the gap between it and the price on the website.</t>
  </si>
  <si>
    <t xml:space="preserve">The increase that maximises net operating income, and how flat the answer is (sheet 11).</t>
  </si>
  <si>
    <t xml:space="preserve">What a customer is worth and what one costs to acquire.</t>
  </si>
  <si>
    <t xml:space="preserve">The cost base and the break-even occupancy (sheet 6), the lease-up curve (sheet 9), the ten-year cash flow, the exit, the bid, the debt and the inversions of Chapter 29 (sheet 10).</t>
  </si>
  <si>
    <t xml:space="preserve">The inputs to argue about</t>
  </si>
  <si>
    <t xml:space="preserve">The response exponent on sheet 3, on a yellow fill. It decides Chapter 5 entirely and nobody publishes it. Move it and the survival curve on sheet 4 responds, and everything downstream of it with the curve.</t>
  </si>
  <si>
    <t xml:space="preserve">The background departure hazard, also on sheet 3. Length of stay is the asset; this is the number that sets it.</t>
  </si>
  <si>
    <t xml:space="preserve">The exit yield on sheet 3. On a ten-year hold it carries more of the value than ten years of operating the store do.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</si>
  <si>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</si>
  <si>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</si>
  <si>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</si>
  <si>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</si>
  <si>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</si>
  <si>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</t>
  </si>
  <si>
    <t xml:space="preserve">Revised 24 September 2026. The first version announced the lease-up curve, the break-even, the ten-year cash flow and the increase that maximises income, but sheet 9 held typed values and the rest was not in the file. All of it is now live: sheet 9 builds the lease-up from the cohorts, sheet 10 runs the ten years, the sale, the bid net of acquisition costs (£7,279,057), the debt and five of the six inversions, and sheet 11 finds the optimum increase (12.82 per cent) in closed form.</t>
  </si>
  <si>
    <t xml:space="preserve">Sheet 3 gains the eight inputs Appendix B lists and the first file left out: the lease-up time constant and the seven debt terms. Sheet 4 column F values a customer who is still in the store. The average one is worth £2,691 from here on (sheet 7, row 21), not half a new customer's £2,188: Chapter 8's £1,094 understates what a move-out loses by a factor of 2.5.</t>
  </si>
  <si>
    <t xml:space="preserve">Sheet 8 now carries 56 lines. Chapter 29's length-of-stay inversion needs the whole engine re-run: type 5.60 per cent into sheet 3 row 12 and the present value on sheet 10 meets the asking price at a length of stay of 16.0 months (the first edition printed 5.35 and 16.7, having charged marketing as a share of rent rather than per customer).</t>
  </si>
  <si>
    <t xml:space="preserve">Six unit sizes, one building</t>
  </si>
  <si>
    <t xml:space="preserve">Overwrite every blue cell. The small unit costs more per square foot than the large one — that is not an anomaly, it is Chapter 1.</t>
  </si>
  <si>
    <t xml:space="preserve">Unit type</t>
  </si>
  <si>
    <t xml:space="preserve">Units</t>
  </si>
  <si>
    <t xml:space="preserve">Size, sq ft</t>
  </si>
  <si>
    <t xml:space="preserve">Advertised rate, £/sq ft/yr</t>
  </si>
  <si>
    <t xml:space="preserve">Lettable area</t>
  </si>
  <si>
    <t xml:space="preserve">Rent at full occupancy</t>
  </si>
  <si>
    <t xml:space="preserve">Locker, 10 sq ft</t>
  </si>
  <si>
    <t xml:space="preserve">Small, 25 sq ft</t>
  </si>
  <si>
    <t xml:space="preserve">Medium, 50 sq ft</t>
  </si>
  <si>
    <t xml:space="preserve">Large, 75 sq ft</t>
  </si>
  <si>
    <t xml:space="preserve">Extra large, 125 sq ft</t>
  </si>
  <si>
    <t xml:space="preserve">Container, 200 sq ft</t>
  </si>
  <si>
    <t xml:space="preserve">Total / weighted average</t>
  </si>
  <si>
    <t xml:space="preserve">Gross internal area, sq ft</t>
  </si>
  <si>
    <t xml:space="preserve">Efficiency — lettable over gross</t>
  </si>
  <si>
    <t xml:space="preserve">Average unit size, sq ft</t>
  </si>
  <si>
    <t xml:space="preserve">Advertised rate weighted by unit count, £/sq ft</t>
  </si>
  <si>
    <t xml:space="preserve">Every scalar input</t>
  </si>
  <si>
    <t xml:space="preserve">Two cells decide most of the book: the response exponent and the background departure hazard.</t>
  </si>
  <si>
    <t xml:space="preserve">Assumption</t>
  </si>
  <si>
    <t xml:space="preserve">Value</t>
  </si>
  <si>
    <t xml:space="preserve">Note</t>
  </si>
  <si>
    <t xml:space="preserve">Move-in discount</t>
  </si>
  <si>
    <t xml:space="preserve">Standard British offer</t>
  </si>
  <si>
    <t xml:space="preserve">Discount duration, weeks</t>
  </si>
  <si>
    <t xml:space="preserve">First increase, months after move-in</t>
  </si>
  <si>
    <t xml:space="preserve">Interval between increases, months</t>
  </si>
  <si>
    <t xml:space="preserve">Size of each increase</t>
  </si>
  <si>
    <t xml:space="preserve">⚠ Chapter 5: the store is under-pushing under every belief tested</t>
  </si>
  <si>
    <t xml:space="preserve">Cap, in-place over advertised</t>
  </si>
  <si>
    <t xml:space="preserve">A management policy, not a modelling convenience</t>
  </si>
  <si>
    <t xml:space="preserve">Departure hazard, first month</t>
  </si>
  <si>
    <t xml:space="preserve">Departure hazard, background</t>
  </si>
  <si>
    <t xml:space="preserve">⚠ Length of stay is the asset, and this is what sets it</t>
  </si>
  <si>
    <t xml:space="preserve">Additional hazard after an increase</t>
  </si>
  <si>
    <t xml:space="preserve">At the reference increase</t>
  </si>
  <si>
    <t xml:space="preserve">Response exponent</t>
  </si>
  <si>
    <t xml:space="preserve">⚠⚠ Nobody publishes this. Chapter 5 gives a range, not a number.</t>
  </si>
  <si>
    <t xml:space="preserve">Reference increase — the denominator of the response</t>
  </si>
  <si>
    <t xml:space="preserve">Fixed. The induced departure is measured relative to this.</t>
  </si>
  <si>
    <t xml:space="preserve">Maximum induced departure</t>
  </si>
  <si>
    <t xml:space="preserve">Occupancy, mature</t>
  </si>
  <si>
    <t xml:space="preserve">Industry figure, mature stores</t>
  </si>
  <si>
    <t xml:space="preserve">Physical ceiling</t>
  </si>
  <si>
    <t xml:space="preserve">A judgement</t>
  </si>
  <si>
    <t xml:space="preserve">Protection income, share of rent</t>
  </si>
  <si>
    <t xml:space="preserve">Box sales, share of rent</t>
  </si>
  <si>
    <t xml:space="preserve">Margin on box sales</t>
  </si>
  <si>
    <t xml:space="preserve">Late fees, share of rent</t>
  </si>
  <si>
    <t xml:space="preserve">Business rates, £/gross sq ft</t>
  </si>
  <si>
    <t xml:space="preserve">Store staff, £/yr</t>
  </si>
  <si>
    <t xml:space="preserve">A manager and assistants — see Chapter 22 before cutting it</t>
  </si>
  <si>
    <t xml:space="preserve">Management and pricing software, £/yr</t>
  </si>
  <si>
    <t xml:space="preserve">Card and payment fees, share of collections</t>
  </si>
  <si>
    <t xml:space="preserve">Larger than the insurance line</t>
  </si>
  <si>
    <t xml:space="preserve">Energy, £/gross sq ft</t>
  </si>
  <si>
    <t xml:space="preserve">Repairs, £/gross sq ft</t>
  </si>
  <si>
    <t xml:space="preserve">Insurance, £/gross sq ft</t>
  </si>
  <si>
    <t xml:space="preserve">Other property costs, £/gross sq ft</t>
  </si>
  <si>
    <t xml:space="preserve">Marketing, £ per move-in</t>
  </si>
  <si>
    <t xml:space="preserve">⚠ Per CUSTOMER, not a share of rent — a shorter stay costs more marketing</t>
  </si>
  <si>
    <t xml:space="preserve">Management fee, share of revenue</t>
  </si>
  <si>
    <t xml:space="preserve">Bad debt, share of rent</t>
  </si>
  <si>
    <t xml:space="preserve">Ongoing capital, £/gross sq ft</t>
  </si>
  <si>
    <t xml:space="preserve">Refurbishment cycle, years</t>
  </si>
  <si>
    <t xml:space="preserve">Refurbishment cost, £/gross sq ft</t>
  </si>
  <si>
    <t xml:space="preserve">Years elapsed in the cycle</t>
  </si>
  <si>
    <t xml:space="preserve">Initial yield</t>
  </si>
  <si>
    <t xml:space="preserve">Exit yield</t>
  </si>
  <si>
    <t xml:space="preserve">⚠ Carries more of the value than ten years of trading</t>
  </si>
  <si>
    <t xml:space="preserve">Required return</t>
  </si>
  <si>
    <t xml:space="preserve">Rent growth</t>
  </si>
  <si>
    <t xml:space="preserve">Cost growth</t>
  </si>
  <si>
    <t xml:space="preserve">Acquisition costs</t>
  </si>
  <si>
    <t xml:space="preserve">Costs of sale</t>
  </si>
  <si>
    <t xml:space="preserve">Hold period, years</t>
  </si>
  <si>
    <t xml:space="preserve">Lease-up time constant, months</t>
  </si>
  <si>
    <t xml:space="preserve">Appendix B3: how fast a new store's move-in flow ramps up (sheet 9)</t>
  </si>
  <si>
    <t xml:space="preserve">Base rate</t>
  </si>
  <si>
    <t xml:space="preserve">Appendix B6, debt (sheet 10)</t>
  </si>
  <si>
    <t xml:space="preserve">Margin</t>
  </si>
  <si>
    <t xml:space="preserve">Maximum loan to value</t>
  </si>
  <si>
    <t xml:space="preserve">Minimum interest cover</t>
  </si>
  <si>
    <t xml:space="preserve">Minimum debt service cover</t>
  </si>
  <si>
    <t xml:space="preserve">Amortisation, a year</t>
  </si>
  <si>
    <t xml:space="preserve">Occupancy stress applied by the lender</t>
  </si>
  <si>
    <t xml:space="preserve">Eight points off occupancy</t>
  </si>
  <si>
    <t xml:space="preserve">How long a customer stays</t>
  </si>
  <si>
    <t xml:space="preserve">The three hazards of Chapter 3, month by month. Length of stay is the sum of column C — it is an output, never an input.</t>
  </si>
  <si>
    <t xml:space="preserve">Column F: what a customer still here at that month is worth from now on, discounted (Chapter 8).</t>
  </si>
  <si>
    <t xml:space="preserve">Month of stay</t>
  </si>
  <si>
    <t xml:space="preserve">Hazard that month</t>
  </si>
  <si>
    <t xml:space="preserve">Share still there</t>
  </si>
  <si>
    <t xml:space="preserve">Increases received</t>
  </si>
  <si>
    <t xml:space="preserve">Paying, over advertised</t>
  </si>
  <si>
    <t xml:space="preserve">Remaining value, £</t>
  </si>
  <si>
    <t xml:space="preserve">Length of stay, months</t>
  </si>
  <si>
    <t xml:space="preserve">Annual churn</t>
  </si>
  <si>
    <t xml:space="preserve">Average tenure of current customers</t>
  </si>
  <si>
    <t xml:space="preserve">Move-ins a month to hold the occupancy target</t>
  </si>
  <si>
    <t xml:space="preserve">The rent roll that has no leases</t>
  </si>
  <si>
    <t xml:space="preserve">One row per cohort. The rent roll is the sum of column E — an emergent quantity, not a schedule.</t>
  </si>
  <si>
    <t xml:space="preserve">Months since move-in</t>
  </si>
  <si>
    <t xml:space="preserve">Units still there</t>
  </si>
  <si>
    <t xml:space="preserve">Discount that month</t>
  </si>
  <si>
    <t xml:space="preserve">Rate, over advertised</t>
  </si>
  <si>
    <t xml:space="preserve">Monthly rent from this cohort</t>
  </si>
  <si>
    <t xml:space="preserve">Units occupied</t>
  </si>
  <si>
    <t xml:space="preserve">Occupancy</t>
  </si>
  <si>
    <t xml:space="preserve">Occupied area, sq ft</t>
  </si>
  <si>
    <t xml:space="preserve">Rent roll, annual</t>
  </si>
  <si>
    <t xml:space="preserve">Advertised rate, £/sq ft</t>
  </si>
  <si>
    <t xml:space="preserve">In-place rate, £/sq ft</t>
  </si>
  <si>
    <t xml:space="preserve">In-place over advertised</t>
  </si>
  <si>
    <t xml:space="preserve">Move-in rate, £/sq ft</t>
  </si>
  <si>
    <t xml:space="preserve">What the store earns and what it costs</t>
  </si>
  <si>
    <t xml:space="preserve">Three quarters of the cost base does not care whether a unit is let.</t>
  </si>
  <si>
    <t xml:space="preserve">Rent roll</t>
  </si>
  <si>
    <t xml:space="preserve">Goods protection</t>
  </si>
  <si>
    <t xml:space="preserve">Box sales, gross</t>
  </si>
  <si>
    <t xml:space="preserve">Late fees</t>
  </si>
  <si>
    <t xml:space="preserve">Total revenue</t>
  </si>
  <si>
    <t xml:space="preserve">Ancillary as a share of revenue</t>
  </si>
  <si>
    <t xml:space="preserve">Business rates</t>
  </si>
  <si>
    <t xml:space="preserve">On-site staff</t>
  </si>
  <si>
    <t xml:space="preserve">Energy</t>
  </si>
  <si>
    <t xml:space="preserve">Repairs and maintenance</t>
  </si>
  <si>
    <t xml:space="preserve">Insurance</t>
  </si>
  <si>
    <t xml:space="preserve">Marketing and customer acquisition</t>
  </si>
  <si>
    <t xml:space="preserve">Cost of goods sold</t>
  </si>
  <si>
    <t xml:space="preserve">Bad debt</t>
  </si>
  <si>
    <t xml:space="preserve">Other property costs</t>
  </si>
  <si>
    <t xml:space="preserve">Card and payment fees</t>
  </si>
  <si>
    <t xml:space="preserve">Management and pricing software</t>
  </si>
  <si>
    <t xml:space="preserve">Management fee</t>
  </si>
  <si>
    <t xml:space="preserve">Total costs</t>
  </si>
  <si>
    <t xml:space="preserve">Net operating income</t>
  </si>
  <si>
    <t xml:space="preserve">Revenue per gross square foot</t>
  </si>
  <si>
    <t xml:space="preserve">Three denominators, three numbers — Chapter 9</t>
  </si>
  <si>
    <t xml:space="preserve">Revenue per lettable square foot</t>
  </si>
  <si>
    <t xml:space="preserve">Revenue per occupied square foot</t>
  </si>
  <si>
    <t xml:space="preserve">Ongoing capital</t>
  </si>
  <si>
    <t xml:space="preserve">Refurbishment, annualised</t>
  </si>
  <si>
    <t xml:space="preserve">Net operating income after capital</t>
  </si>
  <si>
    <t xml:space="preserve">Asking price, at the initial yield</t>
  </si>
  <si>
    <t xml:space="preserve">Yield as quoted</t>
  </si>
  <si>
    <t xml:space="preserve">Yield after the capital cycle</t>
  </si>
  <si>
    <t xml:space="preserve">The single largest correction to a headline number in the book</t>
  </si>
  <si>
    <t xml:space="preserve">Fixed costs: rates, staff, energy, repairs, insurance, other, software</t>
  </si>
  <si>
    <t xml:space="preserve">Break-even occupancy</t>
  </si>
  <si>
    <t xml:space="preserve">Revenue and every variable cost move with occupancy; the fixed costs do not. Chapter 13.</t>
  </si>
  <si>
    <t xml:space="preserve">Net operating income from one more point of occupancy</t>
  </si>
  <si>
    <t xml:space="preserve">Fixed share of the cost base</t>
  </si>
  <si>
    <t xml:space="preserve">What a customer is worth, and what one costs</t>
  </si>
  <si>
    <t xml:space="preserve">The move-in discount is an acquisition cost, not a rent reduction — Chapter 7.</t>
  </si>
  <si>
    <t xml:space="preserve">Full monthly rent on the average unit</t>
  </si>
  <si>
    <t xml:space="preserve">Months paid, on average</t>
  </si>
  <si>
    <t xml:space="preserve">Monthly discount rate</t>
  </si>
  <si>
    <t xml:space="preserve">Gross rent collected over the stay</t>
  </si>
  <si>
    <t xml:space="preserve">Discounted at the required return</t>
  </si>
  <si>
    <t xml:space="preserve">Revenue per pound of rent, ancillary included</t>
  </si>
  <si>
    <t xml:space="preserve">Costs per pound of rent</t>
  </si>
  <si>
    <t xml:space="preserve">Margin on the marginal customer, on the rent</t>
  </si>
  <si>
    <t xml:space="preserve">Value of one customer</t>
  </si>
  <si>
    <t xml:space="preserve">Discount given at move-in</t>
  </si>
  <si>
    <t xml:space="preserve">Move-ins a year</t>
  </si>
  <si>
    <t xml:space="preserve">Marketing spent, per move-in</t>
  </si>
  <si>
    <t xml:space="preserve">Total cost of acquisition</t>
  </si>
  <si>
    <t xml:space="preserve">Value over cost</t>
  </si>
  <si>
    <t xml:space="preserve">Cost of standing still, each year</t>
  </si>
  <si>
    <t xml:space="preserve">As a share of the rent roll</t>
  </si>
  <si>
    <t xml:space="preserve">Remaining value of the average customer in the store today</t>
  </si>
  <si>
    <t xml:space="preserve">Weighted by the customers in the store. They have paid off their promotion and climbed the increases, so each is worth more than a new arrival.</t>
  </si>
  <si>
    <t xml:space="preserve">Half a new customer's value: the shorthand of Chapter 8</t>
  </si>
  <si>
    <t xml:space="preserve">The shorthand understates the loss by a factor of</t>
  </si>
  <si>
    <t xml:space="preserve">Checks — every figure the book prints, against what this workbook computes</t>
  </si>
  <si>
    <t xml:space="preserve">Self-Storage Real Estate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</si>
  <si>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</si>
  <si>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</si>
  <si>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</si>
  <si>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</si>
  <si>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</si>
  <si>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</si>
  <si>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</si>
  <si>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</si>
  <si>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1</t>
  </si>
  <si>
    <t xml:space="preserve">Lettable area, square feet</t>
  </si>
  <si>
    <t xml:space="preserve">Each tolerance is the precision at which the book prints that figure, not a comfort margin. A figure printed to the pound is checked to the pound; one printed in millions is checked to the nearest thousand. The survival table runs to 240 months, by which point less than one unit in a million of a cohort remains, so it reproduces the model rather than approximating it.</t>
  </si>
  <si>
    <t xml:space="preserve">Advertised rate, weighted by area, £/sq ft</t>
  </si>
  <si>
    <t xml:space="preserve">Advertised rate, weighted by unit, £/sq ft</t>
  </si>
  <si>
    <t xml:space="preserve">Ch. 3</t>
  </si>
  <si>
    <t xml:space="preserve">Move-ins each month</t>
  </si>
  <si>
    <t xml:space="preserve">Ch. 2</t>
  </si>
  <si>
    <t xml:space="preserve">Ch. 9</t>
  </si>
  <si>
    <t xml:space="preserve">Ch. 12</t>
  </si>
  <si>
    <t xml:space="preserve">Ch. 24</t>
  </si>
  <si>
    <t xml:space="preserve">Ch. 29</t>
  </si>
  <si>
    <t xml:space="preserve">Asking price</t>
  </si>
  <si>
    <t xml:space="preserve">Ch. 8</t>
  </si>
  <si>
    <t xml:space="preserve">Ch. 7</t>
  </si>
  <si>
    <t xml:space="preserve">Total cost of acquisition, per move-in</t>
  </si>
  <si>
    <t xml:space="preserve">Ch. 14</t>
  </si>
  <si>
    <t xml:space="preserve">Occupancy at month 24 of lease-up</t>
  </si>
  <si>
    <t xml:space="preserve">In-place rate at month 24 of lease-up, £/sq ft</t>
  </si>
  <si>
    <t xml:space="preserve">Net operating income at month 24 of lease-up</t>
  </si>
  <si>
    <t xml:space="preserve">App. D</t>
  </si>
  <si>
    <t xml:space="preserve">Ch. 13</t>
  </si>
  <si>
    <t xml:space="preserve">Ch. 11</t>
  </si>
  <si>
    <t xml:space="preserve">Month in which a new store first earns money</t>
  </si>
  <si>
    <t xml:space="preserve">Losses before that month</t>
  </si>
  <si>
    <t xml:space="preserve">Month in which it reaches 95 per cent of its stabilised occupancy</t>
  </si>
  <si>
    <t xml:space="preserve">Refurbishment, year 8</t>
  </si>
  <si>
    <t xml:space="preserve">Net sale proceeds</t>
  </si>
  <si>
    <t xml:space="preserve">Present value of ten years and a sale (printed as £7.8 million)</t>
  </si>
  <si>
    <t xml:space="preserve">Internal rate of return, after acquisition costs</t>
  </si>
  <si>
    <t xml:space="preserve">Ch. 25</t>
  </si>
  <si>
    <t xml:space="preserve">Share of the value that is the sale</t>
  </si>
  <si>
    <t xml:space="preserve">The bid, £ per square foot of gross internal area</t>
  </si>
  <si>
    <t xml:space="preserve">The bid, discount to the asking price</t>
  </si>
  <si>
    <t xml:space="preserve">Return if you pay the present value, then the costs</t>
  </si>
  <si>
    <t xml:space="preserve">Ch. 26</t>
  </si>
  <si>
    <t xml:space="preserve">Facility, as a share of the price</t>
  </si>
  <si>
    <t xml:space="preserve">Cash return on equity, geared</t>
  </si>
  <si>
    <t xml:space="preserve">Cash return, ungeared</t>
  </si>
  <si>
    <t xml:space="preserve">Occupancy at which debt service stops being covered</t>
  </si>
  <si>
    <t xml:space="preserve">Exit yield that justifies the asking price</t>
  </si>
  <si>
    <t xml:space="preserve">Required return that justifies it</t>
  </si>
  <si>
    <t xml:space="preserve">Occupancy that justifies it</t>
  </si>
  <si>
    <t xml:space="preserve">Rent growth that justifies it</t>
  </si>
  <si>
    <t xml:space="preserve">Cost growth that justifies it</t>
  </si>
  <si>
    <t xml:space="preserve">Ch. 5</t>
  </si>
  <si>
    <t xml:space="preserve">Increase that maximises net operating income</t>
  </si>
  <si>
    <t xml:space="preserve">Net operating income at the optimum</t>
  </si>
  <si>
    <t xml:space="preserve">Three points above the optimum costs, a year</t>
  </si>
  <si>
    <t xml:space="preserve">Sheet 11</t>
  </si>
  <si>
    <t xml:space="preserve">Closed form against the cohort tables at the current increase (difference)</t>
  </si>
  <si>
    <t xml:space="preserve">Ch. 8, revised</t>
  </si>
  <si>
    <t xml:space="preserve">Remaining value of the average customer in the store (the first edition used half a new customer, £1,094)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</si>
  <si>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</si>
  <si>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</si>
  <si>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</si>
  <si>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All checks</t>
  </si>
  <si>
    <t xml:space="preserve">Five years of a new store, cohort by cohort</t>
  </si>
  <si>
    <t xml:space="preserve">Live: every cohort decays on sheet 4 and pays the rate on sheet 5 as the move-in flow ramps up. Not stabilised income scaled by occupancy — watch the in-place rate climb.</t>
  </si>
  <si>
    <t xml:space="preserve">Move-in flow at stabilisation, a month</t>
  </si>
  <si>
    <t xml:space="preserve">Month in which the store first earns money</t>
  </si>
  <si>
    <t xml:space="preserve">Break-even occupancy (sheet 6)</t>
  </si>
  <si>
    <t xml:space="preserve">Month</t>
  </si>
  <si>
    <t xml:space="preserve">Move-ins that month</t>
  </si>
  <si>
    <t xml:space="preserve">Rent roll, a year</t>
  </si>
  <si>
    <t xml:space="preserve">In-place rate</t>
  </si>
  <si>
    <t xml:space="preserve">Revenue, a year</t>
  </si>
  <si>
    <t xml:space="preserve">Net operating income, a year</t>
  </si>
  <si>
    <t xml:space="preserve">Above break-even?</t>
  </si>
  <si>
    <t xml:space="preserve">Columns J and K are the working for rows 5 and 7. The flow ramps as 1 − e^(−month / time constant), sheet 3 row 46.</t>
  </si>
  <si>
    <t xml:space="preserve">Ten years, the sale, the bid and the debt</t>
  </si>
  <si>
    <t xml:space="preserve">Chapters 24 to 26 and 29. The capital cycle falls where it falls; the bid is net of the 6.6 per cent of acquisition costs.</t>
  </si>
  <si>
    <t xml:space="preserve">Year</t>
  </si>
  <si>
    <t xml:space="preserve">Revenue</t>
  </si>
  <si>
    <t xml:space="preserve">Costs</t>
  </si>
  <si>
    <t xml:space="preserve">Capital</t>
  </si>
  <si>
    <t xml:space="preserve">Refurbishment</t>
  </si>
  <si>
    <t xml:space="preserve">Cash flow</t>
  </si>
  <si>
    <t xml:space="preserve">Flow incl. sale</t>
  </si>
  <si>
    <t xml:space="preserve">Discount factor</t>
  </si>
  <si>
    <t xml:space="preserve">Present value</t>
  </si>
  <si>
    <t xml:space="preserve">Flow at zero occupancy</t>
  </si>
  <si>
    <t xml:space="preserve">column M: the asking price with no costs, for the required-return inversion</t>
  </si>
  <si>
    <t xml:space="preserve">The exit</t>
  </si>
  <si>
    <t xml:space="preserve">Net operating income in the year after the hold</t>
  </si>
  <si>
    <t xml:space="preserve">Capitalised at the exit yield</t>
  </si>
  <si>
    <t xml:space="preserve">Less costs of sale</t>
  </si>
  <si>
    <t xml:space="preserve">Years of the next refurbishment cycle already run</t>
  </si>
  <si>
    <t xml:space="preserve">Less the accrued share of the next cycle</t>
  </si>
  <si>
    <t xml:space="preserve">Net proceeds</t>
  </si>
  <si>
    <t xml:space="preserve">The answer</t>
  </si>
  <si>
    <t xml:space="preserve">Present value of the hold and the sale, at the required return</t>
  </si>
  <si>
    <t xml:space="preserve">Difference, as a share of the asking price</t>
  </si>
  <si>
    <t xml:space="preserve">Short of the required return by, basis points</t>
  </si>
  <si>
    <t xml:space="preserve">Of which: the years of operating the store</t>
  </si>
  <si>
    <t xml:space="preserve">Of which: the price somebody else pays at the end</t>
  </si>
  <si>
    <t xml:space="preserve">The sale, as a share of the value</t>
  </si>
  <si>
    <t xml:space="preserve">The bid: the price that earns the required return once acquisition costs are paid</t>
  </si>
  <si>
    <t xml:space="preserve">  per square foot of gross internal area</t>
  </si>
  <si>
    <t xml:space="preserve">  discount to the asking price</t>
  </si>
  <si>
    <t xml:space="preserve">Return if you pay the present value itself and then the costs</t>
  </si>
  <si>
    <t xml:space="preserve">  short of the required return by, basis points</t>
  </si>
  <si>
    <t xml:space="preserve">What a lender will lend</t>
  </si>
  <si>
    <t xml:space="preserve">Interest rate</t>
  </si>
  <si>
    <t xml:space="preserve">Stressed occupancy</t>
  </si>
  <si>
    <t xml:space="preserve">Net operating income at the stressed occupancy</t>
  </si>
  <si>
    <t xml:space="preserve">Loan permitted by loan to value</t>
  </si>
  <si>
    <t xml:space="preserve">Loan permitted by interest cover, on the stressed income</t>
  </si>
  <si>
    <t xml:space="preserve">Loan permitted by debt service cover, on the stressed income</t>
  </si>
  <si>
    <t xml:space="preserve">Facility offered: the lowest of the three</t>
  </si>
  <si>
    <t xml:space="preserve">  as a share of the asking price</t>
  </si>
  <si>
    <t xml:space="preserve">  the test that binds</t>
  </si>
  <si>
    <t xml:space="preserve">Equity required, costs included</t>
  </si>
  <si>
    <t xml:space="preserve">Debt service a year, interest and amortisation</t>
  </si>
  <si>
    <t xml:space="preserve">Capital cycle, annualised: ongoing items and accrued refurbishment</t>
  </si>
  <si>
    <t xml:space="preserve">Occupancy at which the store stops covering its debt service</t>
  </si>
  <si>
    <t xml:space="preserve">  margin below today's occupancy, points</t>
  </si>
  <si>
    <t xml:space="preserve">Operating break-even occupancy</t>
  </si>
  <si>
    <t xml:space="preserve">What would have to be true: each assumption solved for the value that makes the present value equal the asking price</t>
  </si>
  <si>
    <t xml:space="preserve">  (present value at zero occupancy, for the next line)</t>
  </si>
  <si>
    <t xml:space="preserve">Occupancy, held every month of the hold</t>
  </si>
  <si>
    <t xml:space="preserve">Rent growth, every year</t>
  </si>
  <si>
    <t xml:space="preserve">Cost growth, every year</t>
  </si>
  <si>
    <t xml:space="preserve">The two growth rates are solved by bisection, fifty steps each: the columns below are the working.</t>
  </si>
  <si>
    <t xml:space="preserve">Step</t>
  </si>
  <si>
    <t xml:space="preserve">Rent growth: low</t>
  </si>
  <si>
    <t xml:space="preserve">high</t>
  </si>
  <si>
    <t xml:space="preserve">mid</t>
  </si>
  <si>
    <t xml:space="preserve">value less price</t>
  </si>
  <si>
    <t xml:space="preserve">Cost growth: low</t>
  </si>
  <si>
    <t xml:space="preserve">How far to push: the increase that maximises net operating income</t>
  </si>
  <si>
    <t xml:space="preserve">Chapter 5, in closed form: the same cohort engine summed exactly, so any increase can be tried without a 240-row table. Row 5 ties it to sheet 6.</t>
  </si>
  <si>
    <t xml:space="preserve">e</t>
  </si>
  <si>
    <t xml:space="preserve">ind</t>
  </si>
  <si>
    <t xml:space="preserve">q</t>
  </si>
  <si>
    <t xml:space="preserve">W</t>
  </si>
  <si>
    <t xml:space="preserve">SF</t>
  </si>
  <si>
    <t xml:space="preserve">Lpre</t>
  </si>
  <si>
    <t xml:space="preserve">D</t>
  </si>
  <si>
    <t xml:space="preserve">cstar</t>
  </si>
  <si>
    <t xml:space="preserve">sigma</t>
  </si>
  <si>
    <t xml:space="preserve">L</t>
  </si>
  <si>
    <t xml:space="preserve">R</t>
  </si>
  <si>
    <t xml:space="preserve">mi</t>
  </si>
  <si>
    <t xml:space="preserve">rent</t>
  </si>
  <si>
    <t xml:space="preserve">rev</t>
  </si>
  <si>
    <t xml:space="preserve">costs</t>
  </si>
  <si>
    <t xml:space="preserve">NOI</t>
  </si>
  <si>
    <t xml:space="preserve">At the current increase: net operating income</t>
  </si>
  <si>
    <t xml:space="preserve">  difference from sheet 6 (the cohort tables)</t>
  </si>
  <si>
    <t xml:space="preserve">Net operating income there</t>
  </si>
  <si>
    <t xml:space="preserve">Gain over the current policy, a year</t>
  </si>
  <si>
    <t xml:space="preserve">In value, at the initial yield</t>
  </si>
  <si>
    <t xml:space="preserve">Length of stay at the optimum, months</t>
  </si>
  <si>
    <t xml:space="preserve">Three points above the optimum: net operating income</t>
  </si>
  <si>
    <t xml:space="preserve">  cost of overshooting by three points, a year</t>
  </si>
  <si>
    <t xml:space="preserve">  as a share of the income at the optimum</t>
  </si>
  <si>
    <t xml:space="preserve">Increases it takes to reach the cap at the optimum</t>
  </si>
  <si>
    <t xml:space="preserve">If row 16 is a whole number, the optimum sits exactly where that many increases land on the cap: a corner, not a smooth peak. It is the case at 2.4 (four increases).</t>
  </si>
  <si>
    <t xml:space="preserve">The search: a grid every quarter point from 0 to 30 per cent, the twelve increases at which a whole number of increases lands exactly on the cap, and the vertex of the parabola through the grid maximum</t>
  </si>
  <si>
    <t xml:space="preserve">Increase that maximises income</t>
  </si>
  <si>
    <t xml:space="preserve">Length of stay there, months</t>
  </si>
  <si>
    <t xml:space="preserve">Grid maximum inside the range (not at 0 or 30 per cent)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</si>
</sst>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\£#,##0.00"/>
    <numFmt numFmtId="166" formatCode="General"/>
    <numFmt numFmtId="167" formatCode="\£#,##0"/>
    <numFmt numFmtId="168" formatCode="0.0%"/>
    <numFmt numFmtId="169" formatCode="0.0"/>
    <numFmt numFmtId="170" formatCode="0.00"/>
    <numFmt numFmtId="171" formatCode="0.00%"/>
    <numFmt numFmtId="172" formatCode="0"/>
    <numFmt numFmtId="173" formatCode="0%"/>
    <numFmt numFmtId="174" formatCode="0.00\x"/>
    <numFmt numFmtId="175" formatCode="#,##0"/>
    <numFmt numFmtId="176" formatCode="0.000%"/>
    <numFmt numFmtId="177" formatCode="\£0.00"/>
    <numFmt numFmtId="178" formatCode="0.000000"/>
    <numFmt numFmtId="179" formatCode="0.0000"/>
    <numFmt numFmtId="180" formatCode="0.00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9" hidden="false" customHeight="true" outlineLevel="0" collapsed="false">
      <c r="A5" s="4" t="s">
        <v>3</v>
      </c>
    </row>
    <row r="6" customFormat="false" ht="25.5" hidden="false" customHeight="tru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25.5" hidden="false" customHeight="true" outlineLevel="0" collapsed="false">
      <c r="A9" s="4" t="s">
        <v>6</v>
      </c>
    </row>
    <row r="10" customFormat="false" ht="25.5" hidden="false" customHeight="true" outlineLevel="0" collapsed="false">
      <c r="A10" s="4" t="s">
        <v>7</v>
      </c>
    </row>
    <row r="11" customFormat="false" ht="15" hidden="false" customHeight="true" outlineLevel="0" collapsed="false">
      <c r="A11" s="4" t="s">
        <v>8</v>
      </c>
    </row>
    <row r="12" customFormat="false" ht="15" hidden="false" customHeight="true" outlineLevel="0" collapsed="false">
      <c r="A12" s="4" t="s">
        <v>9</v>
      </c>
    </row>
    <row r="13" customFormat="false" ht="15" hidden="false" customHeight="true" outlineLevel="0" collapsed="false">
      <c r="A13" s="4" t="s">
        <v>10</v>
      </c>
    </row>
    <row r="14" customFormat="false" ht="15" hidden="false" customHeight="true" outlineLevel="0" collapsed="false">
      <c r="A14" s="4" t="s">
        <v>11</v>
      </c>
    </row>
    <row r="16" customFormat="false" ht="15" hidden="false" customHeight="false" outlineLevel="0" collapsed="false">
      <c r="A16" s="3" t="s">
        <v>12</v>
      </c>
    </row>
    <row r="17" customFormat="false" ht="39" hidden="false" customHeight="true" outlineLevel="0" collapsed="false">
      <c r="A17" s="4" t="s">
        <v>13</v>
      </c>
    </row>
    <row r="18" customFormat="false" ht="25.5" hidden="false" customHeight="true" outlineLevel="0" collapsed="false">
      <c r="A18" s="4" t="s">
        <v>14</v>
      </c>
    </row>
    <row r="19" customFormat="false" ht="25.5" hidden="false" customHeight="true" outlineLevel="0" collapsed="false">
      <c r="A19" s="4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true" outlineLevel="0" collapsed="false">
      <c r="A22" s="4" t="s">
        <v>17</v>
      </c>
    </row>
    <row r="23" customFormat="false" ht="15" hidden="false" customHeight="true" outlineLevel="0" collapsed="false">
      <c r="A23" s="4" t="s">
        <v>18</v>
      </c>
    </row>
    <row r="24" customFormat="false" ht="15" hidden="false" customHeight="true" outlineLevel="0" collapsed="false">
      <c r="A24" s="4" t="s">
        <v>19</v>
      </c>
    </row>
    <row r="25" customFormat="false" ht="15" hidden="false" customHeight="true" outlineLevel="0" collapsed="false">
      <c r="A25" s="4" t="s">
        <v>20</v>
      </c>
    </row>
    <row r="27" customFormat="false" ht="15" hidden="false" customHeight="false" outlineLevel="0" collapsed="false">
      <c r="A27" s="3" t="s">
        <v>21</v>
      </c>
    </row>
    <row r="28" customFormat="false" ht="55.2" hidden="false" customHeight="false" outlineLevel="0" collapsed="false">
      <c r="A28" s="4" t="s">
        <v>22</v>
      </c>
    </row>
    <row r="29" customFormat="false" ht="41.75" hidden="false" customHeight="false" outlineLevel="0" collapsed="false">
      <c r="A29" s="4" t="s">
        <v>23</v>
      </c>
    </row>
    <row r="30" customFormat="false" ht="41.75" hidden="false" customHeight="false" outlineLevel="0" collapsed="false">
      <c r="A30" s="4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8"/>
  </cols>
  <sheetData>
    <row r="1" customFormat="false" ht="16.15" hidden="false" customHeight="false" outlineLevel="0" collapsed="false">
      <c r="A1" s="5" t="s">
        <v>25</v>
      </c>
    </row>
    <row r="2" customFormat="false" ht="43.25" hidden="false" customHeight="false" outlineLevel="0" collapsed="false">
      <c r="A2" s="6" t="s">
        <v>26</v>
      </c>
    </row>
    <row r="4" customFormat="false" ht="28.35" hidden="false" customHeight="false" outlineLevel="0" collapsed="false">
      <c r="A4" s="7" t="s">
        <v>27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</row>
    <row r="5" customFormat="false" ht="15" hidden="false" customHeight="false" outlineLevel="0" collapsed="false">
      <c r="A5" s="0" t="s">
        <v>33</v>
      </c>
      <c r="B5" s="8" t="n">
        <v>96</v>
      </c>
      <c r="C5" s="9" t="n">
        <v>10</v>
      </c>
      <c r="D5" s="10" t="n">
        <v>62.4</v>
      </c>
      <c r="E5" s="11" t="n">
        <f aca="false">B5*C5</f>
        <v>960</v>
      </c>
      <c r="F5" s="12" t="n">
        <f aca="false">E5*D5</f>
        <v>59904</v>
      </c>
    </row>
    <row r="6" customFormat="false" ht="15" hidden="false" customHeight="false" outlineLevel="0" collapsed="false">
      <c r="A6" s="0" t="s">
        <v>34</v>
      </c>
      <c r="B6" s="8" t="n">
        <v>138</v>
      </c>
      <c r="C6" s="8" t="n">
        <v>25</v>
      </c>
      <c r="D6" s="13" t="n">
        <v>47</v>
      </c>
      <c r="E6" s="11" t="n">
        <f aca="false">B6*C6</f>
        <v>3450</v>
      </c>
      <c r="F6" s="12" t="n">
        <f aca="false">E6*D6</f>
        <v>162150</v>
      </c>
    </row>
    <row r="7" customFormat="false" ht="15" hidden="false" customHeight="false" outlineLevel="0" collapsed="false">
      <c r="A7" s="0" t="s">
        <v>35</v>
      </c>
      <c r="B7" s="8" t="n">
        <v>152</v>
      </c>
      <c r="C7" s="8" t="n">
        <v>50</v>
      </c>
      <c r="D7" s="13" t="n">
        <v>37</v>
      </c>
      <c r="E7" s="11" t="n">
        <f aca="false">B7*C7</f>
        <v>7600</v>
      </c>
      <c r="F7" s="12" t="n">
        <f aca="false">E7*D7</f>
        <v>281200</v>
      </c>
    </row>
    <row r="8" customFormat="false" ht="15" hidden="false" customHeight="false" outlineLevel="0" collapsed="false">
      <c r="A8" s="0" t="s">
        <v>36</v>
      </c>
      <c r="B8" s="8" t="n">
        <v>108</v>
      </c>
      <c r="C8" s="8" t="n">
        <v>75</v>
      </c>
      <c r="D8" s="13" t="n">
        <v>32.1</v>
      </c>
      <c r="E8" s="11" t="n">
        <f aca="false">B8*C8</f>
        <v>8100</v>
      </c>
      <c r="F8" s="12" t="n">
        <f aca="false">E8*D8</f>
        <v>260010</v>
      </c>
    </row>
    <row r="9" customFormat="false" ht="15" hidden="false" customHeight="false" outlineLevel="0" collapsed="false">
      <c r="A9" s="0" t="s">
        <v>37</v>
      </c>
      <c r="B9" s="8" t="n">
        <v>62</v>
      </c>
      <c r="C9" s="8" t="n">
        <v>125</v>
      </c>
      <c r="D9" s="13" t="n">
        <v>27</v>
      </c>
      <c r="E9" s="11" t="n">
        <f aca="false">B9*C9</f>
        <v>7750</v>
      </c>
      <c r="F9" s="12" t="n">
        <f aca="false">E9*D9</f>
        <v>209250</v>
      </c>
    </row>
    <row r="10" customFormat="false" ht="15" hidden="false" customHeight="false" outlineLevel="0" collapsed="false">
      <c r="A10" s="0" t="s">
        <v>38</v>
      </c>
      <c r="B10" s="8" t="n">
        <v>34</v>
      </c>
      <c r="C10" s="8" t="n">
        <v>200</v>
      </c>
      <c r="D10" s="13" t="n">
        <v>23.4</v>
      </c>
      <c r="E10" s="11" t="n">
        <f aca="false">B10*C10</f>
        <v>6800</v>
      </c>
      <c r="F10" s="12" t="n">
        <f aca="false">E10*D10</f>
        <v>159120</v>
      </c>
    </row>
    <row r="11" customFormat="false" ht="15" hidden="false" customHeight="false" outlineLevel="0" collapsed="false">
      <c r="A11" s="14" t="s">
        <v>39</v>
      </c>
      <c r="B11" s="14" t="n">
        <f aca="false">SUM(B5:B10)</f>
        <v>590</v>
      </c>
      <c r="D11" s="15" t="n">
        <f aca="false">F11/E11</f>
        <v>32.6495672244662</v>
      </c>
      <c r="E11" s="14" t="n">
        <f aca="false">SUM(E5:E10)</f>
        <v>34660</v>
      </c>
      <c r="F11" s="16" t="n">
        <f aca="false">SUM(F5:F10)</f>
        <v>1131634</v>
      </c>
    </row>
    <row r="13" customFormat="false" ht="15" hidden="false" customHeight="false" outlineLevel="0" collapsed="false">
      <c r="A13" s="0" t="s">
        <v>40</v>
      </c>
      <c r="B13" s="8" t="n">
        <v>50000</v>
      </c>
    </row>
    <row r="14" customFormat="false" ht="15" hidden="false" customHeight="false" outlineLevel="0" collapsed="false">
      <c r="A14" s="0" t="s">
        <v>41</v>
      </c>
      <c r="B14" s="17" t="n">
        <f aca="false">E11/B13</f>
        <v>0.6932</v>
      </c>
    </row>
    <row r="15" customFormat="false" ht="15" hidden="false" customHeight="false" outlineLevel="0" collapsed="false">
      <c r="A15" s="0" t="s">
        <v>42</v>
      </c>
      <c r="B15" s="18" t="n">
        <f aca="false">E11/B11</f>
        <v>58.7457627118644</v>
      </c>
    </row>
    <row r="16" customFormat="false" ht="15" hidden="false" customHeight="false" outlineLevel="0" collapsed="false">
      <c r="A16" s="0" t="s">
        <v>43</v>
      </c>
      <c r="B16" s="15" t="n">
        <f aca="false">SUMPRODUCT(B5:B10,D5:D10)/SUM(B5:B10)</f>
        <v>40.7403389830509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2"/>
    <col collapsed="false" customWidth="true" hidden="false" outlineLevel="0" max="3" min="3" style="0" width="62"/>
  </cols>
  <sheetData>
    <row r="1" customFormat="false" ht="16.15" hidden="false" customHeight="false" outlineLevel="0" collapsed="false">
      <c r="A1" s="5" t="s">
        <v>44</v>
      </c>
    </row>
    <row r="2" customFormat="false" ht="22.35" hidden="false" customHeight="false" outlineLevel="0" collapsed="false">
      <c r="A2" s="6" t="s">
        <v>45</v>
      </c>
    </row>
    <row r="4" customFormat="false" ht="15" hidden="false" customHeight="false" outlineLevel="0" collapsed="false">
      <c r="A4" s="7" t="s">
        <v>46</v>
      </c>
      <c r="B4" s="7" t="s">
        <v>47</v>
      </c>
      <c r="C4" s="7" t="s">
        <v>48</v>
      </c>
    </row>
    <row r="5" customFormat="false" ht="15" hidden="false" customHeight="false" outlineLevel="0" collapsed="false">
      <c r="A5" s="0" t="s">
        <v>49</v>
      </c>
      <c r="B5" s="19" t="n">
        <v>0.5</v>
      </c>
      <c r="C5" s="2" t="s">
        <v>50</v>
      </c>
    </row>
    <row r="6" customFormat="false" ht="15" hidden="false" customHeight="false" outlineLevel="0" collapsed="false">
      <c r="A6" s="0" t="s">
        <v>51</v>
      </c>
      <c r="B6" s="8" t="n">
        <v>8</v>
      </c>
    </row>
    <row r="7" customFormat="false" ht="15" hidden="false" customHeight="false" outlineLevel="0" collapsed="false">
      <c r="A7" s="0" t="s">
        <v>52</v>
      </c>
      <c r="B7" s="8" t="n">
        <v>5</v>
      </c>
    </row>
    <row r="8" customFormat="false" ht="15" hidden="false" customHeight="false" outlineLevel="0" collapsed="false">
      <c r="A8" s="0" t="s">
        <v>53</v>
      </c>
      <c r="B8" s="8" t="n">
        <v>6</v>
      </c>
    </row>
    <row r="9" customFormat="false" ht="15" hidden="false" customHeight="false" outlineLevel="0" collapsed="false">
      <c r="A9" s="0" t="s">
        <v>54</v>
      </c>
      <c r="B9" s="20" t="n">
        <v>0.082</v>
      </c>
      <c r="C9" s="2" t="s">
        <v>55</v>
      </c>
    </row>
    <row r="10" customFormat="false" ht="15" hidden="false" customHeight="false" outlineLevel="0" collapsed="false">
      <c r="A10" s="0" t="s">
        <v>56</v>
      </c>
      <c r="B10" s="21" t="n">
        <v>1.62</v>
      </c>
      <c r="C10" s="2" t="s">
        <v>57</v>
      </c>
    </row>
    <row r="11" customFormat="false" ht="15" hidden="false" customHeight="false" outlineLevel="0" collapsed="false">
      <c r="A11" s="0" t="s">
        <v>58</v>
      </c>
      <c r="B11" s="19" t="n">
        <v>0.091</v>
      </c>
    </row>
    <row r="12" customFormat="false" ht="15" hidden="false" customHeight="false" outlineLevel="0" collapsed="false">
      <c r="A12" s="0" t="s">
        <v>59</v>
      </c>
      <c r="B12" s="20" t="n">
        <v>0.0665</v>
      </c>
      <c r="C12" s="2" t="s">
        <v>60</v>
      </c>
    </row>
    <row r="13" customFormat="false" ht="15" hidden="false" customHeight="false" outlineLevel="0" collapsed="false">
      <c r="A13" s="0" t="s">
        <v>61</v>
      </c>
      <c r="B13" s="19" t="n">
        <v>0.03</v>
      </c>
      <c r="C13" s="2" t="s">
        <v>62</v>
      </c>
    </row>
    <row r="14" customFormat="false" ht="15" hidden="false" customHeight="false" outlineLevel="0" collapsed="false">
      <c r="A14" s="0" t="s">
        <v>63</v>
      </c>
      <c r="B14" s="22" t="n">
        <v>2.4</v>
      </c>
      <c r="C14" s="2" t="s">
        <v>64</v>
      </c>
    </row>
    <row r="15" customFormat="false" ht="15" hidden="false" customHeight="false" outlineLevel="0" collapsed="false">
      <c r="A15" s="0" t="s">
        <v>65</v>
      </c>
      <c r="B15" s="19" t="n">
        <v>0.082</v>
      </c>
      <c r="C15" s="2" t="s">
        <v>66</v>
      </c>
    </row>
    <row r="16" customFormat="false" ht="15" hidden="false" customHeight="false" outlineLevel="0" collapsed="false">
      <c r="A16" s="0" t="s">
        <v>67</v>
      </c>
      <c r="B16" s="19" t="n">
        <v>0.75</v>
      </c>
    </row>
    <row r="17" customFormat="false" ht="15" hidden="false" customHeight="false" outlineLevel="0" collapsed="false">
      <c r="A17" s="0" t="s">
        <v>68</v>
      </c>
      <c r="B17" s="19" t="n">
        <v>0.796</v>
      </c>
      <c r="C17" s="2" t="s">
        <v>69</v>
      </c>
    </row>
    <row r="18" customFormat="false" ht="15" hidden="false" customHeight="false" outlineLevel="0" collapsed="false">
      <c r="A18" s="0" t="s">
        <v>70</v>
      </c>
      <c r="B18" s="19" t="n">
        <v>0.93</v>
      </c>
      <c r="C18" s="2" t="s">
        <v>71</v>
      </c>
    </row>
    <row r="19" customFormat="false" ht="15" hidden="false" customHeight="false" outlineLevel="0" collapsed="false">
      <c r="A19" s="0" t="s">
        <v>72</v>
      </c>
      <c r="B19" s="19" t="n">
        <v>0.072</v>
      </c>
    </row>
    <row r="20" customFormat="false" ht="15" hidden="false" customHeight="false" outlineLevel="0" collapsed="false">
      <c r="A20" s="0" t="s">
        <v>73</v>
      </c>
      <c r="B20" s="19" t="n">
        <v>0.021</v>
      </c>
    </row>
    <row r="21" customFormat="false" ht="15" hidden="false" customHeight="false" outlineLevel="0" collapsed="false">
      <c r="A21" s="0" t="s">
        <v>74</v>
      </c>
      <c r="B21" s="19" t="n">
        <v>0.44</v>
      </c>
    </row>
    <row r="22" customFormat="false" ht="15" hidden="false" customHeight="false" outlineLevel="0" collapsed="false">
      <c r="A22" s="0" t="s">
        <v>75</v>
      </c>
      <c r="B22" s="19" t="n">
        <v>0.013</v>
      </c>
    </row>
    <row r="23" customFormat="false" ht="15" hidden="false" customHeight="false" outlineLevel="0" collapsed="false">
      <c r="A23" s="0" t="s">
        <v>76</v>
      </c>
      <c r="B23" s="13" t="n">
        <v>3.42</v>
      </c>
    </row>
    <row r="24" customFormat="false" ht="15" hidden="false" customHeight="false" outlineLevel="0" collapsed="false">
      <c r="A24" s="0" t="s">
        <v>77</v>
      </c>
      <c r="B24" s="23" t="n">
        <v>102000</v>
      </c>
      <c r="C24" s="2" t="s">
        <v>78</v>
      </c>
    </row>
    <row r="25" customFormat="false" ht="15" hidden="false" customHeight="false" outlineLevel="0" collapsed="false">
      <c r="A25" s="0" t="s">
        <v>79</v>
      </c>
      <c r="B25" s="23" t="n">
        <v>9400</v>
      </c>
    </row>
    <row r="26" customFormat="false" ht="15" hidden="false" customHeight="false" outlineLevel="0" collapsed="false">
      <c r="A26" s="0" t="s">
        <v>80</v>
      </c>
      <c r="B26" s="24" t="n">
        <v>0.0145</v>
      </c>
      <c r="C26" s="2" t="s">
        <v>81</v>
      </c>
    </row>
    <row r="27" customFormat="false" ht="15" hidden="false" customHeight="false" outlineLevel="0" collapsed="false">
      <c r="A27" s="0" t="s">
        <v>82</v>
      </c>
      <c r="B27" s="13" t="n">
        <v>1.34</v>
      </c>
    </row>
    <row r="28" customFormat="false" ht="15" hidden="false" customHeight="false" outlineLevel="0" collapsed="false">
      <c r="A28" s="0" t="s">
        <v>83</v>
      </c>
      <c r="B28" s="13" t="n">
        <v>0.71</v>
      </c>
    </row>
    <row r="29" customFormat="false" ht="15" hidden="false" customHeight="false" outlineLevel="0" collapsed="false">
      <c r="A29" s="0" t="s">
        <v>84</v>
      </c>
      <c r="B29" s="13" t="n">
        <v>0.31</v>
      </c>
    </row>
    <row r="30" customFormat="false" ht="15" hidden="false" customHeight="false" outlineLevel="0" collapsed="false">
      <c r="A30" s="0" t="s">
        <v>85</v>
      </c>
      <c r="B30" s="13" t="n">
        <v>0.55</v>
      </c>
    </row>
    <row r="31" customFormat="false" ht="15" hidden="false" customHeight="false" outlineLevel="0" collapsed="false">
      <c r="A31" s="0" t="s">
        <v>86</v>
      </c>
      <c r="B31" s="25" t="n">
        <v>126.236035083467</v>
      </c>
      <c r="C31" s="2" t="s">
        <v>87</v>
      </c>
    </row>
    <row r="32" customFormat="false" ht="15" hidden="false" customHeight="false" outlineLevel="0" collapsed="false">
      <c r="A32" s="0" t="s">
        <v>88</v>
      </c>
      <c r="B32" s="19" t="n">
        <v>0.055</v>
      </c>
    </row>
    <row r="33" customFormat="false" ht="15" hidden="false" customHeight="false" outlineLevel="0" collapsed="false">
      <c r="A33" s="0" t="s">
        <v>89</v>
      </c>
      <c r="B33" s="19" t="n">
        <v>0.019</v>
      </c>
    </row>
    <row r="34" customFormat="false" ht="15" hidden="false" customHeight="false" outlineLevel="0" collapsed="false">
      <c r="A34" s="0" t="s">
        <v>90</v>
      </c>
      <c r="B34" s="13" t="n">
        <v>0.42</v>
      </c>
    </row>
    <row r="35" customFormat="false" ht="15" hidden="false" customHeight="false" outlineLevel="0" collapsed="false">
      <c r="A35" s="0" t="s">
        <v>91</v>
      </c>
      <c r="B35" s="8" t="n">
        <v>12</v>
      </c>
    </row>
    <row r="36" customFormat="false" ht="15" hidden="false" customHeight="false" outlineLevel="0" collapsed="false">
      <c r="A36" s="0" t="s">
        <v>92</v>
      </c>
      <c r="B36" s="13" t="n">
        <v>6.8</v>
      </c>
    </row>
    <row r="37" customFormat="false" ht="15" hidden="false" customHeight="false" outlineLevel="0" collapsed="false">
      <c r="A37" s="0" t="s">
        <v>93</v>
      </c>
      <c r="B37" s="8" t="n">
        <v>4</v>
      </c>
    </row>
    <row r="38" customFormat="false" ht="15" hidden="false" customHeight="false" outlineLevel="0" collapsed="false">
      <c r="A38" s="0" t="s">
        <v>94</v>
      </c>
      <c r="B38" s="24" t="n">
        <v>0.0605</v>
      </c>
    </row>
    <row r="39" customFormat="false" ht="15" hidden="false" customHeight="false" outlineLevel="0" collapsed="false">
      <c r="A39" s="0" t="s">
        <v>95</v>
      </c>
      <c r="B39" s="26" t="n">
        <v>0.0655</v>
      </c>
      <c r="C39" s="2" t="s">
        <v>96</v>
      </c>
    </row>
    <row r="40" customFormat="false" ht="15" hidden="false" customHeight="false" outlineLevel="0" collapsed="false">
      <c r="A40" s="0" t="s">
        <v>97</v>
      </c>
      <c r="B40" s="24" t="n">
        <v>0.0845</v>
      </c>
    </row>
    <row r="41" customFormat="false" ht="15" hidden="false" customHeight="false" outlineLevel="0" collapsed="false">
      <c r="A41" s="0" t="s">
        <v>98</v>
      </c>
      <c r="B41" s="24" t="n">
        <v>0.029</v>
      </c>
    </row>
    <row r="42" customFormat="false" ht="15" hidden="false" customHeight="false" outlineLevel="0" collapsed="false">
      <c r="A42" s="0" t="s">
        <v>99</v>
      </c>
      <c r="B42" s="24" t="n">
        <v>0.031</v>
      </c>
    </row>
    <row r="43" customFormat="false" ht="15" hidden="false" customHeight="false" outlineLevel="0" collapsed="false">
      <c r="A43" s="0" t="s">
        <v>100</v>
      </c>
      <c r="B43" s="19" t="n">
        <v>0.066</v>
      </c>
    </row>
    <row r="44" customFormat="false" ht="15" hidden="false" customHeight="false" outlineLevel="0" collapsed="false">
      <c r="A44" s="0" t="s">
        <v>101</v>
      </c>
      <c r="B44" s="19" t="n">
        <v>0.012</v>
      </c>
    </row>
    <row r="45" customFormat="false" ht="15" hidden="false" customHeight="false" outlineLevel="0" collapsed="false">
      <c r="A45" s="0" t="s">
        <v>102</v>
      </c>
      <c r="B45" s="8" t="n">
        <v>10</v>
      </c>
    </row>
    <row r="46" customFormat="false" ht="15" hidden="false" customHeight="false" outlineLevel="0" collapsed="false">
      <c r="A46" s="0" t="s">
        <v>103</v>
      </c>
      <c r="B46" s="27" t="n">
        <v>14</v>
      </c>
      <c r="C46" s="2" t="s">
        <v>104</v>
      </c>
    </row>
    <row r="47" customFormat="false" ht="15" hidden="false" customHeight="false" outlineLevel="0" collapsed="false">
      <c r="A47" s="0" t="s">
        <v>105</v>
      </c>
      <c r="B47" s="24" t="n">
        <v>0.0415</v>
      </c>
      <c r="C47" s="2" t="s">
        <v>106</v>
      </c>
    </row>
    <row r="48" customFormat="false" ht="15" hidden="false" customHeight="false" outlineLevel="0" collapsed="false">
      <c r="A48" s="0" t="s">
        <v>107</v>
      </c>
      <c r="B48" s="24" t="n">
        <v>0.0275</v>
      </c>
    </row>
    <row r="49" customFormat="false" ht="15" hidden="false" customHeight="false" outlineLevel="0" collapsed="false">
      <c r="A49" s="0" t="s">
        <v>108</v>
      </c>
      <c r="B49" s="28" t="n">
        <v>0.6</v>
      </c>
    </row>
    <row r="50" customFormat="false" ht="15" hidden="false" customHeight="false" outlineLevel="0" collapsed="false">
      <c r="A50" s="0" t="s">
        <v>109</v>
      </c>
      <c r="B50" s="29" t="n">
        <v>1.9</v>
      </c>
    </row>
    <row r="51" customFormat="false" ht="15" hidden="false" customHeight="false" outlineLevel="0" collapsed="false">
      <c r="A51" s="0" t="s">
        <v>110</v>
      </c>
      <c r="B51" s="29" t="n">
        <v>1.35</v>
      </c>
    </row>
    <row r="52" customFormat="false" ht="15" hidden="false" customHeight="false" outlineLevel="0" collapsed="false">
      <c r="A52" s="0" t="s">
        <v>111</v>
      </c>
      <c r="B52" s="19" t="n">
        <v>0.015</v>
      </c>
    </row>
    <row r="53" customFormat="false" ht="15" hidden="false" customHeight="false" outlineLevel="0" collapsed="false">
      <c r="A53" s="0" t="s">
        <v>112</v>
      </c>
      <c r="B53" s="19" t="n">
        <v>0.08</v>
      </c>
      <c r="C53" s="2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5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16.15" hidden="false" customHeight="false" outlineLevel="0" collapsed="false">
      <c r="A1" s="5" t="s">
        <v>114</v>
      </c>
    </row>
    <row r="2" customFormat="false" ht="85.05" hidden="false" customHeight="false" outlineLevel="0" collapsed="false">
      <c r="A2" s="6" t="s">
        <v>115</v>
      </c>
      <c r="F2" s="2" t="s">
        <v>116</v>
      </c>
    </row>
    <row r="4" customFormat="false" ht="28.35" hidden="false" customHeight="false" outlineLevel="0" collapsed="false">
      <c r="A4" s="7" t="s">
        <v>117</v>
      </c>
      <c r="B4" s="7" t="s">
        <v>118</v>
      </c>
      <c r="C4" s="7" t="s">
        <v>119</v>
      </c>
      <c r="D4" s="7" t="s">
        <v>120</v>
      </c>
      <c r="E4" s="7" t="s">
        <v>121</v>
      </c>
      <c r="F4" s="30" t="s">
        <v>122</v>
      </c>
    </row>
    <row r="5" customFormat="false" ht="15" hidden="false" customHeight="false" outlineLevel="0" collapsed="false">
      <c r="A5" s="0" t="n">
        <v>0</v>
      </c>
      <c r="B5" s="17" t="n">
        <f aca="false">'3. Assumptions'!$B$11</f>
        <v>0.091</v>
      </c>
      <c r="C5" s="17" t="n">
        <v>1</v>
      </c>
      <c r="D5" s="11" t="n">
        <f aca="false">IF(A5&lt;'3. Assumptions'!$B$7,0,1+INT((A5-'3. Assumptions'!$B$7)/'3. Assumptions'!$B$8))</f>
        <v>0</v>
      </c>
      <c r="E5" s="17" t="n">
        <f aca="false">MIN((1+'3. Assumptions'!$B$9)^D5,'3. Assumptions'!$B$10)-1</f>
        <v>0</v>
      </c>
      <c r="F5" s="31" t="n">
        <f aca="false">'7. The customer'!$B$4*'5. The rent roll'!D5*'7. The customer'!$B$11+F6*C6/C5/(1+'7. The customer'!$B$6)</f>
        <v>2188.19509266742</v>
      </c>
    </row>
    <row r="6" customFormat="false" ht="15" hidden="false" customHeight="false" outlineLevel="0" collapsed="false">
      <c r="A6" s="0" t="n">
        <v>1</v>
      </c>
      <c r="B6" s="17" t="n">
        <f aca="false">'3. Assumptions'!$B$12+IF(AND(A6&gt;='3. Assumptions'!$B$7,MOD(A6-'3. Assumptions'!$B$7,'3. Assumptions'!$B$8)=0),MIN('3. Assumptions'!$B$16,'3. Assumptions'!$B$13*('3. Assumptions'!$B$9/'3. Assumptions'!$B$15)^'3. Assumptions'!$B$14),0)</f>
        <v>0.0665</v>
      </c>
      <c r="C6" s="17" t="n">
        <f aca="false">C5*(1-B5)</f>
        <v>0.909</v>
      </c>
      <c r="D6" s="11" t="n">
        <f aca="false">IF(A6&lt;'3. Assumptions'!$B$7,0,1+INT((A6-'3. Assumptions'!$B$7)/'3. Assumptions'!$B$8))</f>
        <v>0</v>
      </c>
      <c r="E6" s="17" t="n">
        <f aca="false">MIN((1+'3. Assumptions'!$B$9)^D6,'3. Assumptions'!$B$10)-1</f>
        <v>0</v>
      </c>
      <c r="F6" s="31" t="n">
        <f aca="false">'7. The customer'!$B$4*'5. The rent roll'!D6*'7. The customer'!$B$11+F7*C7/C6/(1+'7. The customer'!$B$6)</f>
        <v>2335.21277587965</v>
      </c>
    </row>
    <row r="7" customFormat="false" ht="15" hidden="false" customHeight="false" outlineLevel="0" collapsed="false">
      <c r="A7" s="0" t="n">
        <v>2</v>
      </c>
      <c r="B7" s="17" t="n">
        <f aca="false">'3. Assumptions'!$B$12+IF(AND(A7&gt;='3. Assumptions'!$B$7,MOD(A7-'3. Assumptions'!$B$7,'3. Assumptions'!$B$8)=0),MIN('3. Assumptions'!$B$16,'3. Assumptions'!$B$13*('3. Assumptions'!$B$9/'3. Assumptions'!$B$15)^'3. Assumptions'!$B$14),0)</f>
        <v>0.0665</v>
      </c>
      <c r="C7" s="17" t="n">
        <f aca="false">C6*(1-B6)</f>
        <v>0.8485515</v>
      </c>
      <c r="D7" s="11" t="n">
        <f aca="false">IF(A7&lt;'3. Assumptions'!$B$7,0,1+INT((A7-'3. Assumptions'!$B$7)/'3. Assumptions'!$B$8))</f>
        <v>0</v>
      </c>
      <c r="E7" s="17" t="n">
        <f aca="false">MIN((1+'3. Assumptions'!$B$9)^D7,'3. Assumptions'!$B$10)-1</f>
        <v>0</v>
      </c>
      <c r="F7" s="31" t="n">
        <f aca="false">'7. The customer'!$B$4*'5. The rent roll'!D7*'7. The customer'!$B$11+F8*C8/C7/(1+'7. The customer'!$B$6)</f>
        <v>2419.24479049211</v>
      </c>
    </row>
    <row r="8" customFormat="false" ht="15" hidden="false" customHeight="false" outlineLevel="0" collapsed="false">
      <c r="A8" s="0" t="n">
        <v>3</v>
      </c>
      <c r="B8" s="17" t="n">
        <f aca="false">'3. Assumptions'!$B$12+IF(AND(A8&gt;='3. Assumptions'!$B$7,MOD(A8-'3. Assumptions'!$B$7,'3. Assumptions'!$B$8)=0),MIN('3. Assumptions'!$B$16,'3. Assumptions'!$B$13*('3. Assumptions'!$B$9/'3. Assumptions'!$B$15)^'3. Assumptions'!$B$14),0)</f>
        <v>0.0665</v>
      </c>
      <c r="C8" s="17" t="n">
        <f aca="false">C7*(1-B7)</f>
        <v>0.79212282525</v>
      </c>
      <c r="D8" s="11" t="n">
        <f aca="false">IF(A8&lt;'3. Assumptions'!$B$7,0,1+INT((A8-'3. Assumptions'!$B$7)/'3. Assumptions'!$B$8))</f>
        <v>0</v>
      </c>
      <c r="E8" s="17" t="n">
        <f aca="false">MIN((1+'3. Assumptions'!$B$9)^D8,'3. Assumptions'!$B$10)-1</f>
        <v>0</v>
      </c>
      <c r="F8" s="31" t="n">
        <f aca="false">'7. The customer'!$B$4*'5. The rent roll'!D8*'7. The customer'!$B$11+F9*C9/C8/(1+'7. The customer'!$B$6)</f>
        <v>2437.06102330825</v>
      </c>
    </row>
    <row r="9" customFormat="false" ht="15" hidden="false" customHeight="false" outlineLevel="0" collapsed="false">
      <c r="A9" s="0" t="n">
        <v>4</v>
      </c>
      <c r="B9" s="17" t="n">
        <f aca="false">'3. Assumptions'!$B$12+IF(AND(A9&gt;='3. Assumptions'!$B$7,MOD(A9-'3. Assumptions'!$B$7,'3. Assumptions'!$B$8)=0),MIN('3. Assumptions'!$B$16,'3. Assumptions'!$B$13*('3. Assumptions'!$B$9/'3. Assumptions'!$B$15)^'3. Assumptions'!$B$14),0)</f>
        <v>0.0665</v>
      </c>
      <c r="C9" s="17" t="n">
        <f aca="false">C8*(1-B8)</f>
        <v>0.739446657370875</v>
      </c>
      <c r="D9" s="11" t="n">
        <f aca="false">IF(A9&lt;'3. Assumptions'!$B$7,0,1+INT((A9-'3. Assumptions'!$B$7)/'3. Assumptions'!$B$8))</f>
        <v>0</v>
      </c>
      <c r="E9" s="17" t="n">
        <f aca="false">MIN((1+'3. Assumptions'!$B$9)^D9,'3. Assumptions'!$B$10)-1</f>
        <v>0</v>
      </c>
      <c r="F9" s="31" t="n">
        <f aca="false">'7. The customer'!$B$4*'5. The rent roll'!D9*'7. The customer'!$B$11+F10*C10/C9/(1+'7. The customer'!$B$6)</f>
        <v>2456.27588900752</v>
      </c>
    </row>
    <row r="10" customFormat="false" ht="15" hidden="false" customHeight="false" outlineLevel="0" collapsed="false">
      <c r="A10" s="0" t="n">
        <v>5</v>
      </c>
      <c r="B10" s="17" t="n">
        <f aca="false">'3. Assumptions'!$B$12+IF(AND(A10&gt;='3. Assumptions'!$B$7,MOD(A10-'3. Assumptions'!$B$7,'3. Assumptions'!$B$8)=0),MIN('3. Assumptions'!$B$16,'3. Assumptions'!$B$13*('3. Assumptions'!$B$9/'3. Assumptions'!$B$15)^'3. Assumptions'!$B$14),0)</f>
        <v>0.0965</v>
      </c>
      <c r="C10" s="17" t="n">
        <f aca="false">C9*(1-B9)</f>
        <v>0.690273454655712</v>
      </c>
      <c r="D10" s="11" t="n">
        <f aca="false">IF(A10&lt;'3. Assumptions'!$B$7,0,1+INT((A10-'3. Assumptions'!$B$7)/'3. Assumptions'!$B$8))</f>
        <v>1</v>
      </c>
      <c r="E10" s="17" t="n">
        <f aca="false">MIN((1+'3. Assumptions'!$B$9)^D10,'3. Assumptions'!$B$10)-1</f>
        <v>0.0820000000000001</v>
      </c>
      <c r="F10" s="31" t="n">
        <f aca="false">'7. The customer'!$B$4*'5. The rent roll'!D10*'7. The customer'!$B$11+F11*C11/C10/(1+'7. The customer'!$B$6)</f>
        <v>2476.99918487208</v>
      </c>
    </row>
    <row r="11" customFormat="false" ht="15" hidden="false" customHeight="false" outlineLevel="0" collapsed="false">
      <c r="A11" s="0" t="n">
        <v>6</v>
      </c>
      <c r="B11" s="17" t="n">
        <f aca="false">'3. Assumptions'!$B$12+IF(AND(A11&gt;='3. Assumptions'!$B$7,MOD(A11-'3. Assumptions'!$B$7,'3. Assumptions'!$B$8)=0),MIN('3. Assumptions'!$B$16,'3. Assumptions'!$B$13*('3. Assumptions'!$B$9/'3. Assumptions'!$B$15)^'3. Assumptions'!$B$14),0)</f>
        <v>0.0665</v>
      </c>
      <c r="C11" s="17" t="n">
        <f aca="false">C10*(1-B10)</f>
        <v>0.623662066281436</v>
      </c>
      <c r="D11" s="11" t="n">
        <f aca="false">IF(A11&lt;'3. Assumptions'!$B$7,0,1+INT((A11-'3. Assumptions'!$B$7)/'3. Assumptions'!$B$8))</f>
        <v>1</v>
      </c>
      <c r="E11" s="17" t="n">
        <f aca="false">MIN((1+'3. Assumptions'!$B$9)^D11,'3. Assumptions'!$B$10)-1</f>
        <v>0.0820000000000001</v>
      </c>
      <c r="F11" s="31" t="n">
        <f aca="false">'7. The customer'!$B$4*'5. The rent roll'!D11*'7. The customer'!$B$11+F12*C12/C11/(1+'7. The customer'!$B$6)</f>
        <v>2567.75724600017</v>
      </c>
    </row>
    <row r="12" customFormat="false" ht="15" hidden="false" customHeight="false" outlineLevel="0" collapsed="false">
      <c r="A12" s="0" t="n">
        <v>7</v>
      </c>
      <c r="B12" s="17" t="n">
        <f aca="false">'3. Assumptions'!$B$12+IF(AND(A12&gt;='3. Assumptions'!$B$7,MOD(A12-'3. Assumptions'!$B$7,'3. Assumptions'!$B$8)=0),MIN('3. Assumptions'!$B$16,'3. Assumptions'!$B$13*('3. Assumptions'!$B$9/'3. Assumptions'!$B$15)^'3. Assumptions'!$B$14),0)</f>
        <v>0.0665</v>
      </c>
      <c r="C12" s="17" t="n">
        <f aca="false">C11*(1-B11)</f>
        <v>0.58218853887372</v>
      </c>
      <c r="D12" s="11" t="n">
        <f aca="false">IF(A12&lt;'3. Assumptions'!$B$7,0,1+INT((A12-'3. Assumptions'!$B$7)/'3. Assumptions'!$B$8))</f>
        <v>1</v>
      </c>
      <c r="E12" s="17" t="n">
        <f aca="false">MIN((1+'3. Assumptions'!$B$9)^D12,'3. Assumptions'!$B$10)-1</f>
        <v>0.0820000000000001</v>
      </c>
      <c r="F12" s="31" t="n">
        <f aca="false">'7. The customer'!$B$4*'5. The rent roll'!D12*'7. The customer'!$B$11+F13*C13/C12/(1+'7. The customer'!$B$6)</f>
        <v>2583.11979491373</v>
      </c>
    </row>
    <row r="13" customFormat="false" ht="15" hidden="false" customHeight="false" outlineLevel="0" collapsed="false">
      <c r="A13" s="0" t="n">
        <v>8</v>
      </c>
      <c r="B13" s="17" t="n">
        <f aca="false">'3. Assumptions'!$B$12+IF(AND(A13&gt;='3. Assumptions'!$B$7,MOD(A13-'3. Assumptions'!$B$7,'3. Assumptions'!$B$8)=0),MIN('3. Assumptions'!$B$16,'3. Assumptions'!$B$13*('3. Assumptions'!$B$9/'3. Assumptions'!$B$15)^'3. Assumptions'!$B$14),0)</f>
        <v>0.0665</v>
      </c>
      <c r="C13" s="17" t="n">
        <f aca="false">C12*(1-B12)</f>
        <v>0.543473001038618</v>
      </c>
      <c r="D13" s="11" t="n">
        <f aca="false">IF(A13&lt;'3. Assumptions'!$B$7,0,1+INT((A13-'3. Assumptions'!$B$7)/'3. Assumptions'!$B$8))</f>
        <v>1</v>
      </c>
      <c r="E13" s="17" t="n">
        <f aca="false">MIN((1+'3. Assumptions'!$B$9)^D13,'3. Assumptions'!$B$10)-1</f>
        <v>0.0820000000000001</v>
      </c>
      <c r="F13" s="31" t="n">
        <f aca="false">'7. The customer'!$B$4*'5. The rent roll'!D13*'7. The customer'!$B$11+F14*C14/C13/(1+'7. The customer'!$B$6)</f>
        <v>2599.68835445258</v>
      </c>
    </row>
    <row r="14" customFormat="false" ht="15" hidden="false" customHeight="false" outlineLevel="0" collapsed="false">
      <c r="A14" s="0" t="n">
        <v>9</v>
      </c>
      <c r="B14" s="17" t="n">
        <f aca="false">'3. Assumptions'!$B$12+IF(AND(A14&gt;='3. Assumptions'!$B$7,MOD(A14-'3. Assumptions'!$B$7,'3. Assumptions'!$B$8)=0),MIN('3. Assumptions'!$B$16,'3. Assumptions'!$B$13*('3. Assumptions'!$B$9/'3. Assumptions'!$B$15)^'3. Assumptions'!$B$14),0)</f>
        <v>0.0665</v>
      </c>
      <c r="C14" s="17" t="n">
        <f aca="false">C13*(1-B13)</f>
        <v>0.50733204646955</v>
      </c>
      <c r="D14" s="11" t="n">
        <f aca="false">IF(A14&lt;'3. Assumptions'!$B$7,0,1+INT((A14-'3. Assumptions'!$B$7)/'3. Assumptions'!$B$8))</f>
        <v>1</v>
      </c>
      <c r="E14" s="17" t="n">
        <f aca="false">MIN((1+'3. Assumptions'!$B$9)^D14,'3. Assumptions'!$B$10)-1</f>
        <v>0.0820000000000001</v>
      </c>
      <c r="F14" s="31" t="n">
        <f aca="false">'7. The customer'!$B$4*'5. The rent roll'!D14*'7. The customer'!$B$11+F15*C15/C14/(1+'7. The customer'!$B$6)</f>
        <v>2617.55760041803</v>
      </c>
    </row>
    <row r="15" customFormat="false" ht="15" hidden="false" customHeight="false" outlineLevel="0" collapsed="false">
      <c r="A15" s="0" t="n">
        <v>10</v>
      </c>
      <c r="B15" s="17" t="n">
        <f aca="false">'3. Assumptions'!$B$12+IF(AND(A15&gt;='3. Assumptions'!$B$7,MOD(A15-'3. Assumptions'!$B$7,'3. Assumptions'!$B$8)=0),MIN('3. Assumptions'!$B$16,'3. Assumptions'!$B$13*('3. Assumptions'!$B$9/'3. Assumptions'!$B$15)^'3. Assumptions'!$B$14),0)</f>
        <v>0.0665</v>
      </c>
      <c r="C15" s="17" t="n">
        <f aca="false">C14*(1-B14)</f>
        <v>0.473594465379325</v>
      </c>
      <c r="D15" s="11" t="n">
        <f aca="false">IF(A15&lt;'3. Assumptions'!$B$7,0,1+INT((A15-'3. Assumptions'!$B$7)/'3. Assumptions'!$B$8))</f>
        <v>1</v>
      </c>
      <c r="E15" s="17" t="n">
        <f aca="false">MIN((1+'3. Assumptions'!$B$9)^D15,'3. Assumptions'!$B$10)-1</f>
        <v>0.0820000000000001</v>
      </c>
      <c r="F15" s="31" t="n">
        <f aca="false">'7. The customer'!$B$4*'5. The rent roll'!D15*'7. The customer'!$B$11+F16*C16/C15/(1+'7. The customer'!$B$6)</f>
        <v>2636.82964097321</v>
      </c>
    </row>
    <row r="16" customFormat="false" ht="15" hidden="false" customHeight="false" outlineLevel="0" collapsed="false">
      <c r="A16" s="0" t="n">
        <v>11</v>
      </c>
      <c r="B16" s="17" t="n">
        <f aca="false">'3. Assumptions'!$B$12+IF(AND(A16&gt;='3. Assumptions'!$B$7,MOD(A16-'3. Assumptions'!$B$7,'3. Assumptions'!$B$8)=0),MIN('3. Assumptions'!$B$16,'3. Assumptions'!$B$13*('3. Assumptions'!$B$9/'3. Assumptions'!$B$15)^'3. Assumptions'!$B$14),0)</f>
        <v>0.0965</v>
      </c>
      <c r="C16" s="17" t="n">
        <f aca="false">C15*(1-B15)</f>
        <v>0.4421004334316</v>
      </c>
      <c r="D16" s="11" t="n">
        <f aca="false">IF(A16&lt;'3. Assumptions'!$B$7,0,1+INT((A16-'3. Assumptions'!$B$7)/'3. Assumptions'!$B$8))</f>
        <v>2</v>
      </c>
      <c r="E16" s="17" t="n">
        <f aca="false">MIN((1+'3. Assumptions'!$B$9)^D16,'3. Assumptions'!$B$10)-1</f>
        <v>0.170724</v>
      </c>
      <c r="F16" s="31" t="n">
        <f aca="false">'7. The customer'!$B$4*'5. The rent roll'!D16*'7. The customer'!$B$11+F17*C17/C16/(1+'7. The customer'!$B$6)</f>
        <v>2657.61460010794</v>
      </c>
    </row>
    <row r="17" customFormat="false" ht="15" hidden="false" customHeight="false" outlineLevel="0" collapsed="false">
      <c r="A17" s="0" t="n">
        <v>12</v>
      </c>
      <c r="B17" s="17" t="n">
        <f aca="false">'3. Assumptions'!$B$12+IF(AND(A17&gt;='3. Assumptions'!$B$7,MOD(A17-'3. Assumptions'!$B$7,'3. Assumptions'!$B$8)=0),MIN('3. Assumptions'!$B$16,'3. Assumptions'!$B$13*('3. Assumptions'!$B$9/'3. Assumptions'!$B$15)^'3. Assumptions'!$B$14),0)</f>
        <v>0.0665</v>
      </c>
      <c r="C17" s="17" t="n">
        <f aca="false">C16*(1-B16)</f>
        <v>0.39943774160545</v>
      </c>
      <c r="D17" s="11" t="n">
        <f aca="false">IF(A17&lt;'3. Assumptions'!$B$7,0,1+INT((A17-'3. Assumptions'!$B$7)/'3. Assumptions'!$B$8))</f>
        <v>2</v>
      </c>
      <c r="E17" s="17" t="n">
        <f aca="false">MIN((1+'3. Assumptions'!$B$9)^D17,'3. Assumptions'!$B$10)-1</f>
        <v>0.170724</v>
      </c>
      <c r="F17" s="31" t="n">
        <f aca="false">'7. The customer'!$B$4*'5. The rent roll'!D17*'7. The customer'!$B$11+F18*C18/C17/(1+'7. The customer'!$B$6)</f>
        <v>2753.24292363817</v>
      </c>
    </row>
    <row r="18" customFormat="false" ht="15" hidden="false" customHeight="false" outlineLevel="0" collapsed="false">
      <c r="A18" s="0" t="n">
        <v>13</v>
      </c>
      <c r="B18" s="17" t="n">
        <f aca="false">'3. Assumptions'!$B$12+IF(AND(A18&gt;='3. Assumptions'!$B$7,MOD(A18-'3. Assumptions'!$B$7,'3. Assumptions'!$B$8)=0),MIN('3. Assumptions'!$B$16,'3. Assumptions'!$B$13*('3. Assumptions'!$B$9/'3. Assumptions'!$B$15)^'3. Assumptions'!$B$14),0)</f>
        <v>0.0665</v>
      </c>
      <c r="C18" s="17" t="n">
        <f aca="false">C17*(1-B17)</f>
        <v>0.372875131788688</v>
      </c>
      <c r="D18" s="11" t="n">
        <f aca="false">IF(A18&lt;'3. Assumptions'!$B$7,0,1+INT((A18-'3. Assumptions'!$B$7)/'3. Assumptions'!$B$8))</f>
        <v>2</v>
      </c>
      <c r="E18" s="17" t="n">
        <f aca="false">MIN((1+'3. Assumptions'!$B$9)^D18,'3. Assumptions'!$B$10)-1</f>
        <v>0.170724</v>
      </c>
      <c r="F18" s="31" t="n">
        <f aca="false">'7. The customer'!$B$4*'5. The rent roll'!D18*'7. The customer'!$B$11+F19*C19/C18/(1+'7. The customer'!$B$6)</f>
        <v>2767.89709139481</v>
      </c>
    </row>
    <row r="19" customFormat="false" ht="15" hidden="false" customHeight="false" outlineLevel="0" collapsed="false">
      <c r="A19" s="0" t="n">
        <v>14</v>
      </c>
      <c r="B19" s="17" t="n">
        <f aca="false">'3. Assumptions'!$B$12+IF(AND(A19&gt;='3. Assumptions'!$B$7,MOD(A19-'3. Assumptions'!$B$7,'3. Assumptions'!$B$8)=0),MIN('3. Assumptions'!$B$16,'3. Assumptions'!$B$13*('3. Assumptions'!$B$9/'3. Assumptions'!$B$15)^'3. Assumptions'!$B$14),0)</f>
        <v>0.0665</v>
      </c>
      <c r="C19" s="17" t="n">
        <f aca="false">C18*(1-B18)</f>
        <v>0.34807893552474</v>
      </c>
      <c r="D19" s="11" t="n">
        <f aca="false">IF(A19&lt;'3. Assumptions'!$B$7,0,1+INT((A19-'3. Assumptions'!$B$7)/'3. Assumptions'!$B$8))</f>
        <v>2</v>
      </c>
      <c r="E19" s="17" t="n">
        <f aca="false">MIN((1+'3. Assumptions'!$B$9)^D19,'3. Assumptions'!$B$10)-1</f>
        <v>0.170724</v>
      </c>
      <c r="F19" s="31" t="n">
        <f aca="false">'7. The customer'!$B$4*'5. The rent roll'!D19*'7. The customer'!$B$11+F20*C20/C19/(1+'7. The customer'!$B$6)</f>
        <v>2783.70165952569</v>
      </c>
    </row>
    <row r="20" customFormat="false" ht="15" hidden="false" customHeight="false" outlineLevel="0" collapsed="false">
      <c r="A20" s="0" t="n">
        <v>15</v>
      </c>
      <c r="B20" s="17" t="n">
        <f aca="false">'3. Assumptions'!$B$12+IF(AND(A20&gt;='3. Assumptions'!$B$7,MOD(A20-'3. Assumptions'!$B$7,'3. Assumptions'!$B$8)=0),MIN('3. Assumptions'!$B$16,'3. Assumptions'!$B$13*('3. Assumptions'!$B$9/'3. Assumptions'!$B$15)^'3. Assumptions'!$B$14),0)</f>
        <v>0.0665</v>
      </c>
      <c r="C20" s="17" t="n">
        <f aca="false">C19*(1-B19)</f>
        <v>0.324931686312345</v>
      </c>
      <c r="D20" s="11" t="n">
        <f aca="false">IF(A20&lt;'3. Assumptions'!$B$7,0,1+INT((A20-'3. Assumptions'!$B$7)/'3. Assumptions'!$B$8))</f>
        <v>2</v>
      </c>
      <c r="E20" s="17" t="n">
        <f aca="false">MIN((1+'3. Assumptions'!$B$9)^D20,'3. Assumptions'!$B$10)-1</f>
        <v>0.170724</v>
      </c>
      <c r="F20" s="31" t="n">
        <f aca="false">'7. The customer'!$B$4*'5. The rent roll'!D20*'7. The customer'!$B$11+F21*C21/C20/(1+'7. The customer'!$B$6)</f>
        <v>2800.74693824445</v>
      </c>
    </row>
    <row r="21" customFormat="false" ht="15" hidden="false" customHeight="false" outlineLevel="0" collapsed="false">
      <c r="A21" s="0" t="n">
        <v>16</v>
      </c>
      <c r="B21" s="17" t="n">
        <f aca="false">'3. Assumptions'!$B$12+IF(AND(A21&gt;='3. Assumptions'!$B$7,MOD(A21-'3. Assumptions'!$B$7,'3. Assumptions'!$B$8)=0),MIN('3. Assumptions'!$B$16,'3. Assumptions'!$B$13*('3. Assumptions'!$B$9/'3. Assumptions'!$B$15)^'3. Assumptions'!$B$14),0)</f>
        <v>0.0665</v>
      </c>
      <c r="C21" s="17" t="n">
        <f aca="false">C20*(1-B20)</f>
        <v>0.303323729172574</v>
      </c>
      <c r="D21" s="11" t="n">
        <f aca="false">IF(A21&lt;'3. Assumptions'!$B$7,0,1+INT((A21-'3. Assumptions'!$B$7)/'3. Assumptions'!$B$8))</f>
        <v>2</v>
      </c>
      <c r="E21" s="17" t="n">
        <f aca="false">MIN((1+'3. Assumptions'!$B$9)^D21,'3. Assumptions'!$B$10)-1</f>
        <v>0.170724</v>
      </c>
      <c r="F21" s="31" t="n">
        <f aca="false">'7. The customer'!$B$4*'5. The rent roll'!D21*'7. The customer'!$B$11+F22*C22/C21/(1+'7. The customer'!$B$6)</f>
        <v>2819.13032741361</v>
      </c>
    </row>
    <row r="22" customFormat="false" ht="15" hidden="false" customHeight="false" outlineLevel="0" collapsed="false">
      <c r="A22" s="0" t="n">
        <v>17</v>
      </c>
      <c r="B22" s="17" t="n">
        <f aca="false">'3. Assumptions'!$B$12+IF(AND(A22&gt;='3. Assumptions'!$B$7,MOD(A22-'3. Assumptions'!$B$7,'3. Assumptions'!$B$8)=0),MIN('3. Assumptions'!$B$16,'3. Assumptions'!$B$13*('3. Assumptions'!$B$9/'3. Assumptions'!$B$15)^'3. Assumptions'!$B$14),0)</f>
        <v>0.0965</v>
      </c>
      <c r="C22" s="17" t="n">
        <f aca="false">C21*(1-B21)</f>
        <v>0.283152701182598</v>
      </c>
      <c r="D22" s="11" t="n">
        <f aca="false">IF(A22&lt;'3. Assumptions'!$B$7,0,1+INT((A22-'3. Assumptions'!$B$7)/'3. Assumptions'!$B$8))</f>
        <v>3</v>
      </c>
      <c r="E22" s="17" t="n">
        <f aca="false">MIN((1+'3. Assumptions'!$B$9)^D22,'3. Assumptions'!$B$10)-1</f>
        <v>0.266723368</v>
      </c>
      <c r="F22" s="31" t="n">
        <f aca="false">'7. The customer'!$B$4*'5. The rent roll'!D22*'7. The customer'!$B$11+F23*C23/C22/(1+'7. The customer'!$B$6)</f>
        <v>2838.95687310529</v>
      </c>
    </row>
    <row r="23" customFormat="false" ht="15" hidden="false" customHeight="false" outlineLevel="0" collapsed="false">
      <c r="A23" s="0" t="n">
        <v>18</v>
      </c>
      <c r="B23" s="17" t="n">
        <f aca="false">'3. Assumptions'!$B$12+IF(AND(A23&gt;='3. Assumptions'!$B$7,MOD(A23-'3. Assumptions'!$B$7,'3. Assumptions'!$B$8)=0),MIN('3. Assumptions'!$B$16,'3. Assumptions'!$B$13*('3. Assumptions'!$B$9/'3. Assumptions'!$B$15)^'3. Assumptions'!$B$14),0)</f>
        <v>0.0665</v>
      </c>
      <c r="C23" s="17" t="n">
        <f aca="false">C22*(1-B22)</f>
        <v>0.255828465518477</v>
      </c>
      <c r="D23" s="11" t="n">
        <f aca="false">IF(A23&lt;'3. Assumptions'!$B$7,0,1+INT((A23-'3. Assumptions'!$B$7)/'3. Assumptions'!$B$8))</f>
        <v>3</v>
      </c>
      <c r="E23" s="17" t="n">
        <f aca="false">MIN((1+'3. Assumptions'!$B$9)^D23,'3. Assumptions'!$B$10)-1</f>
        <v>0.266723368</v>
      </c>
      <c r="F23" s="31" t="n">
        <f aca="false">'7. The customer'!$B$4*'5. The rent roll'!D23*'7. The customer'!$B$11+F24*C24/C23/(1+'7. The customer'!$B$6)</f>
        <v>2938.2448652872</v>
      </c>
    </row>
    <row r="24" customFormat="false" ht="15" hidden="false" customHeight="false" outlineLevel="0" collapsed="false">
      <c r="A24" s="0" t="n">
        <v>19</v>
      </c>
      <c r="B24" s="17" t="n">
        <f aca="false">'3. Assumptions'!$B$12+IF(AND(A24&gt;='3. Assumptions'!$B$7,MOD(A24-'3. Assumptions'!$B$7,'3. Assumptions'!$B$8)=0),MIN('3. Assumptions'!$B$16,'3. Assumptions'!$B$13*('3. Assumptions'!$B$9/'3. Assumptions'!$B$15)^'3. Assumptions'!$B$14),0)</f>
        <v>0.0665</v>
      </c>
      <c r="C24" s="17" t="n">
        <f aca="false">C23*(1-B23)</f>
        <v>0.238815872561498</v>
      </c>
      <c r="D24" s="11" t="n">
        <f aca="false">IF(A24&lt;'3. Assumptions'!$B$7,0,1+INT((A24-'3. Assumptions'!$B$7)/'3. Assumptions'!$B$8))</f>
        <v>3</v>
      </c>
      <c r="E24" s="17" t="n">
        <f aca="false">MIN((1+'3. Assumptions'!$B$9)^D24,'3. Assumptions'!$B$10)-1</f>
        <v>0.266723368</v>
      </c>
      <c r="F24" s="31" t="n">
        <f aca="false">'7. The customer'!$B$4*'5. The rent roll'!D24*'7. The customer'!$B$11+F25*C25/C24/(1+'7. The customer'!$B$6)</f>
        <v>2950.9005684255</v>
      </c>
    </row>
    <row r="25" customFormat="false" ht="15" hidden="false" customHeight="false" outlineLevel="0" collapsed="false">
      <c r="A25" s="0" t="n">
        <v>20</v>
      </c>
      <c r="B25" s="17" t="n">
        <f aca="false">'3. Assumptions'!$B$12+IF(AND(A25&gt;='3. Assumptions'!$B$7,MOD(A25-'3. Assumptions'!$B$7,'3. Assumptions'!$B$8)=0),MIN('3. Assumptions'!$B$16,'3. Assumptions'!$B$13*('3. Assumptions'!$B$9/'3. Assumptions'!$B$15)^'3. Assumptions'!$B$14),0)</f>
        <v>0.0665</v>
      </c>
      <c r="C25" s="17" t="n">
        <f aca="false">C24*(1-B24)</f>
        <v>0.222934617036159</v>
      </c>
      <c r="D25" s="11" t="n">
        <f aca="false">IF(A25&lt;'3. Assumptions'!$B$7,0,1+INT((A25-'3. Assumptions'!$B$7)/'3. Assumptions'!$B$8))</f>
        <v>3</v>
      </c>
      <c r="E25" s="17" t="n">
        <f aca="false">MIN((1+'3. Assumptions'!$B$9)^D25,'3. Assumptions'!$B$10)-1</f>
        <v>0.266723368</v>
      </c>
      <c r="F25" s="31" t="n">
        <f aca="false">'7. The customer'!$B$4*'5. The rent roll'!D25*'7. The customer'!$B$11+F26*C26/C25/(1+'7. The customer'!$B$6)</f>
        <v>2964.54978589149</v>
      </c>
    </row>
    <row r="26" customFormat="false" ht="15" hidden="false" customHeight="false" outlineLevel="0" collapsed="false">
      <c r="A26" s="0" t="n">
        <v>21</v>
      </c>
      <c r="B26" s="17" t="n">
        <f aca="false">'3. Assumptions'!$B$12+IF(AND(A26&gt;='3. Assumptions'!$B$7,MOD(A26-'3. Assumptions'!$B$7,'3. Assumptions'!$B$8)=0),MIN('3. Assumptions'!$B$16,'3. Assumptions'!$B$13*('3. Assumptions'!$B$9/'3. Assumptions'!$B$15)^'3. Assumptions'!$B$14),0)</f>
        <v>0.0665</v>
      </c>
      <c r="C26" s="17" t="n">
        <f aca="false">C25*(1-B25)</f>
        <v>0.208109465003254</v>
      </c>
      <c r="D26" s="11" t="n">
        <f aca="false">IF(A26&lt;'3. Assumptions'!$B$7,0,1+INT((A26-'3. Assumptions'!$B$7)/'3. Assumptions'!$B$8))</f>
        <v>3</v>
      </c>
      <c r="E26" s="17" t="n">
        <f aca="false">MIN((1+'3. Assumptions'!$B$9)^D26,'3. Assumptions'!$B$10)-1</f>
        <v>0.266723368</v>
      </c>
      <c r="F26" s="31" t="n">
        <f aca="false">'7. The customer'!$B$4*'5. The rent roll'!D26*'7. The customer'!$B$11+F27*C27/C26/(1+'7. The customer'!$B$6)</f>
        <v>2979.27051182808</v>
      </c>
    </row>
    <row r="27" customFormat="false" ht="15" hidden="false" customHeight="false" outlineLevel="0" collapsed="false">
      <c r="A27" s="0" t="n">
        <v>22</v>
      </c>
      <c r="B27" s="17" t="n">
        <f aca="false">'3. Assumptions'!$B$12+IF(AND(A27&gt;='3. Assumptions'!$B$7,MOD(A27-'3. Assumptions'!$B$7,'3. Assumptions'!$B$8)=0),MIN('3. Assumptions'!$B$16,'3. Assumptions'!$B$13*('3. Assumptions'!$B$9/'3. Assumptions'!$B$15)^'3. Assumptions'!$B$14),0)</f>
        <v>0.0665</v>
      </c>
      <c r="C27" s="17" t="n">
        <f aca="false">C26*(1-B26)</f>
        <v>0.194270185580538</v>
      </c>
      <c r="D27" s="11" t="n">
        <f aca="false">IF(A27&lt;'3. Assumptions'!$B$7,0,1+INT((A27-'3. Assumptions'!$B$7)/'3. Assumptions'!$B$8))</f>
        <v>3</v>
      </c>
      <c r="E27" s="17" t="n">
        <f aca="false">MIN((1+'3. Assumptions'!$B$9)^D27,'3. Assumptions'!$B$10)-1</f>
        <v>0.266723368</v>
      </c>
      <c r="F27" s="31" t="n">
        <f aca="false">'7. The customer'!$B$4*'5. The rent roll'!D27*'7. The customer'!$B$11+F28*C28/C27/(1+'7. The customer'!$B$6)</f>
        <v>2995.14686317498</v>
      </c>
    </row>
    <row r="28" customFormat="false" ht="15" hidden="false" customHeight="false" outlineLevel="0" collapsed="false">
      <c r="A28" s="0" t="n">
        <v>23</v>
      </c>
      <c r="B28" s="17" t="n">
        <f aca="false">'3. Assumptions'!$B$12+IF(AND(A28&gt;='3. Assumptions'!$B$7,MOD(A28-'3. Assumptions'!$B$7,'3. Assumptions'!$B$8)=0),MIN('3. Assumptions'!$B$16,'3. Assumptions'!$B$13*('3. Assumptions'!$B$9/'3. Assumptions'!$B$15)^'3. Assumptions'!$B$14),0)</f>
        <v>0.0965</v>
      </c>
      <c r="C28" s="17" t="n">
        <f aca="false">C27*(1-B27)</f>
        <v>0.181351218239432</v>
      </c>
      <c r="D28" s="11" t="n">
        <f aca="false">IF(A28&lt;'3. Assumptions'!$B$7,0,1+INT((A28-'3. Assumptions'!$B$7)/'3. Assumptions'!$B$8))</f>
        <v>4</v>
      </c>
      <c r="E28" s="17" t="n">
        <f aca="false">MIN((1+'3. Assumptions'!$B$9)^D28,'3. Assumptions'!$B$10)-1</f>
        <v>0.370594684176</v>
      </c>
      <c r="F28" s="31" t="n">
        <f aca="false">'7. The customer'!$B$4*'5. The rent roll'!D28*'7. The customer'!$B$11+F29*C29/C28/(1+'7. The customer'!$B$6)</f>
        <v>3012.26956032836</v>
      </c>
    </row>
    <row r="29" customFormat="false" ht="15" hidden="false" customHeight="false" outlineLevel="0" collapsed="false">
      <c r="A29" s="0" t="n">
        <v>24</v>
      </c>
      <c r="B29" s="17" t="n">
        <f aca="false">'3. Assumptions'!$B$12+IF(AND(A29&gt;='3. Assumptions'!$B$7,MOD(A29-'3. Assumptions'!$B$7,'3. Assumptions'!$B$8)=0),MIN('3. Assumptions'!$B$16,'3. Assumptions'!$B$13*('3. Assumptions'!$B$9/'3. Assumptions'!$B$15)^'3. Assumptions'!$B$14),0)</f>
        <v>0.0665</v>
      </c>
      <c r="C29" s="17" t="n">
        <f aca="false">C28*(1-B28)</f>
        <v>0.163850825679327</v>
      </c>
      <c r="D29" s="11" t="n">
        <f aca="false">IF(A29&lt;'3. Assumptions'!$B$7,0,1+INT((A29-'3. Assumptions'!$B$7)/'3. Assumptions'!$B$8))</f>
        <v>4</v>
      </c>
      <c r="E29" s="17" t="n">
        <f aca="false">MIN((1+'3. Assumptions'!$B$9)^D29,'3. Assumptions'!$B$10)-1</f>
        <v>0.370594684176</v>
      </c>
      <c r="F29" s="31" t="n">
        <f aca="false">'7. The customer'!$B$4*'5. The rent roll'!D29*'7. The customer'!$B$11+F30*C30/C29/(1+'7. The customer'!$B$6)</f>
        <v>3112.89956006787</v>
      </c>
    </row>
    <row r="30" customFormat="false" ht="15" hidden="false" customHeight="false" outlineLevel="0" collapsed="false">
      <c r="A30" s="0" t="n">
        <v>25</v>
      </c>
      <c r="B30" s="17" t="n">
        <f aca="false">'3. Assumptions'!$B$12+IF(AND(A30&gt;='3. Assumptions'!$B$7,MOD(A30-'3. Assumptions'!$B$7,'3. Assumptions'!$B$8)=0),MIN('3. Assumptions'!$B$16,'3. Assumptions'!$B$13*('3. Assumptions'!$B$9/'3. Assumptions'!$B$15)^'3. Assumptions'!$B$14),0)</f>
        <v>0.0665</v>
      </c>
      <c r="C30" s="17" t="n">
        <f aca="false">C29*(1-B29)</f>
        <v>0.152954745771652</v>
      </c>
      <c r="D30" s="11" t="n">
        <f aca="false">IF(A30&lt;'3. Assumptions'!$B$7,0,1+INT((A30-'3. Assumptions'!$B$7)/'3. Assumptions'!$B$8))</f>
        <v>4</v>
      </c>
      <c r="E30" s="17" t="n">
        <f aca="false">MIN((1+'3. Assumptions'!$B$9)^D30,'3. Assumptions'!$B$10)-1</f>
        <v>0.370594684176</v>
      </c>
      <c r="F30" s="31" t="n">
        <f aca="false">'7. The customer'!$B$4*'5. The rent roll'!D30*'7. The customer'!$B$11+F31*C31/C30/(1+'7. The customer'!$B$6)</f>
        <v>3121.38972417127</v>
      </c>
    </row>
    <row r="31" customFormat="false" ht="15" hidden="false" customHeight="false" outlineLevel="0" collapsed="false">
      <c r="A31" s="0" t="n">
        <v>26</v>
      </c>
      <c r="B31" s="17" t="n">
        <f aca="false">'3. Assumptions'!$B$12+IF(AND(A31&gt;='3. Assumptions'!$B$7,MOD(A31-'3. Assumptions'!$B$7,'3. Assumptions'!$B$8)=0),MIN('3. Assumptions'!$B$16,'3. Assumptions'!$B$13*('3. Assumptions'!$B$9/'3. Assumptions'!$B$15)^'3. Assumptions'!$B$14),0)</f>
        <v>0.0665</v>
      </c>
      <c r="C31" s="17" t="n">
        <f aca="false">C30*(1-B30)</f>
        <v>0.142783255177837</v>
      </c>
      <c r="D31" s="11" t="n">
        <f aca="false">IF(A31&lt;'3. Assumptions'!$B$7,0,1+INT((A31-'3. Assumptions'!$B$7)/'3. Assumptions'!$B$8))</f>
        <v>4</v>
      </c>
      <c r="E31" s="17" t="n">
        <f aca="false">MIN((1+'3. Assumptions'!$B$9)^D31,'3. Assumptions'!$B$10)-1</f>
        <v>0.370594684176</v>
      </c>
      <c r="F31" s="31" t="n">
        <f aca="false">'7. The customer'!$B$4*'5. The rent roll'!D31*'7. The customer'!$B$11+F32*C32/C31/(1+'7. The customer'!$B$6)</f>
        <v>3130.54639408544</v>
      </c>
    </row>
    <row r="32" customFormat="false" ht="15" hidden="false" customHeight="false" outlineLevel="0" collapsed="false">
      <c r="A32" s="0" t="n">
        <v>27</v>
      </c>
      <c r="B32" s="17" t="n">
        <f aca="false">'3. Assumptions'!$B$12+IF(AND(A32&gt;='3. Assumptions'!$B$7,MOD(A32-'3. Assumptions'!$B$7,'3. Assumptions'!$B$8)=0),MIN('3. Assumptions'!$B$16,'3. Assumptions'!$B$13*('3. Assumptions'!$B$9/'3. Assumptions'!$B$15)^'3. Assumptions'!$B$14),0)</f>
        <v>0.0665</v>
      </c>
      <c r="C32" s="17" t="n">
        <f aca="false">C31*(1-B31)</f>
        <v>0.133288168708511</v>
      </c>
      <c r="D32" s="11" t="n">
        <f aca="false">IF(A32&lt;'3. Assumptions'!$B$7,0,1+INT((A32-'3. Assumptions'!$B$7)/'3. Assumptions'!$B$8))</f>
        <v>4</v>
      </c>
      <c r="E32" s="17" t="n">
        <f aca="false">MIN((1+'3. Assumptions'!$B$9)^D32,'3. Assumptions'!$B$10)-1</f>
        <v>0.370594684176</v>
      </c>
      <c r="F32" s="31" t="n">
        <f aca="false">'7. The customer'!$B$4*'5. The rent roll'!D32*'7. The customer'!$B$11+F33*C33/C32/(1+'7. The customer'!$B$6)</f>
        <v>3140.42189270903</v>
      </c>
    </row>
    <row r="33" customFormat="false" ht="15" hidden="false" customHeight="false" outlineLevel="0" collapsed="false">
      <c r="A33" s="0" t="n">
        <v>28</v>
      </c>
      <c r="B33" s="17" t="n">
        <f aca="false">'3. Assumptions'!$B$12+IF(AND(A33&gt;='3. Assumptions'!$B$7,MOD(A33-'3. Assumptions'!$B$7,'3. Assumptions'!$B$8)=0),MIN('3. Assumptions'!$B$16,'3. Assumptions'!$B$13*('3. Assumptions'!$B$9/'3. Assumptions'!$B$15)^'3. Assumptions'!$B$14),0)</f>
        <v>0.0665</v>
      </c>
      <c r="C33" s="17" t="n">
        <f aca="false">C32*(1-B32)</f>
        <v>0.124424505489395</v>
      </c>
      <c r="D33" s="11" t="n">
        <f aca="false">IF(A33&lt;'3. Assumptions'!$B$7,0,1+INT((A33-'3. Assumptions'!$B$7)/'3. Assumptions'!$B$8))</f>
        <v>4</v>
      </c>
      <c r="E33" s="17" t="n">
        <f aca="false">MIN((1+'3. Assumptions'!$B$9)^D33,'3. Assumptions'!$B$10)-1</f>
        <v>0.370594684176</v>
      </c>
      <c r="F33" s="31" t="n">
        <f aca="false">'7. The customer'!$B$4*'5. The rent roll'!D33*'7. The customer'!$B$11+F34*C34/C33/(1+'7. The customer'!$B$6)</f>
        <v>3151.07265046033</v>
      </c>
    </row>
    <row r="34" customFormat="false" ht="15" hidden="false" customHeight="false" outlineLevel="0" collapsed="false">
      <c r="A34" s="0" t="n">
        <v>29</v>
      </c>
      <c r="B34" s="17" t="n">
        <f aca="false">'3. Assumptions'!$B$12+IF(AND(A34&gt;='3. Assumptions'!$B$7,MOD(A34-'3. Assumptions'!$B$7,'3. Assumptions'!$B$8)=0),MIN('3. Assumptions'!$B$16,'3. Assumptions'!$B$13*('3. Assumptions'!$B$9/'3. Assumptions'!$B$15)^'3. Assumptions'!$B$14),0)</f>
        <v>0.0965</v>
      </c>
      <c r="C34" s="17" t="n">
        <f aca="false">C33*(1-B33)</f>
        <v>0.11615027587435</v>
      </c>
      <c r="D34" s="11" t="n">
        <f aca="false">IF(A34&lt;'3. Assumptions'!$B$7,0,1+INT((A34-'3. Assumptions'!$B$7)/'3. Assumptions'!$B$8))</f>
        <v>5</v>
      </c>
      <c r="E34" s="17" t="n">
        <f aca="false">MIN((1+'3. Assumptions'!$B$9)^D34,'3. Assumptions'!$B$10)-1</f>
        <v>0.482983448278433</v>
      </c>
      <c r="F34" s="31" t="n">
        <f aca="false">'7. The customer'!$B$4*'5. The rent roll'!D34*'7. The customer'!$B$11+F35*C35/C34/(1+'7. The customer'!$B$6)</f>
        <v>3162.5595277311</v>
      </c>
    </row>
    <row r="35" customFormat="false" ht="15" hidden="false" customHeight="false" outlineLevel="0" collapsed="false">
      <c r="A35" s="0" t="n">
        <v>30</v>
      </c>
      <c r="B35" s="17" t="n">
        <f aca="false">'3. Assumptions'!$B$12+IF(AND(A35&gt;='3. Assumptions'!$B$7,MOD(A35-'3. Assumptions'!$B$7,'3. Assumptions'!$B$8)=0),MIN('3. Assumptions'!$B$16,'3. Assumptions'!$B$13*('3. Assumptions'!$B$9/'3. Assumptions'!$B$15)^'3. Assumptions'!$B$14),0)</f>
        <v>0.0665</v>
      </c>
      <c r="C35" s="17" t="n">
        <f aca="false">C34*(1-B34)</f>
        <v>0.104941774252475</v>
      </c>
      <c r="D35" s="11" t="n">
        <f aca="false">IF(A35&lt;'3. Assumptions'!$B$7,0,1+INT((A35-'3. Assumptions'!$B$7)/'3. Assumptions'!$B$8))</f>
        <v>5</v>
      </c>
      <c r="E35" s="17" t="n">
        <f aca="false">MIN((1+'3. Assumptions'!$B$9)^D35,'3. Assumptions'!$B$10)-1</f>
        <v>0.482983448278433</v>
      </c>
      <c r="F35" s="31" t="n">
        <f aca="false">'7. The customer'!$B$4*'5. The rent roll'!D35*'7. The customer'!$B$11+F36*C36/C35/(1+'7. The customer'!$B$6)</f>
        <v>3260.38516598056</v>
      </c>
    </row>
    <row r="36" customFormat="false" ht="15" hidden="false" customHeight="false" outlineLevel="0" collapsed="false">
      <c r="A36" s="0" t="n">
        <v>31</v>
      </c>
      <c r="B36" s="17" t="n">
        <f aca="false">'3. Assumptions'!$B$12+IF(AND(A36&gt;='3. Assumptions'!$B$7,MOD(A36-'3. Assumptions'!$B$7,'3. Assumptions'!$B$8)=0),MIN('3. Assumptions'!$B$16,'3. Assumptions'!$B$13*('3. Assumptions'!$B$9/'3. Assumptions'!$B$15)^'3. Assumptions'!$B$14),0)</f>
        <v>0.0665</v>
      </c>
      <c r="C36" s="17" t="n">
        <f aca="false">C35*(1-B35)</f>
        <v>0.0979631462646855</v>
      </c>
      <c r="D36" s="11" t="n">
        <f aca="false">IF(A36&lt;'3. Assumptions'!$B$7,0,1+INT((A36-'3. Assumptions'!$B$7)/'3. Assumptions'!$B$8))</f>
        <v>5</v>
      </c>
      <c r="E36" s="17" t="n">
        <f aca="false">MIN((1+'3. Assumptions'!$B$9)^D36,'3. Assumptions'!$B$10)-1</f>
        <v>0.482983448278433</v>
      </c>
      <c r="F36" s="31" t="n">
        <f aca="false">'7. The customer'!$B$4*'5. The rent roll'!D36*'7. The customer'!$B$11+F37*C37/C36/(1+'7. The customer'!$B$6)</f>
        <v>3261.11105461657</v>
      </c>
    </row>
    <row r="37" customFormat="false" ht="15" hidden="false" customHeight="false" outlineLevel="0" collapsed="false">
      <c r="A37" s="0" t="n">
        <v>32</v>
      </c>
      <c r="B37" s="17" t="n">
        <f aca="false">'3. Assumptions'!$B$12+IF(AND(A37&gt;='3. Assumptions'!$B$7,MOD(A37-'3. Assumptions'!$B$7,'3. Assumptions'!$B$8)=0),MIN('3. Assumptions'!$B$16,'3. Assumptions'!$B$13*('3. Assumptions'!$B$9/'3. Assumptions'!$B$15)^'3. Assumptions'!$B$14),0)</f>
        <v>0.0665</v>
      </c>
      <c r="C37" s="17" t="n">
        <f aca="false">C36*(1-B36)</f>
        <v>0.0914485970380839</v>
      </c>
      <c r="D37" s="11" t="n">
        <f aca="false">IF(A37&lt;'3. Assumptions'!$B$7,0,1+INT((A37-'3. Assumptions'!$B$7)/'3. Assumptions'!$B$8))</f>
        <v>5</v>
      </c>
      <c r="E37" s="17" t="n">
        <f aca="false">MIN((1+'3. Assumptions'!$B$9)^D37,'3. Assumptions'!$B$10)-1</f>
        <v>0.482983448278433</v>
      </c>
      <c r="F37" s="31" t="n">
        <f aca="false">'7. The customer'!$B$4*'5. The rent roll'!D37*'7. The customer'!$B$11+F38*C38/C37/(1+'7. The customer'!$B$6)</f>
        <v>3261.89392789833</v>
      </c>
    </row>
    <row r="38" customFormat="false" ht="15" hidden="false" customHeight="false" outlineLevel="0" collapsed="false">
      <c r="A38" s="0" t="n">
        <v>33</v>
      </c>
      <c r="B38" s="17" t="n">
        <f aca="false">'3. Assumptions'!$B$12+IF(AND(A38&gt;='3. Assumptions'!$B$7,MOD(A38-'3. Assumptions'!$B$7,'3. Assumptions'!$B$8)=0),MIN('3. Assumptions'!$B$16,'3. Assumptions'!$B$13*('3. Assumptions'!$B$9/'3. Assumptions'!$B$15)^'3. Assumptions'!$B$14),0)</f>
        <v>0.0665</v>
      </c>
      <c r="C38" s="17" t="n">
        <f aca="false">C37*(1-B37)</f>
        <v>0.0853672653350513</v>
      </c>
      <c r="D38" s="11" t="n">
        <f aca="false">IF(A38&lt;'3. Assumptions'!$B$7,0,1+INT((A38-'3. Assumptions'!$B$7)/'3. Assumptions'!$B$8))</f>
        <v>5</v>
      </c>
      <c r="E38" s="17" t="n">
        <f aca="false">MIN((1+'3. Assumptions'!$B$9)^D38,'3. Assumptions'!$B$10)-1</f>
        <v>0.482983448278433</v>
      </c>
      <c r="F38" s="31" t="n">
        <f aca="false">'7. The customer'!$B$4*'5. The rent roll'!D38*'7. The customer'!$B$11+F39*C39/C38/(1+'7. The customer'!$B$6)</f>
        <v>3262.738259308</v>
      </c>
    </row>
    <row r="39" customFormat="false" ht="15" hidden="false" customHeight="false" outlineLevel="0" collapsed="false">
      <c r="A39" s="0" t="n">
        <v>34</v>
      </c>
      <c r="B39" s="17" t="n">
        <f aca="false">'3. Assumptions'!$B$12+IF(AND(A39&gt;='3. Assumptions'!$B$7,MOD(A39-'3. Assumptions'!$B$7,'3. Assumptions'!$B$8)=0),MIN('3. Assumptions'!$B$16,'3. Assumptions'!$B$13*('3. Assumptions'!$B$9/'3. Assumptions'!$B$15)^'3. Assumptions'!$B$14),0)</f>
        <v>0.0665</v>
      </c>
      <c r="C39" s="17" t="n">
        <f aca="false">C38*(1-B38)</f>
        <v>0.0796903421902704</v>
      </c>
      <c r="D39" s="11" t="n">
        <f aca="false">IF(A39&lt;'3. Assumptions'!$B$7,0,1+INT((A39-'3. Assumptions'!$B$7)/'3. Assumptions'!$B$8))</f>
        <v>5</v>
      </c>
      <c r="E39" s="17" t="n">
        <f aca="false">MIN((1+'3. Assumptions'!$B$9)^D39,'3. Assumptions'!$B$10)-1</f>
        <v>0.482983448278433</v>
      </c>
      <c r="F39" s="31" t="n">
        <f aca="false">'7. The customer'!$B$4*'5. The rent roll'!D39*'7. The customer'!$B$11+F40*C40/C39/(1+'7. The customer'!$B$6)</f>
        <v>3263.64887351078</v>
      </c>
    </row>
    <row r="40" customFormat="false" ht="15" hidden="false" customHeight="false" outlineLevel="0" collapsed="false">
      <c r="A40" s="0" t="n">
        <v>35</v>
      </c>
      <c r="B40" s="17" t="n">
        <f aca="false">'3. Assumptions'!$B$12+IF(AND(A40&gt;='3. Assumptions'!$B$7,MOD(A40-'3. Assumptions'!$B$7,'3. Assumptions'!$B$8)=0),MIN('3. Assumptions'!$B$16,'3. Assumptions'!$B$13*('3. Assumptions'!$B$9/'3. Assumptions'!$B$15)^'3. Assumptions'!$B$14),0)</f>
        <v>0.0965</v>
      </c>
      <c r="C40" s="17" t="n">
        <f aca="false">C39*(1-B39)</f>
        <v>0.0743909344346174</v>
      </c>
      <c r="D40" s="11" t="n">
        <f aca="false">IF(A40&lt;'3. Assumptions'!$B$7,0,1+INT((A40-'3. Assumptions'!$B$7)/'3. Assumptions'!$B$8))</f>
        <v>6</v>
      </c>
      <c r="E40" s="17" t="n">
        <f aca="false">MIN((1+'3. Assumptions'!$B$9)^D40,'3. Assumptions'!$B$10)-1</f>
        <v>0.604588091037264</v>
      </c>
      <c r="F40" s="31" t="n">
        <f aca="false">'7. The customer'!$B$4*'5. The rent roll'!D40*'7. The customer'!$B$11+F41*C41/C40/(1+'7. The customer'!$B$6)</f>
        <v>3264.63097392398</v>
      </c>
    </row>
    <row r="41" customFormat="false" ht="15" hidden="false" customHeight="false" outlineLevel="0" collapsed="false">
      <c r="A41" s="0" t="n">
        <v>36</v>
      </c>
      <c r="B41" s="17" t="n">
        <f aca="false">'3. Assumptions'!$B$12+IF(AND(A41&gt;='3. Assumptions'!$B$7,MOD(A41-'3. Assumptions'!$B$7,'3. Assumptions'!$B$8)=0),MIN('3. Assumptions'!$B$16,'3. Assumptions'!$B$13*('3. Assumptions'!$B$9/'3. Assumptions'!$B$15)^'3. Assumptions'!$B$14),0)</f>
        <v>0.0665</v>
      </c>
      <c r="C41" s="17" t="n">
        <f aca="false">C40*(1-B40)</f>
        <v>0.0672122092616768</v>
      </c>
      <c r="D41" s="11" t="n">
        <f aca="false">IF(A41&lt;'3. Assumptions'!$B$7,0,1+INT((A41-'3. Assumptions'!$B$7)/'3. Assumptions'!$B$8))</f>
        <v>6</v>
      </c>
      <c r="E41" s="17" t="n">
        <f aca="false">MIN((1+'3. Assumptions'!$B$9)^D41,'3. Assumptions'!$B$10)-1</f>
        <v>0.604588091037264</v>
      </c>
      <c r="F41" s="31" t="n">
        <f aca="false">'7. The customer'!$B$4*'5. The rent roll'!D41*'7. The customer'!$B$11+F42*C42/C41/(1+'7. The customer'!$B$6)</f>
        <v>3352.50145256614</v>
      </c>
    </row>
    <row r="42" customFormat="false" ht="15" hidden="false" customHeight="false" outlineLevel="0" collapsed="false">
      <c r="A42" s="0" t="n">
        <v>37</v>
      </c>
      <c r="B42" s="17" t="n">
        <f aca="false">'3. Assumptions'!$B$12+IF(AND(A42&gt;='3. Assumptions'!$B$7,MOD(A42-'3. Assumptions'!$B$7,'3. Assumptions'!$B$8)=0),MIN('3. Assumptions'!$B$16,'3. Assumptions'!$B$13*('3. Assumptions'!$B$9/'3. Assumptions'!$B$15)^'3. Assumptions'!$B$14),0)</f>
        <v>0.0665</v>
      </c>
      <c r="C42" s="17" t="n">
        <f aca="false">C41*(1-B41)</f>
        <v>0.0627425973457753</v>
      </c>
      <c r="D42" s="11" t="n">
        <f aca="false">IF(A42&lt;'3. Assumptions'!$B$7,0,1+INT((A42-'3. Assumptions'!$B$7)/'3. Assumptions'!$B$8))</f>
        <v>6</v>
      </c>
      <c r="E42" s="17" t="n">
        <f aca="false">MIN((1+'3. Assumptions'!$B$9)^D42,'3. Assumptions'!$B$10)-1</f>
        <v>0.604588091037264</v>
      </c>
      <c r="F42" s="31" t="n">
        <f aca="false">'7. The customer'!$B$4*'5. The rent roll'!D42*'7. The customer'!$B$11+F43*C43/C42/(1+'7. The customer'!$B$6)</f>
        <v>3339.5303168119</v>
      </c>
    </row>
    <row r="43" customFormat="false" ht="15" hidden="false" customHeight="false" outlineLevel="0" collapsed="false">
      <c r="A43" s="0" t="n">
        <v>38</v>
      </c>
      <c r="B43" s="17" t="n">
        <f aca="false">'3. Assumptions'!$B$12+IF(AND(A43&gt;='3. Assumptions'!$B$7,MOD(A43-'3. Assumptions'!$B$7,'3. Assumptions'!$B$8)=0),MIN('3. Assumptions'!$B$16,'3. Assumptions'!$B$13*('3. Assumptions'!$B$9/'3. Assumptions'!$B$15)^'3. Assumptions'!$B$14),0)</f>
        <v>0.0665</v>
      </c>
      <c r="C43" s="17" t="n">
        <f aca="false">C42*(1-B42)</f>
        <v>0.0585702146222813</v>
      </c>
      <c r="D43" s="11" t="n">
        <f aca="false">IF(A43&lt;'3. Assumptions'!$B$7,0,1+INT((A43-'3. Assumptions'!$B$7)/'3. Assumptions'!$B$8))</f>
        <v>6</v>
      </c>
      <c r="E43" s="17" t="n">
        <f aca="false">MIN((1+'3. Assumptions'!$B$9)^D43,'3. Assumptions'!$B$10)-1</f>
        <v>0.604588091037264</v>
      </c>
      <c r="F43" s="31" t="n">
        <f aca="false">'7. The customer'!$B$4*'5. The rent roll'!D43*'7. The customer'!$B$11+F44*C44/C43/(1+'7. The customer'!$B$6)</f>
        <v>3325.54090423199</v>
      </c>
    </row>
    <row r="44" customFormat="false" ht="15" hidden="false" customHeight="false" outlineLevel="0" collapsed="false">
      <c r="A44" s="0" t="n">
        <v>39</v>
      </c>
      <c r="B44" s="17" t="n">
        <f aca="false">'3. Assumptions'!$B$12+IF(AND(A44&gt;='3. Assumptions'!$B$7,MOD(A44-'3. Assumptions'!$B$7,'3. Assumptions'!$B$8)=0),MIN('3. Assumptions'!$B$16,'3. Assumptions'!$B$13*('3. Assumptions'!$B$9/'3. Assumptions'!$B$15)^'3. Assumptions'!$B$14),0)</f>
        <v>0.0665</v>
      </c>
      <c r="C44" s="17" t="n">
        <f aca="false">C43*(1-B43)</f>
        <v>0.0546752953498996</v>
      </c>
      <c r="D44" s="11" t="n">
        <f aca="false">IF(A44&lt;'3. Assumptions'!$B$7,0,1+INT((A44-'3. Assumptions'!$B$7)/'3. Assumptions'!$B$8))</f>
        <v>6</v>
      </c>
      <c r="E44" s="17" t="n">
        <f aca="false">MIN((1+'3. Assumptions'!$B$9)^D44,'3. Assumptions'!$B$10)-1</f>
        <v>0.604588091037264</v>
      </c>
      <c r="F44" s="31" t="n">
        <f aca="false">'7. The customer'!$B$4*'5. The rent roll'!D44*'7. The customer'!$B$11+F45*C45/C44/(1+'7. The customer'!$B$6)</f>
        <v>3310.45327674596</v>
      </c>
    </row>
    <row r="45" customFormat="false" ht="15" hidden="false" customHeight="false" outlineLevel="0" collapsed="false">
      <c r="A45" s="0" t="n">
        <v>40</v>
      </c>
      <c r="B45" s="17" t="n">
        <f aca="false">'3. Assumptions'!$B$12+IF(AND(A45&gt;='3. Assumptions'!$B$7,MOD(A45-'3. Assumptions'!$B$7,'3. Assumptions'!$B$8)=0),MIN('3. Assumptions'!$B$16,'3. Assumptions'!$B$13*('3. Assumptions'!$B$9/'3. Assumptions'!$B$15)^'3. Assumptions'!$B$14),0)</f>
        <v>0.0665</v>
      </c>
      <c r="C45" s="17" t="n">
        <f aca="false">C44*(1-B44)</f>
        <v>0.0510393882091313</v>
      </c>
      <c r="D45" s="11" t="n">
        <f aca="false">IF(A45&lt;'3. Assumptions'!$B$7,0,1+INT((A45-'3. Assumptions'!$B$7)/'3. Assumptions'!$B$8))</f>
        <v>6</v>
      </c>
      <c r="E45" s="17" t="n">
        <f aca="false">MIN((1+'3. Assumptions'!$B$9)^D45,'3. Assumptions'!$B$10)-1</f>
        <v>0.604588091037264</v>
      </c>
      <c r="F45" s="31" t="n">
        <f aca="false">'7. The customer'!$B$4*'5. The rent roll'!D45*'7. The customer'!$B$11+F46*C46/C45/(1+'7. The customer'!$B$6)</f>
        <v>3294.18122087105</v>
      </c>
    </row>
    <row r="46" customFormat="false" ht="15" hidden="false" customHeight="false" outlineLevel="0" collapsed="false">
      <c r="A46" s="0" t="n">
        <v>41</v>
      </c>
      <c r="B46" s="17" t="n">
        <f aca="false">'3. Assumptions'!$B$12+IF(AND(A46&gt;='3. Assumptions'!$B$7,MOD(A46-'3. Assumptions'!$B$7,'3. Assumptions'!$B$8)=0),MIN('3. Assumptions'!$B$16,'3. Assumptions'!$B$13*('3. Assumptions'!$B$9/'3. Assumptions'!$B$15)^'3. Assumptions'!$B$14),0)</f>
        <v>0.0965</v>
      </c>
      <c r="C46" s="17" t="n">
        <f aca="false">C45*(1-B45)</f>
        <v>0.047645268893224</v>
      </c>
      <c r="D46" s="11" t="n">
        <f aca="false">IF(A46&lt;'3. Assumptions'!$B$7,0,1+INT((A46-'3. Assumptions'!$B$7)/'3. Assumptions'!$B$8))</f>
        <v>7</v>
      </c>
      <c r="E46" s="17" t="n">
        <f aca="false">MIN((1+'3. Assumptions'!$B$9)^D46,'3. Assumptions'!$B$10)-1</f>
        <v>0.62</v>
      </c>
      <c r="F46" s="31" t="n">
        <f aca="false">'7. The customer'!$B$4*'5. The rent roll'!D46*'7. The customer'!$B$11+F47*C47/C46/(1+'7. The customer'!$B$6)</f>
        <v>3276.63175508253</v>
      </c>
    </row>
    <row r="47" customFormat="false" ht="15" hidden="false" customHeight="false" outlineLevel="0" collapsed="false">
      <c r="A47" s="0" t="n">
        <v>42</v>
      </c>
      <c r="B47" s="17" t="n">
        <f aca="false">'3. Assumptions'!$B$12+IF(AND(A47&gt;='3. Assumptions'!$B$7,MOD(A47-'3. Assumptions'!$B$7,'3. Assumptions'!$B$8)=0),MIN('3. Assumptions'!$B$16,'3. Assumptions'!$B$13*('3. Assumptions'!$B$9/'3. Assumptions'!$B$15)^'3. Assumptions'!$B$14),0)</f>
        <v>0.0665</v>
      </c>
      <c r="C47" s="17" t="n">
        <f aca="false">C46*(1-B46)</f>
        <v>0.0430475004450279</v>
      </c>
      <c r="D47" s="11" t="n">
        <f aca="false">IF(A47&lt;'3. Assumptions'!$B$7,0,1+INT((A47-'3. Assumptions'!$B$7)/'3. Assumptions'!$B$8))</f>
        <v>7</v>
      </c>
      <c r="E47" s="17" t="n">
        <f aca="false">MIN((1+'3. Assumptions'!$B$9)^D47,'3. Assumptions'!$B$10)-1</f>
        <v>0.62</v>
      </c>
      <c r="F47" s="31" t="n">
        <f aca="false">'7. The customer'!$B$4*'5. The rent roll'!D47*'7. The customer'!$B$11+F48*C48/C47/(1+'7. The customer'!$B$6)</f>
        <v>3363.13359374271</v>
      </c>
    </row>
    <row r="48" customFormat="false" ht="15" hidden="false" customHeight="false" outlineLevel="0" collapsed="false">
      <c r="A48" s="0" t="n">
        <v>43</v>
      </c>
      <c r="B48" s="17" t="n">
        <f aca="false">'3. Assumptions'!$B$12+IF(AND(A48&gt;='3. Assumptions'!$B$7,MOD(A48-'3. Assumptions'!$B$7,'3. Assumptions'!$B$8)=0),MIN('3. Assumptions'!$B$16,'3. Assumptions'!$B$13*('3. Assumptions'!$B$9/'3. Assumptions'!$B$15)^'3. Assumptions'!$B$14),0)</f>
        <v>0.0665</v>
      </c>
      <c r="C48" s="17" t="n">
        <f aca="false">C47*(1-B47)</f>
        <v>0.0401848416654336</v>
      </c>
      <c r="D48" s="11" t="n">
        <f aca="false">IF(A48&lt;'3. Assumptions'!$B$7,0,1+INT((A48-'3. Assumptions'!$B$7)/'3. Assumptions'!$B$8))</f>
        <v>7</v>
      </c>
      <c r="E48" s="17" t="n">
        <f aca="false">MIN((1+'3. Assumptions'!$B$9)^D48,'3. Assumptions'!$B$10)-1</f>
        <v>0.62</v>
      </c>
      <c r="F48" s="31" t="n">
        <f aca="false">'7. The customer'!$B$4*'5. The rent roll'!D48*'7. The customer'!$B$11+F49*C49/C48/(1+'7. The customer'!$B$6)</f>
        <v>3348.34468888618</v>
      </c>
    </row>
    <row r="49" customFormat="false" ht="15" hidden="false" customHeight="false" outlineLevel="0" collapsed="false">
      <c r="A49" s="0" t="n">
        <v>44</v>
      </c>
      <c r="B49" s="17" t="n">
        <f aca="false">'3. Assumptions'!$B$12+IF(AND(A49&gt;='3. Assumptions'!$B$7,MOD(A49-'3. Assumptions'!$B$7,'3. Assumptions'!$B$8)=0),MIN('3. Assumptions'!$B$16,'3. Assumptions'!$B$13*('3. Assumptions'!$B$9/'3. Assumptions'!$B$15)^'3. Assumptions'!$B$14),0)</f>
        <v>0.0665</v>
      </c>
      <c r="C49" s="17" t="n">
        <f aca="false">C48*(1-B48)</f>
        <v>0.0375125496946822</v>
      </c>
      <c r="D49" s="11" t="n">
        <f aca="false">IF(A49&lt;'3. Assumptions'!$B$7,0,1+INT((A49-'3. Assumptions'!$B$7)/'3. Assumptions'!$B$8))</f>
        <v>7</v>
      </c>
      <c r="E49" s="17" t="n">
        <f aca="false">MIN((1+'3. Assumptions'!$B$9)^D49,'3. Assumptions'!$B$10)-1</f>
        <v>0.62</v>
      </c>
      <c r="F49" s="31" t="n">
        <f aca="false">'7. The customer'!$B$4*'5. The rent roll'!D49*'7. The customer'!$B$11+F50*C50/C49/(1+'7. The customer'!$B$6)</f>
        <v>3332.39480634986</v>
      </c>
    </row>
    <row r="50" customFormat="false" ht="15" hidden="false" customHeight="false" outlineLevel="0" collapsed="false">
      <c r="A50" s="0" t="n">
        <v>45</v>
      </c>
      <c r="B50" s="17" t="n">
        <f aca="false">'3. Assumptions'!$B$12+IF(AND(A50&gt;='3. Assumptions'!$B$7,MOD(A50-'3. Assumptions'!$B$7,'3. Assumptions'!$B$8)=0),MIN('3. Assumptions'!$B$16,'3. Assumptions'!$B$13*('3. Assumptions'!$B$9/'3. Assumptions'!$B$15)^'3. Assumptions'!$B$14),0)</f>
        <v>0.0665</v>
      </c>
      <c r="C50" s="17" t="n">
        <f aca="false">C49*(1-B49)</f>
        <v>0.0350179651399859</v>
      </c>
      <c r="D50" s="11" t="n">
        <f aca="false">IF(A50&lt;'3. Assumptions'!$B$7,0,1+INT((A50-'3. Assumptions'!$B$7)/'3. Assumptions'!$B$8))</f>
        <v>7</v>
      </c>
      <c r="E50" s="17" t="n">
        <f aca="false">MIN((1+'3. Assumptions'!$B$9)^D50,'3. Assumptions'!$B$10)-1</f>
        <v>0.62</v>
      </c>
      <c r="F50" s="31" t="n">
        <f aca="false">'7. The customer'!$B$4*'5. The rent roll'!D50*'7. The customer'!$B$11+F51*C51/C50/(1+'7. The customer'!$B$6)</f>
        <v>3315.19280556679</v>
      </c>
    </row>
    <row r="51" customFormat="false" ht="15" hidden="false" customHeight="false" outlineLevel="0" collapsed="false">
      <c r="A51" s="0" t="n">
        <v>46</v>
      </c>
      <c r="B51" s="17" t="n">
        <f aca="false">'3. Assumptions'!$B$12+IF(AND(A51&gt;='3. Assumptions'!$B$7,MOD(A51-'3. Assumptions'!$B$7,'3. Assumptions'!$B$8)=0),MIN('3. Assumptions'!$B$16,'3. Assumptions'!$B$13*('3. Assumptions'!$B$9/'3. Assumptions'!$B$15)^'3. Assumptions'!$B$14),0)</f>
        <v>0.0665</v>
      </c>
      <c r="C51" s="17" t="n">
        <f aca="false">C50*(1-B50)</f>
        <v>0.0326892704581768</v>
      </c>
      <c r="D51" s="11" t="n">
        <f aca="false">IF(A51&lt;'3. Assumptions'!$B$7,0,1+INT((A51-'3. Assumptions'!$B$7)/'3. Assumptions'!$B$8))</f>
        <v>7</v>
      </c>
      <c r="E51" s="17" t="n">
        <f aca="false">MIN((1+'3. Assumptions'!$B$9)^D51,'3. Assumptions'!$B$10)-1</f>
        <v>0.62</v>
      </c>
      <c r="F51" s="31" t="n">
        <f aca="false">'7. The customer'!$B$4*'5. The rent roll'!D51*'7. The customer'!$B$11+F52*C52/C51/(1+'7. The customer'!$B$6)</f>
        <v>3296.64039113575</v>
      </c>
    </row>
    <row r="52" customFormat="false" ht="15" hidden="false" customHeight="false" outlineLevel="0" collapsed="false">
      <c r="A52" s="0" t="n">
        <v>47</v>
      </c>
      <c r="B52" s="17" t="n">
        <f aca="false">'3. Assumptions'!$B$12+IF(AND(A52&gt;='3. Assumptions'!$B$7,MOD(A52-'3. Assumptions'!$B$7,'3. Assumptions'!$B$8)=0),MIN('3. Assumptions'!$B$16,'3. Assumptions'!$B$13*('3. Assumptions'!$B$9/'3. Assumptions'!$B$15)^'3. Assumptions'!$B$14),0)</f>
        <v>0.0965</v>
      </c>
      <c r="C52" s="17" t="n">
        <f aca="false">C51*(1-B51)</f>
        <v>0.030515433972708</v>
      </c>
      <c r="D52" s="11" t="n">
        <f aca="false">IF(A52&lt;'3. Assumptions'!$B$7,0,1+INT((A52-'3. Assumptions'!$B$7)/'3. Assumptions'!$B$8))</f>
        <v>8</v>
      </c>
      <c r="E52" s="17" t="n">
        <f aca="false">MIN((1+'3. Assumptions'!$B$9)^D52,'3. Assumptions'!$B$10)-1</f>
        <v>0.62</v>
      </c>
      <c r="F52" s="31" t="n">
        <f aca="false">'7. The customer'!$B$4*'5. The rent roll'!D52*'7. The customer'!$B$11+F53*C53/C52/(1+'7. The customer'!$B$6)</f>
        <v>3276.63155114312</v>
      </c>
    </row>
    <row r="53" customFormat="false" ht="15" hidden="false" customHeight="false" outlineLevel="0" collapsed="false">
      <c r="A53" s="0" t="n">
        <v>48</v>
      </c>
      <c r="B53" s="17" t="n">
        <f aca="false">'3. Assumptions'!$B$12+IF(AND(A53&gt;='3. Assumptions'!$B$7,MOD(A53-'3. Assumptions'!$B$7,'3. Assumptions'!$B$8)=0),MIN('3. Assumptions'!$B$16,'3. Assumptions'!$B$13*('3. Assumptions'!$B$9/'3. Assumptions'!$B$15)^'3. Assumptions'!$B$14),0)</f>
        <v>0.0665</v>
      </c>
      <c r="C53" s="17" t="n">
        <f aca="false">C52*(1-B52)</f>
        <v>0.0275706945943417</v>
      </c>
      <c r="D53" s="11" t="n">
        <f aca="false">IF(A53&lt;'3. Assumptions'!$B$7,0,1+INT((A53-'3. Assumptions'!$B$7)/'3. Assumptions'!$B$8))</f>
        <v>8</v>
      </c>
      <c r="E53" s="17" t="n">
        <f aca="false">MIN((1+'3. Assumptions'!$B$9)^D53,'3. Assumptions'!$B$10)-1</f>
        <v>0.62</v>
      </c>
      <c r="F53" s="31" t="n">
        <f aca="false">'7. The customer'!$B$4*'5. The rent roll'!D53*'7. The customer'!$B$11+F54*C54/C53/(1+'7. The customer'!$B$6)</f>
        <v>3363.13336649014</v>
      </c>
    </row>
    <row r="54" customFormat="false" ht="15" hidden="false" customHeight="false" outlineLevel="0" collapsed="false">
      <c r="A54" s="0" t="n">
        <v>49</v>
      </c>
      <c r="B54" s="17" t="n">
        <f aca="false">'3. Assumptions'!$B$12+IF(AND(A54&gt;='3. Assumptions'!$B$7,MOD(A54-'3. Assumptions'!$B$7,'3. Assumptions'!$B$8)=0),MIN('3. Assumptions'!$B$16,'3. Assumptions'!$B$13*('3. Assumptions'!$B$9/'3. Assumptions'!$B$15)^'3. Assumptions'!$B$14),0)</f>
        <v>0.0665</v>
      </c>
      <c r="C54" s="17" t="n">
        <f aca="false">C53*(1-B53)</f>
        <v>0.025737243403818</v>
      </c>
      <c r="D54" s="11" t="n">
        <f aca="false">IF(A54&lt;'3. Assumptions'!$B$7,0,1+INT((A54-'3. Assumptions'!$B$7)/'3. Assumptions'!$B$8))</f>
        <v>8</v>
      </c>
      <c r="E54" s="17" t="n">
        <f aca="false">MIN((1+'3. Assumptions'!$B$9)^D54,'3. Assumptions'!$B$10)-1</f>
        <v>0.62</v>
      </c>
      <c r="F54" s="31" t="n">
        <f aca="false">'7. The customer'!$B$4*'5. The rent roll'!D54*'7. The customer'!$B$11+F55*C55/C54/(1+'7. The customer'!$B$6)</f>
        <v>3348.34444379354</v>
      </c>
    </row>
    <row r="55" customFormat="false" ht="15" hidden="false" customHeight="false" outlineLevel="0" collapsed="false">
      <c r="A55" s="0" t="n">
        <v>50</v>
      </c>
      <c r="B55" s="17" t="n">
        <f aca="false">'3. Assumptions'!$B$12+IF(AND(A55&gt;='3. Assumptions'!$B$7,MOD(A55-'3. Assumptions'!$B$7,'3. Assumptions'!$B$8)=0),MIN('3. Assumptions'!$B$16,'3. Assumptions'!$B$13*('3. Assumptions'!$B$9/'3. Assumptions'!$B$15)^'3. Assumptions'!$B$14),0)</f>
        <v>0.0665</v>
      </c>
      <c r="C55" s="17" t="n">
        <f aca="false">C54*(1-B54)</f>
        <v>0.0240257167174641</v>
      </c>
      <c r="D55" s="11" t="n">
        <f aca="false">IF(A55&lt;'3. Assumptions'!$B$7,0,1+INT((A55-'3. Assumptions'!$B$7)/'3. Assumptions'!$B$8))</f>
        <v>8</v>
      </c>
      <c r="E55" s="17" t="n">
        <f aca="false">MIN((1+'3. Assumptions'!$B$9)^D55,'3. Assumptions'!$B$10)-1</f>
        <v>0.62</v>
      </c>
      <c r="F55" s="31" t="n">
        <f aca="false">'7. The customer'!$B$4*'5. The rent roll'!D55*'7. The customer'!$B$11+F56*C56/C55/(1+'7. The customer'!$B$6)</f>
        <v>3332.39454201663</v>
      </c>
    </row>
    <row r="56" customFormat="false" ht="15" hidden="false" customHeight="false" outlineLevel="0" collapsed="false">
      <c r="A56" s="0" t="n">
        <v>51</v>
      </c>
      <c r="B56" s="17" t="n">
        <f aca="false">'3. Assumptions'!$B$12+IF(AND(A56&gt;='3. Assumptions'!$B$7,MOD(A56-'3. Assumptions'!$B$7,'3. Assumptions'!$B$8)=0),MIN('3. Assumptions'!$B$16,'3. Assumptions'!$B$13*('3. Assumptions'!$B$9/'3. Assumptions'!$B$15)^'3. Assumptions'!$B$14),0)</f>
        <v>0.0665</v>
      </c>
      <c r="C56" s="17" t="n">
        <f aca="false">C55*(1-B55)</f>
        <v>0.0224280065557527</v>
      </c>
      <c r="D56" s="11" t="n">
        <f aca="false">IF(A56&lt;'3. Assumptions'!$B$7,0,1+INT((A56-'3. Assumptions'!$B$7)/'3. Assumptions'!$B$8))</f>
        <v>8</v>
      </c>
      <c r="E56" s="17" t="n">
        <f aca="false">MIN((1+'3. Assumptions'!$B$9)^D56,'3. Assumptions'!$B$10)-1</f>
        <v>0.62</v>
      </c>
      <c r="F56" s="31" t="n">
        <f aca="false">'7. The customer'!$B$4*'5. The rent roll'!D56*'7. The customer'!$B$11+F57*C57/C56/(1+'7. The customer'!$B$6)</f>
        <v>3315.19252048254</v>
      </c>
    </row>
    <row r="57" customFormat="false" ht="15" hidden="false" customHeight="false" outlineLevel="0" collapsed="false">
      <c r="A57" s="0" t="n">
        <v>52</v>
      </c>
      <c r="B57" s="17" t="n">
        <f aca="false">'3. Assumptions'!$B$12+IF(AND(A57&gt;='3. Assumptions'!$B$7,MOD(A57-'3. Assumptions'!$B$7,'3. Assumptions'!$B$8)=0),MIN('3. Assumptions'!$B$16,'3. Assumptions'!$B$13*('3. Assumptions'!$B$9/'3. Assumptions'!$B$15)^'3. Assumptions'!$B$14),0)</f>
        <v>0.0665</v>
      </c>
      <c r="C57" s="17" t="n">
        <f aca="false">C56*(1-B56)</f>
        <v>0.0209365441197952</v>
      </c>
      <c r="D57" s="11" t="n">
        <f aca="false">IF(A57&lt;'3. Assumptions'!$B$7,0,1+INT((A57-'3. Assumptions'!$B$7)/'3. Assumptions'!$B$8))</f>
        <v>8</v>
      </c>
      <c r="E57" s="17" t="n">
        <f aca="false">MIN((1+'3. Assumptions'!$B$9)^D57,'3. Assumptions'!$B$10)-1</f>
        <v>0.62</v>
      </c>
      <c r="F57" s="31" t="n">
        <f aca="false">'7. The customer'!$B$4*'5. The rent roll'!D57*'7. The customer'!$B$11+F58*C58/C57/(1+'7. The customer'!$B$6)</f>
        <v>3296.64008367144</v>
      </c>
    </row>
    <row r="58" customFormat="false" ht="15" hidden="false" customHeight="false" outlineLevel="0" collapsed="false">
      <c r="A58" s="0" t="n">
        <v>53</v>
      </c>
      <c r="B58" s="17" t="n">
        <f aca="false">'3. Assumptions'!$B$12+IF(AND(A58&gt;='3. Assumptions'!$B$7,MOD(A58-'3. Assumptions'!$B$7,'3. Assumptions'!$B$8)=0),MIN('3. Assumptions'!$B$16,'3. Assumptions'!$B$13*('3. Assumptions'!$B$9/'3. Assumptions'!$B$15)^'3. Assumptions'!$B$14),0)</f>
        <v>0.0965</v>
      </c>
      <c r="C58" s="17" t="n">
        <f aca="false">C57*(1-B57)</f>
        <v>0.0195442639358288</v>
      </c>
      <c r="D58" s="11" t="n">
        <f aca="false">IF(A58&lt;'3. Assumptions'!$B$7,0,1+INT((A58-'3. Assumptions'!$B$7)/'3. Assumptions'!$B$8))</f>
        <v>9</v>
      </c>
      <c r="E58" s="17" t="n">
        <f aca="false">MIN((1+'3. Assumptions'!$B$9)^D58,'3. Assumptions'!$B$10)-1</f>
        <v>0.62</v>
      </c>
      <c r="F58" s="31" t="n">
        <f aca="false">'7. The customer'!$B$4*'5. The rent roll'!D58*'7. The customer'!$B$11+F59*C59/C58/(1+'7. The customer'!$B$6)</f>
        <v>3276.63121954185</v>
      </c>
    </row>
    <row r="59" customFormat="false" ht="15" hidden="false" customHeight="false" outlineLevel="0" collapsed="false">
      <c r="A59" s="0" t="n">
        <v>54</v>
      </c>
      <c r="B59" s="17" t="n">
        <f aca="false">'3. Assumptions'!$B$12+IF(AND(A59&gt;='3. Assumptions'!$B$7,MOD(A59-'3. Assumptions'!$B$7,'3. Assumptions'!$B$8)=0),MIN('3. Assumptions'!$B$16,'3. Assumptions'!$B$13*('3. Assumptions'!$B$9/'3. Assumptions'!$B$15)^'3. Assumptions'!$B$14),0)</f>
        <v>0.0665</v>
      </c>
      <c r="C59" s="17" t="n">
        <f aca="false">C58*(1-B58)</f>
        <v>0.0176582424660213</v>
      </c>
      <c r="D59" s="11" t="n">
        <f aca="false">IF(A59&lt;'3. Assumptions'!$B$7,0,1+INT((A59-'3. Assumptions'!$B$7)/'3. Assumptions'!$B$8))</f>
        <v>9</v>
      </c>
      <c r="E59" s="17" t="n">
        <f aca="false">MIN((1+'3. Assumptions'!$B$9)^D59,'3. Assumptions'!$B$10)-1</f>
        <v>0.62</v>
      </c>
      <c r="F59" s="31" t="n">
        <f aca="false">'7. The customer'!$B$4*'5. The rent roll'!D59*'7. The customer'!$B$11+F60*C60/C59/(1+'7. The customer'!$B$6)</f>
        <v>3363.13299698216</v>
      </c>
    </row>
    <row r="60" customFormat="false" ht="15" hidden="false" customHeight="false" outlineLevel="0" collapsed="false">
      <c r="A60" s="0" t="n">
        <v>55</v>
      </c>
      <c r="B60" s="17" t="n">
        <f aca="false">'3. Assumptions'!$B$12+IF(AND(A60&gt;='3. Assumptions'!$B$7,MOD(A60-'3. Assumptions'!$B$7,'3. Assumptions'!$B$8)=0),MIN('3. Assumptions'!$B$16,'3. Assumptions'!$B$13*('3. Assumptions'!$B$9/'3. Assumptions'!$B$15)^'3. Assumptions'!$B$14),0)</f>
        <v>0.0665</v>
      </c>
      <c r="C60" s="17" t="n">
        <f aca="false">C59*(1-B59)</f>
        <v>0.0164839693420309</v>
      </c>
      <c r="D60" s="11" t="n">
        <f aca="false">IF(A60&lt;'3. Assumptions'!$B$7,0,1+INT((A60-'3. Assumptions'!$B$7)/'3. Assumptions'!$B$8))</f>
        <v>9</v>
      </c>
      <c r="E60" s="17" t="n">
        <f aca="false">MIN((1+'3. Assumptions'!$B$9)^D60,'3. Assumptions'!$B$10)-1</f>
        <v>0.62</v>
      </c>
      <c r="F60" s="31" t="n">
        <f aca="false">'7. The customer'!$B$4*'5. The rent roll'!D60*'7. The customer'!$B$11+F61*C61/C60/(1+'7. The customer'!$B$6)</f>
        <v>3348.34404527797</v>
      </c>
    </row>
    <row r="61" customFormat="false" ht="15" hidden="false" customHeight="false" outlineLevel="0" collapsed="false">
      <c r="A61" s="0" t="n">
        <v>56</v>
      </c>
      <c r="B61" s="17" t="n">
        <f aca="false">'3. Assumptions'!$B$12+IF(AND(A61&gt;='3. Assumptions'!$B$7,MOD(A61-'3. Assumptions'!$B$7,'3. Assumptions'!$B$8)=0),MIN('3. Assumptions'!$B$16,'3. Assumptions'!$B$13*('3. Assumptions'!$B$9/'3. Assumptions'!$B$15)^'3. Assumptions'!$B$14),0)</f>
        <v>0.0665</v>
      </c>
      <c r="C61" s="17" t="n">
        <f aca="false">C60*(1-B60)</f>
        <v>0.0153877853807858</v>
      </c>
      <c r="D61" s="11" t="n">
        <f aca="false">IF(A61&lt;'3. Assumptions'!$B$7,0,1+INT((A61-'3. Assumptions'!$B$7)/'3. Assumptions'!$B$8))</f>
        <v>9</v>
      </c>
      <c r="E61" s="17" t="n">
        <f aca="false">MIN((1+'3. Assumptions'!$B$9)^D61,'3. Assumptions'!$B$10)-1</f>
        <v>0.62</v>
      </c>
      <c r="F61" s="31" t="n">
        <f aca="false">'7. The customer'!$B$4*'5. The rent roll'!D61*'7. The customer'!$B$11+F62*C62/C61/(1+'7. The customer'!$B$6)</f>
        <v>3332.39411221628</v>
      </c>
    </row>
    <row r="62" customFormat="false" ht="15" hidden="false" customHeight="false" outlineLevel="0" collapsed="false">
      <c r="A62" s="0" t="n">
        <v>57</v>
      </c>
      <c r="B62" s="17" t="n">
        <f aca="false">'3. Assumptions'!$B$12+IF(AND(A62&gt;='3. Assumptions'!$B$7,MOD(A62-'3. Assumptions'!$B$7,'3. Assumptions'!$B$8)=0),MIN('3. Assumptions'!$B$16,'3. Assumptions'!$B$13*('3. Assumptions'!$B$9/'3. Assumptions'!$B$15)^'3. Assumptions'!$B$14),0)</f>
        <v>0.0665</v>
      </c>
      <c r="C62" s="17" t="n">
        <f aca="false">C61*(1-B61)</f>
        <v>0.0143644976529636</v>
      </c>
      <c r="D62" s="11" t="n">
        <f aca="false">IF(A62&lt;'3. Assumptions'!$B$7,0,1+INT((A62-'3. Assumptions'!$B$7)/'3. Assumptions'!$B$8))</f>
        <v>9</v>
      </c>
      <c r="E62" s="17" t="n">
        <f aca="false">MIN((1+'3. Assumptions'!$B$9)^D62,'3. Assumptions'!$B$10)-1</f>
        <v>0.62</v>
      </c>
      <c r="F62" s="31" t="n">
        <f aca="false">'7. The customer'!$B$4*'5. The rent roll'!D62*'7. The customer'!$B$11+F63*C63/C62/(1+'7. The customer'!$B$6)</f>
        <v>3315.19205694145</v>
      </c>
    </row>
    <row r="63" customFormat="false" ht="15" hidden="false" customHeight="false" outlineLevel="0" collapsed="false">
      <c r="A63" s="0" t="n">
        <v>58</v>
      </c>
      <c r="B63" s="17" t="n">
        <f aca="false">'3. Assumptions'!$B$12+IF(AND(A63&gt;='3. Assumptions'!$B$7,MOD(A63-'3. Assumptions'!$B$7,'3. Assumptions'!$B$8)=0),MIN('3. Assumptions'!$B$16,'3. Assumptions'!$B$13*('3. Assumptions'!$B$9/'3. Assumptions'!$B$15)^'3. Assumptions'!$B$14),0)</f>
        <v>0.0665</v>
      </c>
      <c r="C63" s="17" t="n">
        <f aca="false">C62*(1-B62)</f>
        <v>0.0134092585590415</v>
      </c>
      <c r="D63" s="11" t="n">
        <f aca="false">IF(A63&lt;'3. Assumptions'!$B$7,0,1+INT((A63-'3. Assumptions'!$B$7)/'3. Assumptions'!$B$8))</f>
        <v>9</v>
      </c>
      <c r="E63" s="17" t="n">
        <f aca="false">MIN((1+'3. Assumptions'!$B$9)^D63,'3. Assumptions'!$B$10)-1</f>
        <v>0.62</v>
      </c>
      <c r="F63" s="31" t="n">
        <f aca="false">'7. The customer'!$B$4*'5. The rent roll'!D63*'7. The customer'!$B$11+F64*C64/C63/(1+'7. The customer'!$B$6)</f>
        <v>3296.63958374085</v>
      </c>
    </row>
    <row r="64" customFormat="false" ht="15" hidden="false" customHeight="false" outlineLevel="0" collapsed="false">
      <c r="A64" s="0" t="n">
        <v>59</v>
      </c>
      <c r="B64" s="17" t="n">
        <f aca="false">'3. Assumptions'!$B$12+IF(AND(A64&gt;='3. Assumptions'!$B$7,MOD(A64-'3. Assumptions'!$B$7,'3. Assumptions'!$B$8)=0),MIN('3. Assumptions'!$B$16,'3. Assumptions'!$B$13*('3. Assumptions'!$B$9/'3. Assumptions'!$B$15)^'3. Assumptions'!$B$14),0)</f>
        <v>0.0965</v>
      </c>
      <c r="C64" s="17" t="n">
        <f aca="false">C63*(1-B63)</f>
        <v>0.0125175428648652</v>
      </c>
      <c r="D64" s="11" t="n">
        <f aca="false">IF(A64&lt;'3. Assumptions'!$B$7,0,1+INT((A64-'3. Assumptions'!$B$7)/'3. Assumptions'!$B$8))</f>
        <v>10</v>
      </c>
      <c r="E64" s="17" t="n">
        <f aca="false">MIN((1+'3. Assumptions'!$B$9)^D64,'3. Assumptions'!$B$10)-1</f>
        <v>0.62</v>
      </c>
      <c r="F64" s="31" t="n">
        <f aca="false">'7. The customer'!$B$4*'5. The rent roll'!D64*'7. The customer'!$B$11+F65*C65/C64/(1+'7. The customer'!$B$6)</f>
        <v>3276.63068036507</v>
      </c>
    </row>
    <row r="65" customFormat="false" ht="15" hidden="false" customHeight="false" outlineLevel="0" collapsed="false">
      <c r="A65" s="0" t="n">
        <v>60</v>
      </c>
      <c r="B65" s="17" t="n">
        <f aca="false">'3. Assumptions'!$B$12+IF(AND(A65&gt;='3. Assumptions'!$B$7,MOD(A65-'3. Assumptions'!$B$7,'3. Assumptions'!$B$8)=0),MIN('3. Assumptions'!$B$16,'3. Assumptions'!$B$13*('3. Assumptions'!$B$9/'3. Assumptions'!$B$15)^'3. Assumptions'!$B$14),0)</f>
        <v>0.0665</v>
      </c>
      <c r="C65" s="17" t="n">
        <f aca="false">C64*(1-B64)</f>
        <v>0.0113095999784057</v>
      </c>
      <c r="D65" s="11" t="n">
        <f aca="false">IF(A65&lt;'3. Assumptions'!$B$7,0,1+INT((A65-'3. Assumptions'!$B$7)/'3. Assumptions'!$B$8))</f>
        <v>10</v>
      </c>
      <c r="E65" s="17" t="n">
        <f aca="false">MIN((1+'3. Assumptions'!$B$9)^D65,'3. Assumptions'!$B$10)-1</f>
        <v>0.62</v>
      </c>
      <c r="F65" s="31" t="n">
        <f aca="false">'7. The customer'!$B$4*'5. The rent roll'!D65*'7. The customer'!$B$11+F66*C66/C65/(1+'7. The customer'!$B$6)</f>
        <v>3363.13239616985</v>
      </c>
    </row>
    <row r="66" customFormat="false" ht="15" hidden="false" customHeight="false" outlineLevel="0" collapsed="false">
      <c r="A66" s="0" t="n">
        <v>61</v>
      </c>
      <c r="B66" s="17" t="n">
        <f aca="false">'3. Assumptions'!$B$12+IF(AND(A66&gt;='3. Assumptions'!$B$7,MOD(A66-'3. Assumptions'!$B$7,'3. Assumptions'!$B$8)=0),MIN('3. Assumptions'!$B$16,'3. Assumptions'!$B$13*('3. Assumptions'!$B$9/'3. Assumptions'!$B$15)^'3. Assumptions'!$B$14),0)</f>
        <v>0.0665</v>
      </c>
      <c r="C66" s="17" t="n">
        <f aca="false">C65*(1-B65)</f>
        <v>0.0105575115798418</v>
      </c>
      <c r="D66" s="11" t="n">
        <f aca="false">IF(A66&lt;'3. Assumptions'!$B$7,0,1+INT((A66-'3. Assumptions'!$B$7)/'3. Assumptions'!$B$8))</f>
        <v>10</v>
      </c>
      <c r="E66" s="17" t="n">
        <f aca="false">MIN((1+'3. Assumptions'!$B$9)^D66,'3. Assumptions'!$B$10)-1</f>
        <v>0.62</v>
      </c>
      <c r="F66" s="31" t="n">
        <f aca="false">'7. The customer'!$B$4*'5. The rent roll'!D66*'7. The customer'!$B$11+F67*C67/C66/(1+'7. The customer'!$B$6)</f>
        <v>3348.34339729991</v>
      </c>
    </row>
    <row r="67" customFormat="false" ht="15" hidden="false" customHeight="false" outlineLevel="0" collapsed="false">
      <c r="A67" s="0" t="n">
        <v>62</v>
      </c>
      <c r="B67" s="17" t="n">
        <f aca="false">'3. Assumptions'!$B$12+IF(AND(A67&gt;='3. Assumptions'!$B$7,MOD(A67-'3. Assumptions'!$B$7,'3. Assumptions'!$B$8)=0),MIN('3. Assumptions'!$B$16,'3. Assumptions'!$B$13*('3. Assumptions'!$B$9/'3. Assumptions'!$B$15)^'3. Assumptions'!$B$14),0)</f>
        <v>0.0665</v>
      </c>
      <c r="C67" s="17" t="n">
        <f aca="false">C66*(1-B66)</f>
        <v>0.00985543705978228</v>
      </c>
      <c r="D67" s="11" t="n">
        <f aca="false">IF(A67&lt;'3. Assumptions'!$B$7,0,1+INT((A67-'3. Assumptions'!$B$7)/'3. Assumptions'!$B$8))</f>
        <v>10</v>
      </c>
      <c r="E67" s="17" t="n">
        <f aca="false">MIN((1+'3. Assumptions'!$B$9)^D67,'3. Assumptions'!$B$10)-1</f>
        <v>0.62</v>
      </c>
      <c r="F67" s="31" t="n">
        <f aca="false">'7. The customer'!$B$4*'5. The rent roll'!D67*'7. The customer'!$B$11+F68*C68/C67/(1+'7. The customer'!$B$6)</f>
        <v>3332.39341336982</v>
      </c>
    </row>
    <row r="68" customFormat="false" ht="15" hidden="false" customHeight="false" outlineLevel="0" collapsed="false">
      <c r="A68" s="0" t="n">
        <v>63</v>
      </c>
      <c r="B68" s="17" t="n">
        <f aca="false">'3. Assumptions'!$B$12+IF(AND(A68&gt;='3. Assumptions'!$B$7,MOD(A68-'3. Assumptions'!$B$7,'3. Assumptions'!$B$8)=0),MIN('3. Assumptions'!$B$16,'3. Assumptions'!$B$13*('3. Assumptions'!$B$9/'3. Assumptions'!$B$15)^'3. Assumptions'!$B$14),0)</f>
        <v>0.0665</v>
      </c>
      <c r="C68" s="17" t="n">
        <f aca="false">C67*(1-B67)</f>
        <v>0.00920005049530676</v>
      </c>
      <c r="D68" s="11" t="n">
        <f aca="false">IF(A68&lt;'3. Assumptions'!$B$7,0,1+INT((A68-'3. Assumptions'!$B$7)/'3. Assumptions'!$B$8))</f>
        <v>10</v>
      </c>
      <c r="E68" s="17" t="n">
        <f aca="false">MIN((1+'3. Assumptions'!$B$9)^D68,'3. Assumptions'!$B$10)-1</f>
        <v>0.62</v>
      </c>
      <c r="F68" s="31" t="n">
        <f aca="false">'7. The customer'!$B$4*'5. The rent roll'!D68*'7. The customer'!$B$11+F69*C69/C68/(1+'7. The customer'!$B$6)</f>
        <v>3315.19130323324</v>
      </c>
    </row>
    <row r="69" customFormat="false" ht="15" hidden="false" customHeight="false" outlineLevel="0" collapsed="false">
      <c r="A69" s="0" t="n">
        <v>64</v>
      </c>
      <c r="B69" s="17" t="n">
        <f aca="false">'3. Assumptions'!$B$12+IF(AND(A69&gt;='3. Assumptions'!$B$7,MOD(A69-'3. Assumptions'!$B$7,'3. Assumptions'!$B$8)=0),MIN('3. Assumptions'!$B$16,'3. Assumptions'!$B$13*('3. Assumptions'!$B$9/'3. Assumptions'!$B$15)^'3. Assumptions'!$B$14),0)</f>
        <v>0.0665</v>
      </c>
      <c r="C69" s="17" t="n">
        <f aca="false">C68*(1-B68)</f>
        <v>0.00858824713736886</v>
      </c>
      <c r="D69" s="11" t="n">
        <f aca="false">IF(A69&lt;'3. Assumptions'!$B$7,0,1+INT((A69-'3. Assumptions'!$B$7)/'3. Assumptions'!$B$8))</f>
        <v>10</v>
      </c>
      <c r="E69" s="17" t="n">
        <f aca="false">MIN((1+'3. Assumptions'!$B$9)^D69,'3. Assumptions'!$B$10)-1</f>
        <v>0.62</v>
      </c>
      <c r="F69" s="31" t="n">
        <f aca="false">'7. The customer'!$B$4*'5. The rent roll'!D69*'7. The customer'!$B$11+F70*C70/C69/(1+'7. The customer'!$B$6)</f>
        <v>3296.63877086406</v>
      </c>
    </row>
    <row r="70" customFormat="false" ht="15" hidden="false" customHeight="false" outlineLevel="0" collapsed="false">
      <c r="A70" s="0" t="n">
        <v>65</v>
      </c>
      <c r="B70" s="17" t="n">
        <f aca="false">'3. Assumptions'!$B$12+IF(AND(A70&gt;='3. Assumptions'!$B$7,MOD(A70-'3. Assumptions'!$B$7,'3. Assumptions'!$B$8)=0),MIN('3. Assumptions'!$B$16,'3. Assumptions'!$B$13*('3. Assumptions'!$B$9/'3. Assumptions'!$B$15)^'3. Assumptions'!$B$14),0)</f>
        <v>0.0965</v>
      </c>
      <c r="C70" s="17" t="n">
        <f aca="false">C69*(1-B69)</f>
        <v>0.00801712870273383</v>
      </c>
      <c r="D70" s="11" t="n">
        <f aca="false">IF(A70&lt;'3. Assumptions'!$B$7,0,1+INT((A70-'3. Assumptions'!$B$7)/'3. Assumptions'!$B$8))</f>
        <v>11</v>
      </c>
      <c r="E70" s="17" t="n">
        <f aca="false">MIN((1+'3. Assumptions'!$B$9)^D70,'3. Assumptions'!$B$10)-1</f>
        <v>0.62</v>
      </c>
      <c r="F70" s="31" t="n">
        <f aca="false">'7. The customer'!$B$4*'5. The rent roll'!D70*'7. The customer'!$B$11+F71*C71/C70/(1+'7. The customer'!$B$6)</f>
        <v>3276.62980367478</v>
      </c>
    </row>
    <row r="71" customFormat="false" ht="15" hidden="false" customHeight="false" outlineLevel="0" collapsed="false">
      <c r="A71" s="0" t="n">
        <v>66</v>
      </c>
      <c r="B71" s="17" t="n">
        <f aca="false">'3. Assumptions'!$B$12+IF(AND(A71&gt;='3. Assumptions'!$B$7,MOD(A71-'3. Assumptions'!$B$7,'3. Assumptions'!$B$8)=0),MIN('3. Assumptions'!$B$16,'3. Assumptions'!$B$13*('3. Assumptions'!$B$9/'3. Assumptions'!$B$15)^'3. Assumptions'!$B$14),0)</f>
        <v>0.0665</v>
      </c>
      <c r="C71" s="17" t="n">
        <f aca="false">C70*(1-B70)</f>
        <v>0.00724347578292002</v>
      </c>
      <c r="D71" s="11" t="n">
        <f aca="false">IF(A71&lt;'3. Assumptions'!$B$7,0,1+INT((A71-'3. Assumptions'!$B$7)/'3. Assumptions'!$B$8))</f>
        <v>11</v>
      </c>
      <c r="E71" s="17" t="n">
        <f aca="false">MIN((1+'3. Assumptions'!$B$9)^D71,'3. Assumptions'!$B$10)-1</f>
        <v>0.62</v>
      </c>
      <c r="F71" s="31" t="n">
        <f aca="false">'7. The customer'!$B$4*'5. The rent roll'!D71*'7. The customer'!$B$11+F72*C72/C71/(1+'7. The customer'!$B$6)</f>
        <v>3363.13141926147</v>
      </c>
    </row>
    <row r="72" customFormat="false" ht="15" hidden="false" customHeight="false" outlineLevel="0" collapsed="false">
      <c r="A72" s="0" t="n">
        <v>67</v>
      </c>
      <c r="B72" s="17" t="n">
        <f aca="false">'3. Assumptions'!$B$12+IF(AND(A72&gt;='3. Assumptions'!$B$7,MOD(A72-'3. Assumptions'!$B$7,'3. Assumptions'!$B$8)=0),MIN('3. Assumptions'!$B$16,'3. Assumptions'!$B$13*('3. Assumptions'!$B$9/'3. Assumptions'!$B$15)^'3. Assumptions'!$B$14),0)</f>
        <v>0.0665</v>
      </c>
      <c r="C72" s="17" t="n">
        <f aca="false">C71*(1-B71)</f>
        <v>0.00676178464335584</v>
      </c>
      <c r="D72" s="11" t="n">
        <f aca="false">IF(A72&lt;'3. Assumptions'!$B$7,0,1+INT((A72-'3. Assumptions'!$B$7)/'3. Assumptions'!$B$8))</f>
        <v>11</v>
      </c>
      <c r="E72" s="17" t="n">
        <f aca="false">MIN((1+'3. Assumptions'!$B$9)^D72,'3. Assumptions'!$B$10)-1</f>
        <v>0.62</v>
      </c>
      <c r="F72" s="31" t="n">
        <f aca="false">'7. The customer'!$B$4*'5. The rent roll'!D72*'7. The customer'!$B$11+F73*C73/C72/(1+'7. The customer'!$B$6)</f>
        <v>3348.34234370101</v>
      </c>
    </row>
    <row r="73" customFormat="false" ht="15" hidden="false" customHeight="false" outlineLevel="0" collapsed="false">
      <c r="A73" s="0" t="n">
        <v>68</v>
      </c>
      <c r="B73" s="17" t="n">
        <f aca="false">'3. Assumptions'!$B$12+IF(AND(A73&gt;='3. Assumptions'!$B$7,MOD(A73-'3. Assumptions'!$B$7,'3. Assumptions'!$B$8)=0),MIN('3. Assumptions'!$B$16,'3. Assumptions'!$B$13*('3. Assumptions'!$B$9/'3. Assumptions'!$B$15)^'3. Assumptions'!$B$14),0)</f>
        <v>0.0665</v>
      </c>
      <c r="C73" s="17" t="n">
        <f aca="false">C72*(1-B72)</f>
        <v>0.00631212596457267</v>
      </c>
      <c r="D73" s="11" t="n">
        <f aca="false">IF(A73&lt;'3. Assumptions'!$B$7,0,1+INT((A73-'3. Assumptions'!$B$7)/'3. Assumptions'!$B$8))</f>
        <v>11</v>
      </c>
      <c r="E73" s="17" t="n">
        <f aca="false">MIN((1+'3. Assumptions'!$B$9)^D73,'3. Assumptions'!$B$10)-1</f>
        <v>0.62</v>
      </c>
      <c r="F73" s="31" t="n">
        <f aca="false">'7. The customer'!$B$4*'5. The rent roll'!D73*'7. The customer'!$B$11+F74*C74/C73/(1+'7. The customer'!$B$6)</f>
        <v>3332.39227705993</v>
      </c>
    </row>
    <row r="74" customFormat="false" ht="15" hidden="false" customHeight="false" outlineLevel="0" collapsed="false">
      <c r="A74" s="0" t="n">
        <v>69</v>
      </c>
      <c r="B74" s="17" t="n">
        <f aca="false">'3. Assumptions'!$B$12+IF(AND(A74&gt;='3. Assumptions'!$B$7,MOD(A74-'3. Assumptions'!$B$7,'3. Assumptions'!$B$8)=0),MIN('3. Assumptions'!$B$16,'3. Assumptions'!$B$13*('3. Assumptions'!$B$9/'3. Assumptions'!$B$15)^'3. Assumptions'!$B$14),0)</f>
        <v>0.0665</v>
      </c>
      <c r="C74" s="17" t="n">
        <f aca="false">C73*(1-B73)</f>
        <v>0.00589236958792859</v>
      </c>
      <c r="D74" s="11" t="n">
        <f aca="false">IF(A74&lt;'3. Assumptions'!$B$7,0,1+INT((A74-'3. Assumptions'!$B$7)/'3. Assumptions'!$B$8))</f>
        <v>11</v>
      </c>
      <c r="E74" s="17" t="n">
        <f aca="false">MIN((1+'3. Assumptions'!$B$9)^D74,'3. Assumptions'!$B$10)-1</f>
        <v>0.62</v>
      </c>
      <c r="F74" s="31" t="n">
        <f aca="false">'7. The customer'!$B$4*'5. The rent roll'!D74*'7. The customer'!$B$11+F75*C75/C74/(1+'7. The customer'!$B$6)</f>
        <v>3315.19007771929</v>
      </c>
    </row>
    <row r="75" customFormat="false" ht="15" hidden="false" customHeight="false" outlineLevel="0" collapsed="false">
      <c r="A75" s="0" t="n">
        <v>70</v>
      </c>
      <c r="B75" s="17" t="n">
        <f aca="false">'3. Assumptions'!$B$12+IF(AND(A75&gt;='3. Assumptions'!$B$7,MOD(A75-'3. Assumptions'!$B$7,'3. Assumptions'!$B$8)=0),MIN('3. Assumptions'!$B$16,'3. Assumptions'!$B$13*('3. Assumptions'!$B$9/'3. Assumptions'!$B$15)^'3. Assumptions'!$B$14),0)</f>
        <v>0.0665</v>
      </c>
      <c r="C75" s="17" t="n">
        <f aca="false">C74*(1-B74)</f>
        <v>0.00550052701033134</v>
      </c>
      <c r="D75" s="11" t="n">
        <f aca="false">IF(A75&lt;'3. Assumptions'!$B$7,0,1+INT((A75-'3. Assumptions'!$B$7)/'3. Assumptions'!$B$8))</f>
        <v>11</v>
      </c>
      <c r="E75" s="17" t="n">
        <f aca="false">MIN((1+'3. Assumptions'!$B$9)^D75,'3. Assumptions'!$B$10)-1</f>
        <v>0.62</v>
      </c>
      <c r="F75" s="31" t="n">
        <f aca="false">'7. The customer'!$B$4*'5. The rent roll'!D75*'7. The customer'!$B$11+F76*C76/C75/(1+'7. The customer'!$B$6)</f>
        <v>3296.63744914324</v>
      </c>
    </row>
    <row r="76" customFormat="false" ht="15" hidden="false" customHeight="false" outlineLevel="0" collapsed="false">
      <c r="A76" s="0" t="n">
        <v>71</v>
      </c>
      <c r="B76" s="17" t="n">
        <f aca="false">'3. Assumptions'!$B$12+IF(AND(A76&gt;='3. Assumptions'!$B$7,MOD(A76-'3. Assumptions'!$B$7,'3. Assumptions'!$B$8)=0),MIN('3. Assumptions'!$B$16,'3. Assumptions'!$B$13*('3. Assumptions'!$B$9/'3. Assumptions'!$B$15)^'3. Assumptions'!$B$14),0)</f>
        <v>0.0965</v>
      </c>
      <c r="C76" s="17" t="n">
        <f aca="false">C75*(1-B75)</f>
        <v>0.00513474196414431</v>
      </c>
      <c r="D76" s="11" t="n">
        <f aca="false">IF(A76&lt;'3. Assumptions'!$B$7,0,1+INT((A76-'3. Assumptions'!$B$7)/'3. Assumptions'!$B$8))</f>
        <v>12</v>
      </c>
      <c r="E76" s="17" t="n">
        <f aca="false">MIN((1+'3. Assumptions'!$B$9)^D76,'3. Assumptions'!$B$10)-1</f>
        <v>0.62</v>
      </c>
      <c r="F76" s="31" t="n">
        <f aca="false">'7. The customer'!$B$4*'5. The rent roll'!D76*'7. The customer'!$B$11+F77*C77/C76/(1+'7. The customer'!$B$6)</f>
        <v>3276.62837819452</v>
      </c>
    </row>
    <row r="77" customFormat="false" ht="15" hidden="false" customHeight="false" outlineLevel="0" collapsed="false">
      <c r="A77" s="0" t="n">
        <v>72</v>
      </c>
      <c r="B77" s="17" t="n">
        <f aca="false">'3. Assumptions'!$B$12+IF(AND(A77&gt;='3. Assumptions'!$B$7,MOD(A77-'3. Assumptions'!$B$7,'3. Assumptions'!$B$8)=0),MIN('3. Assumptions'!$B$16,'3. Assumptions'!$B$13*('3. Assumptions'!$B$9/'3. Assumptions'!$B$15)^'3. Assumptions'!$B$14),0)</f>
        <v>0.0665</v>
      </c>
      <c r="C77" s="17" t="n">
        <f aca="false">C76*(1-B76)</f>
        <v>0.00463923936460438</v>
      </c>
      <c r="D77" s="11" t="n">
        <f aca="false">IF(A77&lt;'3. Assumptions'!$B$7,0,1+INT((A77-'3. Assumptions'!$B$7)/'3. Assumptions'!$B$8))</f>
        <v>12</v>
      </c>
      <c r="E77" s="17" t="n">
        <f aca="false">MIN((1+'3. Assumptions'!$B$9)^D77,'3. Assumptions'!$B$10)-1</f>
        <v>0.62</v>
      </c>
      <c r="F77" s="31" t="n">
        <f aca="false">'7. The customer'!$B$4*'5. The rent roll'!D77*'7. The customer'!$B$11+F78*C78/C77/(1+'7. The customer'!$B$6)</f>
        <v>3363.12983082867</v>
      </c>
    </row>
    <row r="78" customFormat="false" ht="15" hidden="false" customHeight="false" outlineLevel="0" collapsed="false">
      <c r="A78" s="0" t="n">
        <v>73</v>
      </c>
      <c r="B78" s="17" t="n">
        <f aca="false">'3. Assumptions'!$B$12+IF(AND(A78&gt;='3. Assumptions'!$B$7,MOD(A78-'3. Assumptions'!$B$7,'3. Assumptions'!$B$8)=0),MIN('3. Assumptions'!$B$16,'3. Assumptions'!$B$13*('3. Assumptions'!$B$9/'3. Assumptions'!$B$15)^'3. Assumptions'!$B$14),0)</f>
        <v>0.0665</v>
      </c>
      <c r="C78" s="17" t="n">
        <f aca="false">C77*(1-B77)</f>
        <v>0.00433072994685819</v>
      </c>
      <c r="D78" s="11" t="n">
        <f aca="false">IF(A78&lt;'3. Assumptions'!$B$7,0,1+INT((A78-'3. Assumptions'!$B$7)/'3. Assumptions'!$B$8))</f>
        <v>12</v>
      </c>
      <c r="E78" s="17" t="n">
        <f aca="false">MIN((1+'3. Assumptions'!$B$9)^D78,'3. Assumptions'!$B$10)-1</f>
        <v>0.62</v>
      </c>
      <c r="F78" s="31" t="n">
        <f aca="false">'7. The customer'!$B$4*'5. The rent roll'!D78*'7. The customer'!$B$11+F79*C79/C78/(1+'7. The customer'!$B$6)</f>
        <v>3348.34063057101</v>
      </c>
    </row>
    <row r="79" customFormat="false" ht="15" hidden="false" customHeight="false" outlineLevel="0" collapsed="false">
      <c r="A79" s="0" t="n">
        <v>74</v>
      </c>
      <c r="B79" s="17" t="n">
        <f aca="false">'3. Assumptions'!$B$12+IF(AND(A79&gt;='3. Assumptions'!$B$7,MOD(A79-'3. Assumptions'!$B$7,'3. Assumptions'!$B$8)=0),MIN('3. Assumptions'!$B$16,'3. Assumptions'!$B$13*('3. Assumptions'!$B$9/'3. Assumptions'!$B$15)^'3. Assumptions'!$B$14),0)</f>
        <v>0.0665</v>
      </c>
      <c r="C79" s="17" t="n">
        <f aca="false">C78*(1-B78)</f>
        <v>0.00404273640539212</v>
      </c>
      <c r="D79" s="11" t="n">
        <f aca="false">IF(A79&lt;'3. Assumptions'!$B$7,0,1+INT((A79-'3. Assumptions'!$B$7)/'3. Assumptions'!$B$8))</f>
        <v>12</v>
      </c>
      <c r="E79" s="17" t="n">
        <f aca="false">MIN((1+'3. Assumptions'!$B$9)^D79,'3. Assumptions'!$B$10)-1</f>
        <v>0.62</v>
      </c>
      <c r="F79" s="31" t="n">
        <f aca="false">'7. The customer'!$B$4*'5. The rent roll'!D79*'7. The customer'!$B$11+F80*C80/C79/(1+'7. The customer'!$B$6)</f>
        <v>3332.39042944359</v>
      </c>
    </row>
    <row r="80" customFormat="false" ht="15" hidden="false" customHeight="false" outlineLevel="0" collapsed="false">
      <c r="A80" s="0" t="n">
        <v>75</v>
      </c>
      <c r="B80" s="17" t="n">
        <f aca="false">'3. Assumptions'!$B$12+IF(AND(A80&gt;='3. Assumptions'!$B$7,MOD(A80-'3. Assumptions'!$B$7,'3. Assumptions'!$B$8)=0),MIN('3. Assumptions'!$B$16,'3. Assumptions'!$B$13*('3. Assumptions'!$B$9/'3. Assumptions'!$B$15)^'3. Assumptions'!$B$14),0)</f>
        <v>0.0665</v>
      </c>
      <c r="C80" s="17" t="n">
        <f aca="false">C79*(1-B79)</f>
        <v>0.00377389443443354</v>
      </c>
      <c r="D80" s="11" t="n">
        <f aca="false">IF(A80&lt;'3. Assumptions'!$B$7,0,1+INT((A80-'3. Assumptions'!$B$7)/'3. Assumptions'!$B$8))</f>
        <v>12</v>
      </c>
      <c r="E80" s="17" t="n">
        <f aca="false">MIN((1+'3. Assumptions'!$B$9)^D80,'3. Assumptions'!$B$10)-1</f>
        <v>0.62</v>
      </c>
      <c r="F80" s="31" t="n">
        <f aca="false">'7. The customer'!$B$4*'5. The rent roll'!D80*'7. The customer'!$B$11+F81*C81/C80/(1+'7. The customer'!$B$6)</f>
        <v>3315.18808505899</v>
      </c>
    </row>
    <row r="81" customFormat="false" ht="15" hidden="false" customHeight="false" outlineLevel="0" collapsed="false">
      <c r="A81" s="0" t="n">
        <v>76</v>
      </c>
      <c r="B81" s="17" t="n">
        <f aca="false">'3. Assumptions'!$B$12+IF(AND(A81&gt;='3. Assumptions'!$B$7,MOD(A81-'3. Assumptions'!$B$7,'3. Assumptions'!$B$8)=0),MIN('3. Assumptions'!$B$16,'3. Assumptions'!$B$13*('3. Assumptions'!$B$9/'3. Assumptions'!$B$15)^'3. Assumptions'!$B$14),0)</f>
        <v>0.0665</v>
      </c>
      <c r="C81" s="17" t="n">
        <f aca="false">C80*(1-B80)</f>
        <v>0.00352293045454371</v>
      </c>
      <c r="D81" s="11" t="n">
        <f aca="false">IF(A81&lt;'3. Assumptions'!$B$7,0,1+INT((A81-'3. Assumptions'!$B$7)/'3. Assumptions'!$B$8))</f>
        <v>12</v>
      </c>
      <c r="E81" s="17" t="n">
        <f aca="false">MIN((1+'3. Assumptions'!$B$9)^D81,'3. Assumptions'!$B$10)-1</f>
        <v>0.62</v>
      </c>
      <c r="F81" s="31" t="n">
        <f aca="false">'7. The customer'!$B$4*'5. The rent roll'!D81*'7. The customer'!$B$11+F82*C82/C81/(1+'7. The customer'!$B$6)</f>
        <v>3296.63530005255</v>
      </c>
    </row>
    <row r="82" customFormat="false" ht="15" hidden="false" customHeight="false" outlineLevel="0" collapsed="false">
      <c r="A82" s="0" t="n">
        <v>77</v>
      </c>
      <c r="B82" s="17" t="n">
        <f aca="false">'3. Assumptions'!$B$12+IF(AND(A82&gt;='3. Assumptions'!$B$7,MOD(A82-'3. Assumptions'!$B$7,'3. Assumptions'!$B$8)=0),MIN('3. Assumptions'!$B$16,'3. Assumptions'!$B$13*('3. Assumptions'!$B$9/'3. Assumptions'!$B$15)^'3. Assumptions'!$B$14),0)</f>
        <v>0.0965</v>
      </c>
      <c r="C82" s="17" t="n">
        <f aca="false">C81*(1-B81)</f>
        <v>0.00328865557931656</v>
      </c>
      <c r="D82" s="11" t="n">
        <f aca="false">IF(A82&lt;'3. Assumptions'!$B$7,0,1+INT((A82-'3. Assumptions'!$B$7)/'3. Assumptions'!$B$8))</f>
        <v>13</v>
      </c>
      <c r="E82" s="17" t="n">
        <f aca="false">MIN((1+'3. Assumptions'!$B$9)^D82,'3. Assumptions'!$B$10)-1</f>
        <v>0.62</v>
      </c>
      <c r="F82" s="31" t="n">
        <f aca="false">'7. The customer'!$B$4*'5. The rent roll'!D82*'7. The customer'!$B$11+F83*C83/C82/(1+'7. The customer'!$B$6)</f>
        <v>3276.62606039315</v>
      </c>
    </row>
    <row r="83" customFormat="false" ht="15" hidden="false" customHeight="false" outlineLevel="0" collapsed="false">
      <c r="A83" s="0" t="n">
        <v>78</v>
      </c>
      <c r="B83" s="17" t="n">
        <f aca="false">'3. Assumptions'!$B$12+IF(AND(A83&gt;='3. Assumptions'!$B$7,MOD(A83-'3. Assumptions'!$B$7,'3. Assumptions'!$B$8)=0),MIN('3. Assumptions'!$B$16,'3. Assumptions'!$B$13*('3. Assumptions'!$B$9/'3. Assumptions'!$B$15)^'3. Assumptions'!$B$14),0)</f>
        <v>0.0665</v>
      </c>
      <c r="C83" s="17" t="n">
        <f aca="false">C82*(1-B82)</f>
        <v>0.00297130031591251</v>
      </c>
      <c r="D83" s="11" t="n">
        <f aca="false">IF(A83&lt;'3. Assumptions'!$B$7,0,1+INT((A83-'3. Assumptions'!$B$7)/'3. Assumptions'!$B$8))</f>
        <v>13</v>
      </c>
      <c r="E83" s="17" t="n">
        <f aca="false">MIN((1+'3. Assumptions'!$B$9)^D83,'3. Assumptions'!$B$10)-1</f>
        <v>0.62</v>
      </c>
      <c r="F83" s="31" t="n">
        <f aca="false">'7. The customer'!$B$4*'5. The rent roll'!D83*'7. The customer'!$B$11+F84*C84/C83/(1+'7. The customer'!$B$6)</f>
        <v>3363.12724806984</v>
      </c>
    </row>
    <row r="84" customFormat="false" ht="15" hidden="false" customHeight="false" outlineLevel="0" collapsed="false">
      <c r="A84" s="0" t="n">
        <v>79</v>
      </c>
      <c r="B84" s="17" t="n">
        <f aca="false">'3. Assumptions'!$B$12+IF(AND(A84&gt;='3. Assumptions'!$B$7,MOD(A84-'3. Assumptions'!$B$7,'3. Assumptions'!$B$8)=0),MIN('3. Assumptions'!$B$16,'3. Assumptions'!$B$13*('3. Assumptions'!$B$9/'3. Assumptions'!$B$15)^'3. Assumptions'!$B$14),0)</f>
        <v>0.0665</v>
      </c>
      <c r="C84" s="17" t="n">
        <f aca="false">C83*(1-B83)</f>
        <v>0.00277370884490433</v>
      </c>
      <c r="D84" s="11" t="n">
        <f aca="false">IF(A84&lt;'3. Assumptions'!$B$7,0,1+INT((A84-'3. Assumptions'!$B$7)/'3. Assumptions'!$B$8))</f>
        <v>13</v>
      </c>
      <c r="E84" s="17" t="n">
        <f aca="false">MIN((1+'3. Assumptions'!$B$9)^D84,'3. Assumptions'!$B$10)-1</f>
        <v>0.62</v>
      </c>
      <c r="F84" s="31" t="n">
        <f aca="false">'7. The customer'!$B$4*'5. The rent roll'!D84*'7. The customer'!$B$11+F85*C85/C84/(1+'7. The customer'!$B$6)</f>
        <v>3348.33784505711</v>
      </c>
    </row>
    <row r="85" customFormat="false" ht="15" hidden="false" customHeight="false" outlineLevel="0" collapsed="false">
      <c r="A85" s="0" t="n">
        <v>80</v>
      </c>
      <c r="B85" s="17" t="n">
        <f aca="false">'3. Assumptions'!$B$12+IF(AND(A85&gt;='3. Assumptions'!$B$7,MOD(A85-'3. Assumptions'!$B$7,'3. Assumptions'!$B$8)=0),MIN('3. Assumptions'!$B$16,'3. Assumptions'!$B$13*('3. Assumptions'!$B$9/'3. Assumptions'!$B$15)^'3. Assumptions'!$B$14),0)</f>
        <v>0.0665</v>
      </c>
      <c r="C85" s="17" t="n">
        <f aca="false">C84*(1-B84)</f>
        <v>0.00258925720671819</v>
      </c>
      <c r="D85" s="11" t="n">
        <f aca="false">IF(A85&lt;'3. Assumptions'!$B$7,0,1+INT((A85-'3. Assumptions'!$B$7)/'3. Assumptions'!$B$8))</f>
        <v>13</v>
      </c>
      <c r="E85" s="17" t="n">
        <f aca="false">MIN((1+'3. Assumptions'!$B$9)^D85,'3. Assumptions'!$B$10)-1</f>
        <v>0.62</v>
      </c>
      <c r="F85" s="31" t="n">
        <f aca="false">'7. The customer'!$B$4*'5. The rent roll'!D85*'7. The customer'!$B$11+F86*C86/C85/(1+'7. The customer'!$B$6)</f>
        <v>3332.38742525769</v>
      </c>
    </row>
    <row r="86" customFormat="false" ht="15" hidden="false" customHeight="false" outlineLevel="0" collapsed="false">
      <c r="A86" s="0" t="n">
        <v>81</v>
      </c>
      <c r="B86" s="17" t="n">
        <f aca="false">'3. Assumptions'!$B$12+IF(AND(A86&gt;='3. Assumptions'!$B$7,MOD(A86-'3. Assumptions'!$B$7,'3. Assumptions'!$B$8)=0),MIN('3. Assumptions'!$B$16,'3. Assumptions'!$B$13*('3. Assumptions'!$B$9/'3. Assumptions'!$B$15)^'3. Assumptions'!$B$14),0)</f>
        <v>0.0665</v>
      </c>
      <c r="C86" s="17" t="n">
        <f aca="false">C85*(1-B85)</f>
        <v>0.00241707160247143</v>
      </c>
      <c r="D86" s="11" t="n">
        <f aca="false">IF(A86&lt;'3. Assumptions'!$B$7,0,1+INT((A86-'3. Assumptions'!$B$7)/'3. Assumptions'!$B$8))</f>
        <v>13</v>
      </c>
      <c r="E86" s="17" t="n">
        <f aca="false">MIN((1+'3. Assumptions'!$B$9)^D86,'3. Assumptions'!$B$10)-1</f>
        <v>0.62</v>
      </c>
      <c r="F86" s="31" t="n">
        <f aca="false">'7. The customer'!$B$4*'5. The rent roll'!D86*'7. The customer'!$B$11+F87*C87/C86/(1+'7. The customer'!$B$6)</f>
        <v>3315.18484503461</v>
      </c>
    </row>
    <row r="87" customFormat="false" ht="15" hidden="false" customHeight="false" outlineLevel="0" collapsed="false">
      <c r="A87" s="0" t="n">
        <v>82</v>
      </c>
      <c r="B87" s="17" t="n">
        <f aca="false">'3. Assumptions'!$B$12+IF(AND(A87&gt;='3. Assumptions'!$B$7,MOD(A87-'3. Assumptions'!$B$7,'3. Assumptions'!$B$8)=0),MIN('3. Assumptions'!$B$16,'3. Assumptions'!$B$13*('3. Assumptions'!$B$9/'3. Assumptions'!$B$15)^'3. Assumptions'!$B$14),0)</f>
        <v>0.0665</v>
      </c>
      <c r="C87" s="17" t="n">
        <f aca="false">C86*(1-B86)</f>
        <v>0.00225633634090708</v>
      </c>
      <c r="D87" s="11" t="n">
        <f aca="false">IF(A87&lt;'3. Assumptions'!$B$7,0,1+INT((A87-'3. Assumptions'!$B$7)/'3. Assumptions'!$B$8))</f>
        <v>13</v>
      </c>
      <c r="E87" s="17" t="n">
        <f aca="false">MIN((1+'3. Assumptions'!$B$9)^D87,'3. Assumptions'!$B$10)-1</f>
        <v>0.62</v>
      </c>
      <c r="F87" s="31" t="n">
        <f aca="false">'7. The customer'!$B$4*'5. The rent roll'!D87*'7. The customer'!$B$11+F88*C88/C87/(1+'7. The customer'!$B$6)</f>
        <v>3296.6318056756</v>
      </c>
    </row>
    <row r="88" customFormat="false" ht="15" hidden="false" customHeight="false" outlineLevel="0" collapsed="false">
      <c r="A88" s="0" t="n">
        <v>83</v>
      </c>
      <c r="B88" s="17" t="n">
        <f aca="false">'3. Assumptions'!$B$12+IF(AND(A88&gt;='3. Assumptions'!$B$7,MOD(A88-'3. Assumptions'!$B$7,'3. Assumptions'!$B$8)=0),MIN('3. Assumptions'!$B$16,'3. Assumptions'!$B$13*('3. Assumptions'!$B$9/'3. Assumptions'!$B$15)^'3. Assumptions'!$B$14),0)</f>
        <v>0.0965</v>
      </c>
      <c r="C88" s="17" t="n">
        <f aca="false">C87*(1-B87)</f>
        <v>0.00210628997423676</v>
      </c>
      <c r="D88" s="11" t="n">
        <f aca="false">IF(A88&lt;'3. Assumptions'!$B$7,0,1+INT((A88-'3. Assumptions'!$B$7)/'3. Assumptions'!$B$8))</f>
        <v>14</v>
      </c>
      <c r="E88" s="17" t="n">
        <f aca="false">MIN((1+'3. Assumptions'!$B$9)^D88,'3. Assumptions'!$B$10)-1</f>
        <v>0.62</v>
      </c>
      <c r="F88" s="31" t="n">
        <f aca="false">'7. The customer'!$B$4*'5. The rent roll'!D88*'7. The customer'!$B$11+F89*C89/C88/(1+'7. The customer'!$B$6)</f>
        <v>3276.62229169611</v>
      </c>
    </row>
    <row r="89" customFormat="false" ht="15" hidden="false" customHeight="false" outlineLevel="0" collapsed="false">
      <c r="A89" s="0" t="n">
        <v>84</v>
      </c>
      <c r="B89" s="17" t="n">
        <f aca="false">'3. Assumptions'!$B$12+IF(AND(A89&gt;='3. Assumptions'!$B$7,MOD(A89-'3. Assumptions'!$B$7,'3. Assumptions'!$B$8)=0),MIN('3. Assumptions'!$B$16,'3. Assumptions'!$B$13*('3. Assumptions'!$B$9/'3. Assumptions'!$B$15)^'3. Assumptions'!$B$14),0)</f>
        <v>0.0665</v>
      </c>
      <c r="C89" s="17" t="n">
        <f aca="false">C88*(1-B88)</f>
        <v>0.00190303299172291</v>
      </c>
      <c r="D89" s="11" t="n">
        <f aca="false">IF(A89&lt;'3. Assumptions'!$B$7,0,1+INT((A89-'3. Assumptions'!$B$7)/'3. Assumptions'!$B$8))</f>
        <v>14</v>
      </c>
      <c r="E89" s="17" t="n">
        <f aca="false">MIN((1+'3. Assumptions'!$B$9)^D89,'3. Assumptions'!$B$10)-1</f>
        <v>0.62</v>
      </c>
      <c r="F89" s="31" t="n">
        <f aca="false">'7. The customer'!$B$4*'5. The rent roll'!D89*'7. The customer'!$B$11+F90*C90/C89/(1+'7. The customer'!$B$6)</f>
        <v>3363.12304855746</v>
      </c>
    </row>
    <row r="90" customFormat="false" ht="15" hidden="false" customHeight="false" outlineLevel="0" collapsed="false">
      <c r="A90" s="0" t="n">
        <v>85</v>
      </c>
      <c r="B90" s="17" t="n">
        <f aca="false">'3. Assumptions'!$B$12+IF(AND(A90&gt;='3. Assumptions'!$B$7,MOD(A90-'3. Assumptions'!$B$7,'3. Assumptions'!$B$8)=0),MIN('3. Assumptions'!$B$16,'3. Assumptions'!$B$13*('3. Assumptions'!$B$9/'3. Assumptions'!$B$15)^'3. Assumptions'!$B$14),0)</f>
        <v>0.0665</v>
      </c>
      <c r="C90" s="17" t="n">
        <f aca="false">C89*(1-B89)</f>
        <v>0.00177648129777334</v>
      </c>
      <c r="D90" s="11" t="n">
        <f aca="false">IF(A90&lt;'3. Assumptions'!$B$7,0,1+INT((A90-'3. Assumptions'!$B$7)/'3. Assumptions'!$B$8))</f>
        <v>14</v>
      </c>
      <c r="E90" s="17" t="n">
        <f aca="false">MIN((1+'3. Assumptions'!$B$9)^D90,'3. Assumptions'!$B$10)-1</f>
        <v>0.62</v>
      </c>
      <c r="F90" s="31" t="n">
        <f aca="false">'7. The customer'!$B$4*'5. The rent roll'!D90*'7. The customer'!$B$11+F91*C91/C90/(1+'7. The customer'!$B$6)</f>
        <v>3348.3333158692</v>
      </c>
    </row>
    <row r="91" customFormat="false" ht="15" hidden="false" customHeight="false" outlineLevel="0" collapsed="false">
      <c r="A91" s="0" t="n">
        <v>86</v>
      </c>
      <c r="B91" s="17" t="n">
        <f aca="false">'3. Assumptions'!$B$12+IF(AND(A91&gt;='3. Assumptions'!$B$7,MOD(A91-'3. Assumptions'!$B$7,'3. Assumptions'!$B$8)=0),MIN('3. Assumptions'!$B$16,'3. Assumptions'!$B$13*('3. Assumptions'!$B$9/'3. Assumptions'!$B$15)^'3. Assumptions'!$B$14),0)</f>
        <v>0.0665</v>
      </c>
      <c r="C91" s="17" t="n">
        <f aca="false">C90*(1-B90)</f>
        <v>0.00165834529147141</v>
      </c>
      <c r="D91" s="11" t="n">
        <f aca="false">IF(A91&lt;'3. Assumptions'!$B$7,0,1+INT((A91-'3. Assumptions'!$B$7)/'3. Assumptions'!$B$8))</f>
        <v>14</v>
      </c>
      <c r="E91" s="17" t="n">
        <f aca="false">MIN((1+'3. Assumptions'!$B$9)^D91,'3. Assumptions'!$B$10)-1</f>
        <v>0.62</v>
      </c>
      <c r="F91" s="31" t="n">
        <f aca="false">'7. The customer'!$B$4*'5. The rent roll'!D91*'7. The customer'!$B$11+F92*C92/C91/(1+'7. The customer'!$B$6)</f>
        <v>3332.38254051363</v>
      </c>
    </row>
    <row r="92" customFormat="false" ht="15" hidden="false" customHeight="false" outlineLevel="0" collapsed="false">
      <c r="A92" s="0" t="n">
        <v>87</v>
      </c>
      <c r="B92" s="17" t="n">
        <f aca="false">'3. Assumptions'!$B$12+IF(AND(A92&gt;='3. Assumptions'!$B$7,MOD(A92-'3. Assumptions'!$B$7,'3. Assumptions'!$B$8)=0),MIN('3. Assumptions'!$B$16,'3. Assumptions'!$B$13*('3. Assumptions'!$B$9/'3. Assumptions'!$B$15)^'3. Assumptions'!$B$14),0)</f>
        <v>0.0665</v>
      </c>
      <c r="C92" s="17" t="n">
        <f aca="false">C91*(1-B91)</f>
        <v>0.00154806532958856</v>
      </c>
      <c r="D92" s="11" t="n">
        <f aca="false">IF(A92&lt;'3. Assumptions'!$B$7,0,1+INT((A92-'3. Assumptions'!$B$7)/'3. Assumptions'!$B$8))</f>
        <v>14</v>
      </c>
      <c r="E92" s="17" t="n">
        <f aca="false">MIN((1+'3. Assumptions'!$B$9)^D92,'3. Assumptions'!$B$10)-1</f>
        <v>0.62</v>
      </c>
      <c r="F92" s="31" t="n">
        <f aca="false">'7. The customer'!$B$4*'5. The rent roll'!D92*'7. The customer'!$B$11+F93*C93/C92/(1+'7. The customer'!$B$6)</f>
        <v>3315.17957682207</v>
      </c>
    </row>
    <row r="93" customFormat="false" ht="15" hidden="false" customHeight="false" outlineLevel="0" collapsed="false">
      <c r="A93" s="0" t="n">
        <v>88</v>
      </c>
      <c r="B93" s="17" t="n">
        <f aca="false">'3. Assumptions'!$B$12+IF(AND(A93&gt;='3. Assumptions'!$B$7,MOD(A93-'3. Assumptions'!$B$7,'3. Assumptions'!$B$8)=0),MIN('3. Assumptions'!$B$16,'3. Assumptions'!$B$13*('3. Assumptions'!$B$9/'3. Assumptions'!$B$15)^'3. Assumptions'!$B$14),0)</f>
        <v>0.0665</v>
      </c>
      <c r="C93" s="17" t="n">
        <f aca="false">C92*(1-B92)</f>
        <v>0.00144511898517092</v>
      </c>
      <c r="D93" s="11" t="n">
        <f aca="false">IF(A93&lt;'3. Assumptions'!$B$7,0,1+INT((A93-'3. Assumptions'!$B$7)/'3. Assumptions'!$B$8))</f>
        <v>14</v>
      </c>
      <c r="E93" s="17" t="n">
        <f aca="false">MIN((1+'3. Assumptions'!$B$9)^D93,'3. Assumptions'!$B$10)-1</f>
        <v>0.62</v>
      </c>
      <c r="F93" s="31" t="n">
        <f aca="false">'7. The customer'!$B$4*'5. The rent roll'!D93*'7. The customer'!$B$11+F94*C94/C93/(1+'7. The customer'!$B$6)</f>
        <v>3296.62612389105</v>
      </c>
    </row>
    <row r="94" customFormat="false" ht="15" hidden="false" customHeight="false" outlineLevel="0" collapsed="false">
      <c r="A94" s="0" t="n">
        <v>89</v>
      </c>
      <c r="B94" s="17" t="n">
        <f aca="false">'3. Assumptions'!$B$12+IF(AND(A94&gt;='3. Assumptions'!$B$7,MOD(A94-'3. Assumptions'!$B$7,'3. Assumptions'!$B$8)=0),MIN('3. Assumptions'!$B$16,'3. Assumptions'!$B$13*('3. Assumptions'!$B$9/'3. Assumptions'!$B$15)^'3. Assumptions'!$B$14),0)</f>
        <v>0.0965</v>
      </c>
      <c r="C94" s="17" t="n">
        <f aca="false">C93*(1-B93)</f>
        <v>0.00134901857265706</v>
      </c>
      <c r="D94" s="11" t="n">
        <f aca="false">IF(A94&lt;'3. Assumptions'!$B$7,0,1+INT((A94-'3. Assumptions'!$B$7)/'3. Assumptions'!$B$8))</f>
        <v>15</v>
      </c>
      <c r="E94" s="17" t="n">
        <f aca="false">MIN((1+'3. Assumptions'!$B$9)^D94,'3. Assumptions'!$B$10)-1</f>
        <v>0.62</v>
      </c>
      <c r="F94" s="31" t="n">
        <f aca="false">'7. The customer'!$B$4*'5. The rent roll'!D94*'7. The customer'!$B$11+F95*C95/C94/(1+'7. The customer'!$B$6)</f>
        <v>3276.61616387278</v>
      </c>
    </row>
    <row r="95" customFormat="false" ht="15" hidden="false" customHeight="false" outlineLevel="0" collapsed="false">
      <c r="A95" s="0" t="n">
        <v>90</v>
      </c>
      <c r="B95" s="17" t="n">
        <f aca="false">'3. Assumptions'!$B$12+IF(AND(A95&gt;='3. Assumptions'!$B$7,MOD(A95-'3. Assumptions'!$B$7,'3. Assumptions'!$B$8)=0),MIN('3. Assumptions'!$B$16,'3. Assumptions'!$B$13*('3. Assumptions'!$B$9/'3. Assumptions'!$B$15)^'3. Assumptions'!$B$14),0)</f>
        <v>0.0665</v>
      </c>
      <c r="C95" s="17" t="n">
        <f aca="false">C94*(1-B94)</f>
        <v>0.00121883828039565</v>
      </c>
      <c r="D95" s="11" t="n">
        <f aca="false">IF(A95&lt;'3. Assumptions'!$B$7,0,1+INT((A95-'3. Assumptions'!$B$7)/'3. Assumptions'!$B$8))</f>
        <v>15</v>
      </c>
      <c r="E95" s="17" t="n">
        <f aca="false">MIN((1+'3. Assumptions'!$B$9)^D95,'3. Assumptions'!$B$10)-1</f>
        <v>0.62</v>
      </c>
      <c r="F95" s="31" t="n">
        <f aca="false">'7. The customer'!$B$4*'5. The rent roll'!D95*'7. The customer'!$B$11+F96*C96/C95/(1+'7. The customer'!$B$6)</f>
        <v>3363.1162202373</v>
      </c>
    </row>
    <row r="96" customFormat="false" ht="15" hidden="false" customHeight="false" outlineLevel="0" collapsed="false">
      <c r="A96" s="0" t="n">
        <v>91</v>
      </c>
      <c r="B96" s="17" t="n">
        <f aca="false">'3. Assumptions'!$B$12+IF(AND(A96&gt;='3. Assumptions'!$B$7,MOD(A96-'3. Assumptions'!$B$7,'3. Assumptions'!$B$8)=0),MIN('3. Assumptions'!$B$16,'3. Assumptions'!$B$13*('3. Assumptions'!$B$9/'3. Assumptions'!$B$15)^'3. Assumptions'!$B$14),0)</f>
        <v>0.0665</v>
      </c>
      <c r="C96" s="17" t="n">
        <f aca="false">C95*(1-B95)</f>
        <v>0.00113778553474934</v>
      </c>
      <c r="D96" s="11" t="n">
        <f aca="false">IF(A96&lt;'3. Assumptions'!$B$7,0,1+INT((A96-'3. Assumptions'!$B$7)/'3. Assumptions'!$B$8))</f>
        <v>15</v>
      </c>
      <c r="E96" s="17" t="n">
        <f aca="false">MIN((1+'3. Assumptions'!$B$9)^D96,'3. Assumptions'!$B$10)-1</f>
        <v>0.62</v>
      </c>
      <c r="F96" s="31" t="n">
        <f aca="false">'7. The customer'!$B$4*'5. The rent roll'!D96*'7. The customer'!$B$11+F97*C97/C96/(1+'7. The customer'!$B$6)</f>
        <v>3348.32595150345</v>
      </c>
    </row>
    <row r="97" customFormat="false" ht="15" hidden="false" customHeight="false" outlineLevel="0" collapsed="false">
      <c r="A97" s="0" t="n">
        <v>92</v>
      </c>
      <c r="B97" s="17" t="n">
        <f aca="false">'3. Assumptions'!$B$12+IF(AND(A97&gt;='3. Assumptions'!$B$7,MOD(A97-'3. Assumptions'!$B$7,'3. Assumptions'!$B$8)=0),MIN('3. Assumptions'!$B$16,'3. Assumptions'!$B$13*('3. Assumptions'!$B$9/'3. Assumptions'!$B$15)^'3. Assumptions'!$B$14),0)</f>
        <v>0.0665</v>
      </c>
      <c r="C97" s="17" t="n">
        <f aca="false">C96*(1-B96)</f>
        <v>0.00106212279668851</v>
      </c>
      <c r="D97" s="11" t="n">
        <f aca="false">IF(A97&lt;'3. Assumptions'!$B$7,0,1+INT((A97-'3. Assumptions'!$B$7)/'3. Assumptions'!$B$8))</f>
        <v>15</v>
      </c>
      <c r="E97" s="17" t="n">
        <f aca="false">MIN((1+'3. Assumptions'!$B$9)^D97,'3. Assumptions'!$B$10)-1</f>
        <v>0.62</v>
      </c>
      <c r="F97" s="31" t="n">
        <f aca="false">'7. The customer'!$B$4*'5. The rent roll'!D97*'7. The customer'!$B$11+F98*C98/C97/(1+'7. The customer'!$B$6)</f>
        <v>3332.37459802094</v>
      </c>
    </row>
    <row r="98" customFormat="false" ht="15" hidden="false" customHeight="false" outlineLevel="0" collapsed="false">
      <c r="A98" s="0" t="n">
        <v>93</v>
      </c>
      <c r="B98" s="17" t="n">
        <f aca="false">'3. Assumptions'!$B$12+IF(AND(A98&gt;='3. Assumptions'!$B$7,MOD(A98-'3. Assumptions'!$B$7,'3. Assumptions'!$B$8)=0),MIN('3. Assumptions'!$B$16,'3. Assumptions'!$B$13*('3. Assumptions'!$B$9/'3. Assumptions'!$B$15)^'3. Assumptions'!$B$14),0)</f>
        <v>0.0665</v>
      </c>
      <c r="C98" s="17" t="n">
        <f aca="false">C97*(1-B97)</f>
        <v>0.000991491630708723</v>
      </c>
      <c r="D98" s="11" t="n">
        <f aca="false">IF(A98&lt;'3. Assumptions'!$B$7,0,1+INT((A98-'3. Assumptions'!$B$7)/'3. Assumptions'!$B$8))</f>
        <v>15</v>
      </c>
      <c r="E98" s="17" t="n">
        <f aca="false">MIN((1+'3. Assumptions'!$B$9)^D98,'3. Assumptions'!$B$10)-1</f>
        <v>0.62</v>
      </c>
      <c r="F98" s="31" t="n">
        <f aca="false">'7. The customer'!$B$4*'5. The rent roll'!D98*'7. The customer'!$B$11+F99*C99/C98/(1+'7. The customer'!$B$6)</f>
        <v>3315.17101081758</v>
      </c>
    </row>
    <row r="99" customFormat="false" ht="15" hidden="false" customHeight="false" outlineLevel="0" collapsed="false">
      <c r="A99" s="0" t="n">
        <v>94</v>
      </c>
      <c r="B99" s="17" t="n">
        <f aca="false">'3. Assumptions'!$B$12+IF(AND(A99&gt;='3. Assumptions'!$B$7,MOD(A99-'3. Assumptions'!$B$7,'3. Assumptions'!$B$8)=0),MIN('3. Assumptions'!$B$16,'3. Assumptions'!$B$13*('3. Assumptions'!$B$9/'3. Assumptions'!$B$15)^'3. Assumptions'!$B$14),0)</f>
        <v>0.0665</v>
      </c>
      <c r="C99" s="17" t="n">
        <f aca="false">C98*(1-B98)</f>
        <v>0.000925557437266593</v>
      </c>
      <c r="D99" s="11" t="n">
        <f aca="false">IF(A99&lt;'3. Assumptions'!$B$7,0,1+INT((A99-'3. Assumptions'!$B$7)/'3. Assumptions'!$B$8))</f>
        <v>15</v>
      </c>
      <c r="E99" s="17" t="n">
        <f aca="false">MIN((1+'3. Assumptions'!$B$9)^D99,'3. Assumptions'!$B$10)-1</f>
        <v>0.62</v>
      </c>
      <c r="F99" s="31" t="n">
        <f aca="false">'7. The customer'!$B$4*'5. The rent roll'!D99*'7. The customer'!$B$11+F100*C100/C99/(1+'7. The customer'!$B$6)</f>
        <v>3296.61688542703</v>
      </c>
    </row>
    <row r="100" customFormat="false" ht="15" hidden="false" customHeight="false" outlineLevel="0" collapsed="false">
      <c r="A100" s="0" t="n">
        <v>95</v>
      </c>
      <c r="B100" s="17" t="n">
        <f aca="false">'3. Assumptions'!$B$12+IF(AND(A100&gt;='3. Assumptions'!$B$7,MOD(A100-'3. Assumptions'!$B$7,'3. Assumptions'!$B$8)=0),MIN('3. Assumptions'!$B$16,'3. Assumptions'!$B$13*('3. Assumptions'!$B$9/'3. Assumptions'!$B$15)^'3. Assumptions'!$B$14),0)</f>
        <v>0.0965</v>
      </c>
      <c r="C100" s="17" t="n">
        <f aca="false">C99*(1-B99)</f>
        <v>0.000864007867688364</v>
      </c>
      <c r="D100" s="11" t="n">
        <f aca="false">IF(A100&lt;'3. Assumptions'!$B$7,0,1+INT((A100-'3. Assumptions'!$B$7)/'3. Assumptions'!$B$8))</f>
        <v>16</v>
      </c>
      <c r="E100" s="17" t="n">
        <f aca="false">MIN((1+'3. Assumptions'!$B$9)^D100,'3. Assumptions'!$B$10)-1</f>
        <v>0.62</v>
      </c>
      <c r="F100" s="31" t="n">
        <f aca="false">'7. The customer'!$B$4*'5. The rent roll'!D100*'7. The customer'!$B$11+F101*C101/C100/(1+'7. The customer'!$B$6)</f>
        <v>3276.60620015894</v>
      </c>
    </row>
    <row r="101" customFormat="false" ht="15" hidden="false" customHeight="false" outlineLevel="0" collapsed="false">
      <c r="A101" s="0" t="n">
        <v>96</v>
      </c>
      <c r="B101" s="17" t="n">
        <f aca="false">'3. Assumptions'!$B$12+IF(AND(A101&gt;='3. Assumptions'!$B$7,MOD(A101-'3. Assumptions'!$B$7,'3. Assumptions'!$B$8)=0),MIN('3. Assumptions'!$B$16,'3. Assumptions'!$B$13*('3. Assumptions'!$B$9/'3. Assumptions'!$B$15)^'3. Assumptions'!$B$14),0)</f>
        <v>0.0665</v>
      </c>
      <c r="C101" s="17" t="n">
        <f aca="false">C100*(1-B100)</f>
        <v>0.000780631108456437</v>
      </c>
      <c r="D101" s="11" t="n">
        <f aca="false">IF(A101&lt;'3. Assumptions'!$B$7,0,1+INT((A101-'3. Assumptions'!$B$7)/'3. Assumptions'!$B$8))</f>
        <v>16</v>
      </c>
      <c r="E101" s="17" t="n">
        <f aca="false">MIN((1+'3. Assumptions'!$B$9)^D101,'3. Assumptions'!$B$10)-1</f>
        <v>0.62</v>
      </c>
      <c r="F101" s="31" t="n">
        <f aca="false">'7. The customer'!$B$4*'5. The rent roll'!D101*'7. The customer'!$B$11+F102*C102/C101/(1+'7. The customer'!$B$6)</f>
        <v>3363.10511753014</v>
      </c>
    </row>
    <row r="102" customFormat="false" ht="15" hidden="false" customHeight="false" outlineLevel="0" collapsed="false">
      <c r="A102" s="0" t="n">
        <v>97</v>
      </c>
      <c r="B102" s="17" t="n">
        <f aca="false">'3. Assumptions'!$B$12+IF(AND(A102&gt;='3. Assumptions'!$B$7,MOD(A102-'3. Assumptions'!$B$7,'3. Assumptions'!$B$8)=0),MIN('3. Assumptions'!$B$16,'3. Assumptions'!$B$13*('3. Assumptions'!$B$9/'3. Assumptions'!$B$15)^'3. Assumptions'!$B$14),0)</f>
        <v>0.0665</v>
      </c>
      <c r="C102" s="17" t="n">
        <f aca="false">C101*(1-B101)</f>
        <v>0.000728719139744084</v>
      </c>
      <c r="D102" s="11" t="n">
        <f aca="false">IF(A102&lt;'3. Assumptions'!$B$7,0,1+INT((A102-'3. Assumptions'!$B$7)/'3. Assumptions'!$B$8))</f>
        <v>16</v>
      </c>
      <c r="E102" s="17" t="n">
        <f aca="false">MIN((1+'3. Assumptions'!$B$9)^D102,'3. Assumptions'!$B$10)-1</f>
        <v>0.62</v>
      </c>
      <c r="F102" s="31" t="n">
        <f aca="false">'7. The customer'!$B$4*'5. The rent roll'!D102*'7. The customer'!$B$11+F103*C103/C102/(1+'7. The customer'!$B$6)</f>
        <v>3348.31397719725</v>
      </c>
    </row>
    <row r="103" customFormat="false" ht="15" hidden="false" customHeight="false" outlineLevel="0" collapsed="false">
      <c r="A103" s="0" t="n">
        <v>98</v>
      </c>
      <c r="B103" s="17" t="n">
        <f aca="false">'3. Assumptions'!$B$12+IF(AND(A103&gt;='3. Assumptions'!$B$7,MOD(A103-'3. Assumptions'!$B$7,'3. Assumptions'!$B$8)=0),MIN('3. Assumptions'!$B$16,'3. Assumptions'!$B$13*('3. Assumptions'!$B$9/'3. Assumptions'!$B$15)^'3. Assumptions'!$B$14),0)</f>
        <v>0.0665</v>
      </c>
      <c r="C103" s="17" t="n">
        <f aca="false">C102*(1-B102)</f>
        <v>0.000680259316951103</v>
      </c>
      <c r="D103" s="11" t="n">
        <f aca="false">IF(A103&lt;'3. Assumptions'!$B$7,0,1+INT((A103-'3. Assumptions'!$B$7)/'3. Assumptions'!$B$8))</f>
        <v>16</v>
      </c>
      <c r="E103" s="17" t="n">
        <f aca="false">MIN((1+'3. Assumptions'!$B$9)^D103,'3. Assumptions'!$B$10)-1</f>
        <v>0.62</v>
      </c>
      <c r="F103" s="31" t="n">
        <f aca="false">'7. The customer'!$B$4*'5. The rent roll'!D103*'7. The customer'!$B$11+F104*C104/C103/(1+'7. The customer'!$B$6)</f>
        <v>3332.36168369232</v>
      </c>
    </row>
    <row r="104" customFormat="false" ht="15" hidden="false" customHeight="false" outlineLevel="0" collapsed="false">
      <c r="A104" s="0" t="n">
        <v>99</v>
      </c>
      <c r="B104" s="17" t="n">
        <f aca="false">'3. Assumptions'!$B$12+IF(AND(A104&gt;='3. Assumptions'!$B$7,MOD(A104-'3. Assumptions'!$B$7,'3. Assumptions'!$B$8)=0),MIN('3. Assumptions'!$B$16,'3. Assumptions'!$B$13*('3. Assumptions'!$B$9/'3. Assumptions'!$B$15)^'3. Assumptions'!$B$14),0)</f>
        <v>0.0665</v>
      </c>
      <c r="C104" s="17" t="n">
        <f aca="false">C103*(1-B103)</f>
        <v>0.000635022072373854</v>
      </c>
      <c r="D104" s="11" t="n">
        <f aca="false">IF(A104&lt;'3. Assumptions'!$B$7,0,1+INT((A104-'3. Assumptions'!$B$7)/'3. Assumptions'!$B$8))</f>
        <v>16</v>
      </c>
      <c r="E104" s="17" t="n">
        <f aca="false">MIN((1+'3. Assumptions'!$B$9)^D104,'3. Assumptions'!$B$10)-1</f>
        <v>0.62</v>
      </c>
      <c r="F104" s="31" t="n">
        <f aca="false">'7. The customer'!$B$4*'5. The rent roll'!D104*'7. The customer'!$B$11+F105*C105/C104/(1+'7. The customer'!$B$6)</f>
        <v>3315.15708267168</v>
      </c>
    </row>
    <row r="105" customFormat="false" ht="15" hidden="false" customHeight="false" outlineLevel="0" collapsed="false">
      <c r="A105" s="0" t="n">
        <v>100</v>
      </c>
      <c r="B105" s="17" t="n">
        <f aca="false">'3. Assumptions'!$B$12+IF(AND(A105&gt;='3. Assumptions'!$B$7,MOD(A105-'3. Assumptions'!$B$7,'3. Assumptions'!$B$8)=0),MIN('3. Assumptions'!$B$16,'3. Assumptions'!$B$13*('3. Assumptions'!$B$9/'3. Assumptions'!$B$15)^'3. Assumptions'!$B$14),0)</f>
        <v>0.0665</v>
      </c>
      <c r="C105" s="17" t="n">
        <f aca="false">C104*(1-B104)</f>
        <v>0.000592793104560993</v>
      </c>
      <c r="D105" s="11" t="n">
        <f aca="false">IF(A105&lt;'3. Assumptions'!$B$7,0,1+INT((A105-'3. Assumptions'!$B$7)/'3. Assumptions'!$B$8))</f>
        <v>16</v>
      </c>
      <c r="E105" s="17" t="n">
        <f aca="false">MIN((1+'3. Assumptions'!$B$9)^D105,'3. Assumptions'!$B$10)-1</f>
        <v>0.62</v>
      </c>
      <c r="F105" s="31" t="n">
        <f aca="false">'7. The customer'!$B$4*'5. The rent roll'!D105*'7. The customer'!$B$11+F106*C106/C105/(1+'7. The customer'!$B$6)</f>
        <v>3296.60186387586</v>
      </c>
    </row>
    <row r="106" customFormat="false" ht="15" hidden="false" customHeight="false" outlineLevel="0" collapsed="false">
      <c r="A106" s="0" t="n">
        <v>101</v>
      </c>
      <c r="B106" s="17" t="n">
        <f aca="false">'3. Assumptions'!$B$12+IF(AND(A106&gt;='3. Assumptions'!$B$7,MOD(A106-'3. Assumptions'!$B$7,'3. Assumptions'!$B$8)=0),MIN('3. Assumptions'!$B$16,'3. Assumptions'!$B$13*('3. Assumptions'!$B$9/'3. Assumptions'!$B$15)^'3. Assumptions'!$B$14),0)</f>
        <v>0.0965</v>
      </c>
      <c r="C106" s="17" t="n">
        <f aca="false">C105*(1-B105)</f>
        <v>0.000553372363107687</v>
      </c>
      <c r="D106" s="11" t="n">
        <f aca="false">IF(A106&lt;'3. Assumptions'!$B$7,0,1+INT((A106-'3. Assumptions'!$B$7)/'3. Assumptions'!$B$8))</f>
        <v>17</v>
      </c>
      <c r="E106" s="17" t="n">
        <f aca="false">MIN((1+'3. Assumptions'!$B$9)^D106,'3. Assumptions'!$B$10)-1</f>
        <v>0.62</v>
      </c>
      <c r="F106" s="31" t="n">
        <f aca="false">'7. The customer'!$B$4*'5. The rent roll'!D106*'7. The customer'!$B$11+F107*C107/C106/(1+'7. The customer'!$B$6)</f>
        <v>3276.58999936659</v>
      </c>
    </row>
    <row r="107" customFormat="false" ht="15" hidden="false" customHeight="false" outlineLevel="0" collapsed="false">
      <c r="A107" s="0" t="n">
        <v>102</v>
      </c>
      <c r="B107" s="17" t="n">
        <f aca="false">'3. Assumptions'!$B$12+IF(AND(A107&gt;='3. Assumptions'!$B$7,MOD(A107-'3. Assumptions'!$B$7,'3. Assumptions'!$B$8)=0),MIN('3. Assumptions'!$B$16,'3. Assumptions'!$B$13*('3. Assumptions'!$B$9/'3. Assumptions'!$B$15)^'3. Assumptions'!$B$14),0)</f>
        <v>0.0665</v>
      </c>
      <c r="C107" s="17" t="n">
        <f aca="false">C106*(1-B106)</f>
        <v>0.000499971930067795</v>
      </c>
      <c r="D107" s="11" t="n">
        <f aca="false">IF(A107&lt;'3. Assumptions'!$B$7,0,1+INT((A107-'3. Assumptions'!$B$7)/'3. Assumptions'!$B$8))</f>
        <v>17</v>
      </c>
      <c r="E107" s="17" t="n">
        <f aca="false">MIN((1+'3. Assumptions'!$B$9)^D107,'3. Assumptions'!$B$10)-1</f>
        <v>0.62</v>
      </c>
      <c r="F107" s="31" t="n">
        <f aca="false">'7. The customer'!$B$4*'5. The rent roll'!D107*'7. The customer'!$B$11+F108*C108/C107/(1+'7. The customer'!$B$6)</f>
        <v>3363.08706475823</v>
      </c>
    </row>
    <row r="108" customFormat="false" ht="15" hidden="false" customHeight="false" outlineLevel="0" collapsed="false">
      <c r="A108" s="0" t="n">
        <v>103</v>
      </c>
      <c r="B108" s="17" t="n">
        <f aca="false">'3. Assumptions'!$B$12+IF(AND(A108&gt;='3. Assumptions'!$B$7,MOD(A108-'3. Assumptions'!$B$7,'3. Assumptions'!$B$8)=0),MIN('3. Assumptions'!$B$16,'3. Assumptions'!$B$13*('3. Assumptions'!$B$9/'3. Assumptions'!$B$15)^'3. Assumptions'!$B$14),0)</f>
        <v>0.0665</v>
      </c>
      <c r="C108" s="17" t="n">
        <f aca="false">C107*(1-B107)</f>
        <v>0.000466723796718287</v>
      </c>
      <c r="D108" s="11" t="n">
        <f aca="false">IF(A108&lt;'3. Assumptions'!$B$7,0,1+INT((A108-'3. Assumptions'!$B$7)/'3. Assumptions'!$B$8))</f>
        <v>17</v>
      </c>
      <c r="E108" s="17" t="n">
        <f aca="false">MIN((1+'3. Assumptions'!$B$9)^D108,'3. Assumptions'!$B$10)-1</f>
        <v>0.62</v>
      </c>
      <c r="F108" s="31" t="n">
        <f aca="false">'7. The customer'!$B$4*'5. The rent roll'!D108*'7. The customer'!$B$11+F109*C109/C108/(1+'7. The customer'!$B$6)</f>
        <v>3348.29450722336</v>
      </c>
    </row>
    <row r="109" customFormat="false" ht="15" hidden="false" customHeight="false" outlineLevel="0" collapsed="false">
      <c r="A109" s="0" t="n">
        <v>104</v>
      </c>
      <c r="B109" s="17" t="n">
        <f aca="false">'3. Assumptions'!$B$12+IF(AND(A109&gt;='3. Assumptions'!$B$7,MOD(A109-'3. Assumptions'!$B$7,'3. Assumptions'!$B$8)=0),MIN('3. Assumptions'!$B$16,'3. Assumptions'!$B$13*('3. Assumptions'!$B$9/'3. Assumptions'!$B$15)^'3. Assumptions'!$B$14),0)</f>
        <v>0.0665</v>
      </c>
      <c r="C109" s="17" t="n">
        <f aca="false">C108*(1-B108)</f>
        <v>0.000435686664236521</v>
      </c>
      <c r="D109" s="11" t="n">
        <f aca="false">IF(A109&lt;'3. Assumptions'!$B$7,0,1+INT((A109-'3. Assumptions'!$B$7)/'3. Assumptions'!$B$8))</f>
        <v>17</v>
      </c>
      <c r="E109" s="17" t="n">
        <f aca="false">MIN((1+'3. Assumptions'!$B$9)^D109,'3. Assumptions'!$B$10)-1</f>
        <v>0.62</v>
      </c>
      <c r="F109" s="31" t="n">
        <f aca="false">'7. The customer'!$B$4*'5. The rent roll'!D109*'7. The customer'!$B$11+F110*C110/C109/(1+'7. The customer'!$B$6)</f>
        <v>3332.34068526143</v>
      </c>
    </row>
    <row r="110" customFormat="false" ht="15" hidden="false" customHeight="false" outlineLevel="0" collapsed="false">
      <c r="A110" s="0" t="n">
        <v>105</v>
      </c>
      <c r="B110" s="17" t="n">
        <f aca="false">'3. Assumptions'!$B$12+IF(AND(A110&gt;='3. Assumptions'!$B$7,MOD(A110-'3. Assumptions'!$B$7,'3. Assumptions'!$B$8)=0),MIN('3. Assumptions'!$B$16,'3. Assumptions'!$B$13*('3. Assumptions'!$B$9/'3. Assumptions'!$B$15)^'3. Assumptions'!$B$14),0)</f>
        <v>0.0665</v>
      </c>
      <c r="C110" s="17" t="n">
        <f aca="false">C109*(1-B109)</f>
        <v>0.000406713501064792</v>
      </c>
      <c r="D110" s="11" t="n">
        <f aca="false">IF(A110&lt;'3. Assumptions'!$B$7,0,1+INT((A110-'3. Assumptions'!$B$7)/'3. Assumptions'!$B$8))</f>
        <v>17</v>
      </c>
      <c r="E110" s="17" t="n">
        <f aca="false">MIN((1+'3. Assumptions'!$B$9)^D110,'3. Assumptions'!$B$10)-1</f>
        <v>0.62</v>
      </c>
      <c r="F110" s="31" t="n">
        <f aca="false">'7. The customer'!$B$4*'5. The rent roll'!D110*'7. The customer'!$B$11+F111*C111/C110/(1+'7. The customer'!$B$6)</f>
        <v>3315.13443579489</v>
      </c>
    </row>
    <row r="111" customFormat="false" ht="15" hidden="false" customHeight="false" outlineLevel="0" collapsed="false">
      <c r="A111" s="0" t="n">
        <v>106</v>
      </c>
      <c r="B111" s="17" t="n">
        <f aca="false">'3. Assumptions'!$B$12+IF(AND(A111&gt;='3. Assumptions'!$B$7,MOD(A111-'3. Assumptions'!$B$7,'3. Assumptions'!$B$8)=0),MIN('3. Assumptions'!$B$16,'3. Assumptions'!$B$13*('3. Assumptions'!$B$9/'3. Assumptions'!$B$15)^'3. Assumptions'!$B$14),0)</f>
        <v>0.0665</v>
      </c>
      <c r="C111" s="17" t="n">
        <f aca="false">C110*(1-B110)</f>
        <v>0.000379667053243983</v>
      </c>
      <c r="D111" s="11" t="n">
        <f aca="false">IF(A111&lt;'3. Assumptions'!$B$7,0,1+INT((A111-'3. Assumptions'!$B$7)/'3. Assumptions'!$B$8))</f>
        <v>17</v>
      </c>
      <c r="E111" s="17" t="n">
        <f aca="false">MIN((1+'3. Assumptions'!$B$9)^D111,'3. Assumptions'!$B$10)-1</f>
        <v>0.62</v>
      </c>
      <c r="F111" s="31" t="n">
        <f aca="false">'7. The customer'!$B$4*'5. The rent roll'!D111*'7. The customer'!$B$11+F112*C112/C111/(1+'7. The customer'!$B$6)</f>
        <v>3296.57743914474</v>
      </c>
    </row>
    <row r="112" customFormat="false" ht="15" hidden="false" customHeight="false" outlineLevel="0" collapsed="false">
      <c r="A112" s="0" t="n">
        <v>107</v>
      </c>
      <c r="B112" s="17" t="n">
        <f aca="false">'3. Assumptions'!$B$12+IF(AND(A112&gt;='3. Assumptions'!$B$7,MOD(A112-'3. Assumptions'!$B$7,'3. Assumptions'!$B$8)=0),MIN('3. Assumptions'!$B$16,'3. Assumptions'!$B$13*('3. Assumptions'!$B$9/'3. Assumptions'!$B$15)^'3. Assumptions'!$B$14),0)</f>
        <v>0.0965</v>
      </c>
      <c r="C112" s="17" t="n">
        <f aca="false">C111*(1-B111)</f>
        <v>0.000354419194203258</v>
      </c>
      <c r="D112" s="11" t="n">
        <f aca="false">IF(A112&lt;'3. Assumptions'!$B$7,0,1+INT((A112-'3. Assumptions'!$B$7)/'3. Assumptions'!$B$8))</f>
        <v>18</v>
      </c>
      <c r="E112" s="17" t="n">
        <f aca="false">MIN((1+'3. Assumptions'!$B$9)^D112,'3. Assumptions'!$B$10)-1</f>
        <v>0.62</v>
      </c>
      <c r="F112" s="31" t="n">
        <f aca="false">'7. The customer'!$B$4*'5. The rent roll'!D112*'7. The customer'!$B$11+F113*C113/C112/(1+'7. The customer'!$B$6)</f>
        <v>3276.56365721373</v>
      </c>
    </row>
    <row r="113" customFormat="false" ht="15" hidden="false" customHeight="false" outlineLevel="0" collapsed="false">
      <c r="A113" s="0" t="n">
        <v>108</v>
      </c>
      <c r="B113" s="17" t="n">
        <f aca="false">'3. Assumptions'!$B$12+IF(AND(A113&gt;='3. Assumptions'!$B$7,MOD(A113-'3. Assumptions'!$B$7,'3. Assumptions'!$B$8)=0),MIN('3. Assumptions'!$B$16,'3. Assumptions'!$B$13*('3. Assumptions'!$B$9/'3. Assumptions'!$B$15)^'3. Assumptions'!$B$14),0)</f>
        <v>0.0665</v>
      </c>
      <c r="C113" s="17" t="n">
        <f aca="false">C112*(1-B112)</f>
        <v>0.000320217741962644</v>
      </c>
      <c r="D113" s="11" t="n">
        <f aca="false">IF(A113&lt;'3. Assumptions'!$B$7,0,1+INT((A113-'3. Assumptions'!$B$7)/'3. Assumptions'!$B$8))</f>
        <v>18</v>
      </c>
      <c r="E113" s="17" t="n">
        <f aca="false">MIN((1+'3. Assumptions'!$B$9)^D113,'3. Assumptions'!$B$10)-1</f>
        <v>0.62</v>
      </c>
      <c r="F113" s="31" t="n">
        <f aca="false">'7. The customer'!$B$4*'5. The rent roll'!D113*'7. The customer'!$B$11+F114*C114/C113/(1+'7. The customer'!$B$6)</f>
        <v>3363.05771132496</v>
      </c>
    </row>
    <row r="114" customFormat="false" ht="15" hidden="false" customHeight="false" outlineLevel="0" collapsed="false">
      <c r="A114" s="0" t="n">
        <v>109</v>
      </c>
      <c r="B114" s="17" t="n">
        <f aca="false">'3. Assumptions'!$B$12+IF(AND(A114&gt;='3. Assumptions'!$B$7,MOD(A114-'3. Assumptions'!$B$7,'3. Assumptions'!$B$8)=0),MIN('3. Assumptions'!$B$16,'3. Assumptions'!$B$13*('3. Assumptions'!$B$9/'3. Assumptions'!$B$15)^'3. Assumptions'!$B$14),0)</f>
        <v>0.0665</v>
      </c>
      <c r="C114" s="17" t="n">
        <f aca="false">C113*(1-B113)</f>
        <v>0.000298923262122128</v>
      </c>
      <c r="D114" s="11" t="n">
        <f aca="false">IF(A114&lt;'3. Assumptions'!$B$7,0,1+INT((A114-'3. Assumptions'!$B$7)/'3. Assumptions'!$B$8))</f>
        <v>18</v>
      </c>
      <c r="E114" s="17" t="n">
        <f aca="false">MIN((1+'3. Assumptions'!$B$9)^D114,'3. Assumptions'!$B$10)-1</f>
        <v>0.62</v>
      </c>
      <c r="F114" s="31" t="n">
        <f aca="false">'7. The customer'!$B$4*'5. The rent roll'!D114*'7. The customer'!$B$11+F115*C115/C114/(1+'7. The customer'!$B$6)</f>
        <v>3348.26284944902</v>
      </c>
    </row>
    <row r="115" customFormat="false" ht="15" hidden="false" customHeight="false" outlineLevel="0" collapsed="false">
      <c r="A115" s="0" t="n">
        <v>110</v>
      </c>
      <c r="B115" s="17" t="n">
        <f aca="false">'3. Assumptions'!$B$12+IF(AND(A115&gt;='3. Assumptions'!$B$7,MOD(A115-'3. Assumptions'!$B$7,'3. Assumptions'!$B$8)=0),MIN('3. Assumptions'!$B$16,'3. Assumptions'!$B$13*('3. Assumptions'!$B$9/'3. Assumptions'!$B$15)^'3. Assumptions'!$B$14),0)</f>
        <v>0.0665</v>
      </c>
      <c r="C115" s="17" t="n">
        <f aca="false">C114*(1-B114)</f>
        <v>0.000279044865191007</v>
      </c>
      <c r="D115" s="11" t="n">
        <f aca="false">IF(A115&lt;'3. Assumptions'!$B$7,0,1+INT((A115-'3. Assumptions'!$B$7)/'3. Assumptions'!$B$8))</f>
        <v>18</v>
      </c>
      <c r="E115" s="17" t="n">
        <f aca="false">MIN((1+'3. Assumptions'!$B$9)^D115,'3. Assumptions'!$B$10)-1</f>
        <v>0.62</v>
      </c>
      <c r="F115" s="31" t="n">
        <f aca="false">'7. The customer'!$B$4*'5. The rent roll'!D115*'7. The customer'!$B$11+F116*C116/C115/(1+'7. The customer'!$B$6)</f>
        <v>3332.30654224767</v>
      </c>
    </row>
    <row r="116" customFormat="false" ht="15" hidden="false" customHeight="false" outlineLevel="0" collapsed="false">
      <c r="A116" s="0" t="n">
        <v>111</v>
      </c>
      <c r="B116" s="17" t="n">
        <f aca="false">'3. Assumptions'!$B$12+IF(AND(A116&gt;='3. Assumptions'!$B$7,MOD(A116-'3. Assumptions'!$B$7,'3. Assumptions'!$B$8)=0),MIN('3. Assumptions'!$B$16,'3. Assumptions'!$B$13*('3. Assumptions'!$B$9/'3. Assumptions'!$B$15)^'3. Assumptions'!$B$14),0)</f>
        <v>0.0665</v>
      </c>
      <c r="C116" s="17" t="n">
        <f aca="false">C115*(1-B115)</f>
        <v>0.000260488381655805</v>
      </c>
      <c r="D116" s="11" t="n">
        <f aca="false">IF(A116&lt;'3. Assumptions'!$B$7,0,1+INT((A116-'3. Assumptions'!$B$7)/'3. Assumptions'!$B$8))</f>
        <v>18</v>
      </c>
      <c r="E116" s="17" t="n">
        <f aca="false">MIN((1+'3. Assumptions'!$B$9)^D116,'3. Assumptions'!$B$10)-1</f>
        <v>0.62</v>
      </c>
      <c r="F116" s="31" t="n">
        <f aca="false">'7. The customer'!$B$4*'5. The rent roll'!D116*'7. The customer'!$B$11+F117*C117/C116/(1+'7. The customer'!$B$6)</f>
        <v>3315.09761244224</v>
      </c>
    </row>
    <row r="117" customFormat="false" ht="15" hidden="false" customHeight="false" outlineLevel="0" collapsed="false">
      <c r="A117" s="0" t="n">
        <v>112</v>
      </c>
      <c r="B117" s="17" t="n">
        <f aca="false">'3. Assumptions'!$B$12+IF(AND(A117&gt;='3. Assumptions'!$B$7,MOD(A117-'3. Assumptions'!$B$7,'3. Assumptions'!$B$8)=0),MIN('3. Assumptions'!$B$16,'3. Assumptions'!$B$13*('3. Assumptions'!$B$9/'3. Assumptions'!$B$15)^'3. Assumptions'!$B$14),0)</f>
        <v>0.0665</v>
      </c>
      <c r="C117" s="17" t="n">
        <f aca="false">C116*(1-B116)</f>
        <v>0.000243165904275694</v>
      </c>
      <c r="D117" s="11" t="n">
        <f aca="false">IF(A117&lt;'3. Assumptions'!$B$7,0,1+INT((A117-'3. Assumptions'!$B$7)/'3. Assumptions'!$B$8))</f>
        <v>18</v>
      </c>
      <c r="E117" s="17" t="n">
        <f aca="false">MIN((1+'3. Assumptions'!$B$9)^D117,'3. Assumptions'!$B$10)-1</f>
        <v>0.62</v>
      </c>
      <c r="F117" s="31" t="n">
        <f aca="false">'7. The customer'!$B$4*'5. The rent roll'!D117*'7. The customer'!$B$11+F118*C118/C117/(1+'7. The customer'!$B$6)</f>
        <v>3296.53772503777</v>
      </c>
    </row>
    <row r="118" customFormat="false" ht="15" hidden="false" customHeight="false" outlineLevel="0" collapsed="false">
      <c r="A118" s="0" t="n">
        <v>113</v>
      </c>
      <c r="B118" s="17" t="n">
        <f aca="false">'3. Assumptions'!$B$12+IF(AND(A118&gt;='3. Assumptions'!$B$7,MOD(A118-'3. Assumptions'!$B$7,'3. Assumptions'!$B$8)=0),MIN('3. Assumptions'!$B$16,'3. Assumptions'!$B$13*('3. Assumptions'!$B$9/'3. Assumptions'!$B$15)^'3. Assumptions'!$B$14),0)</f>
        <v>0.0965</v>
      </c>
      <c r="C118" s="17" t="n">
        <f aca="false">C117*(1-B117)</f>
        <v>0.00022699537164136</v>
      </c>
      <c r="D118" s="11" t="n">
        <f aca="false">IF(A118&lt;'3. Assumptions'!$B$7,0,1+INT((A118-'3. Assumptions'!$B$7)/'3. Assumptions'!$B$8))</f>
        <v>19</v>
      </c>
      <c r="E118" s="17" t="n">
        <f aca="false">MIN((1+'3. Assumptions'!$B$9)^D118,'3. Assumptions'!$B$10)-1</f>
        <v>0.62</v>
      </c>
      <c r="F118" s="31" t="n">
        <f aca="false">'7. The customer'!$B$4*'5. The rent roll'!D118*'7. The customer'!$B$11+F119*C119/C118/(1+'7. The customer'!$B$6)</f>
        <v>3276.52082541873</v>
      </c>
    </row>
    <row r="119" customFormat="false" ht="15" hidden="false" customHeight="false" outlineLevel="0" collapsed="false">
      <c r="A119" s="0" t="n">
        <v>114</v>
      </c>
      <c r="B119" s="17" t="n">
        <f aca="false">'3. Assumptions'!$B$12+IF(AND(A119&gt;='3. Assumptions'!$B$7,MOD(A119-'3. Assumptions'!$B$7,'3. Assumptions'!$B$8)=0),MIN('3. Assumptions'!$B$16,'3. Assumptions'!$B$13*('3. Assumptions'!$B$9/'3. Assumptions'!$B$15)^'3. Assumptions'!$B$14),0)</f>
        <v>0.0665</v>
      </c>
      <c r="C119" s="17" t="n">
        <f aca="false">C118*(1-B118)</f>
        <v>0.000205090318277969</v>
      </c>
      <c r="D119" s="11" t="n">
        <f aca="false">IF(A119&lt;'3. Assumptions'!$B$7,0,1+INT((A119-'3. Assumptions'!$B$7)/'3. Assumptions'!$B$8))</f>
        <v>19</v>
      </c>
      <c r="E119" s="17" t="n">
        <f aca="false">MIN((1+'3. Assumptions'!$B$9)^D119,'3. Assumptions'!$B$10)-1</f>
        <v>0.62</v>
      </c>
      <c r="F119" s="31" t="n">
        <f aca="false">'7. The customer'!$B$4*'5. The rent roll'!D119*'7. The customer'!$B$11+F120*C120/C119/(1+'7. The customer'!$B$6)</f>
        <v>3363.00998325037</v>
      </c>
    </row>
    <row r="120" customFormat="false" ht="15" hidden="false" customHeight="false" outlineLevel="0" collapsed="false">
      <c r="A120" s="0" t="n">
        <v>115</v>
      </c>
      <c r="B120" s="17" t="n">
        <f aca="false">'3. Assumptions'!$B$12+IF(AND(A120&gt;='3. Assumptions'!$B$7,MOD(A120-'3. Assumptions'!$B$7,'3. Assumptions'!$B$8)=0),MIN('3. Assumptions'!$B$16,'3. Assumptions'!$B$13*('3. Assumptions'!$B$9/'3. Assumptions'!$B$15)^'3. Assumptions'!$B$14),0)</f>
        <v>0.0665</v>
      </c>
      <c r="C120" s="17" t="n">
        <f aca="false">C119*(1-B119)</f>
        <v>0.000191451812112484</v>
      </c>
      <c r="D120" s="11" t="n">
        <f aca="false">IF(A120&lt;'3. Assumptions'!$B$7,0,1+INT((A120-'3. Assumptions'!$B$7)/'3. Assumptions'!$B$8))</f>
        <v>19</v>
      </c>
      <c r="E120" s="17" t="n">
        <f aca="false">MIN((1+'3. Assumptions'!$B$9)^D120,'3. Assumptions'!$B$10)-1</f>
        <v>0.62</v>
      </c>
      <c r="F120" s="31" t="n">
        <f aca="false">'7. The customer'!$B$4*'5. The rent roll'!D120*'7. The customer'!$B$11+F121*C121/C120/(1+'7. The customer'!$B$6)</f>
        <v>3348.21137456357</v>
      </c>
    </row>
    <row r="121" customFormat="false" ht="15" hidden="false" customHeight="false" outlineLevel="0" collapsed="false">
      <c r="A121" s="0" t="n">
        <v>116</v>
      </c>
      <c r="B121" s="17" t="n">
        <f aca="false">'3. Assumptions'!$B$12+IF(AND(A121&gt;='3. Assumptions'!$B$7,MOD(A121-'3. Assumptions'!$B$7,'3. Assumptions'!$B$8)=0),MIN('3. Assumptions'!$B$16,'3. Assumptions'!$B$13*('3. Assumptions'!$B$9/'3. Assumptions'!$B$15)^'3. Assumptions'!$B$14),0)</f>
        <v>0.0665</v>
      </c>
      <c r="C121" s="17" t="n">
        <f aca="false">C120*(1-B120)</f>
        <v>0.000178720266607004</v>
      </c>
      <c r="D121" s="11" t="n">
        <f aca="false">IF(A121&lt;'3. Assumptions'!$B$7,0,1+INT((A121-'3. Assumptions'!$B$7)/'3. Assumptions'!$B$8))</f>
        <v>19</v>
      </c>
      <c r="E121" s="17" t="n">
        <f aca="false">MIN((1+'3. Assumptions'!$B$9)^D121,'3. Assumptions'!$B$10)-1</f>
        <v>0.62</v>
      </c>
      <c r="F121" s="31" t="n">
        <f aca="false">'7. The customer'!$B$4*'5. The rent roll'!D121*'7. The customer'!$B$11+F122*C122/C121/(1+'7. The customer'!$B$6)</f>
        <v>3332.25102641438</v>
      </c>
    </row>
    <row r="122" customFormat="false" ht="15" hidden="false" customHeight="false" outlineLevel="0" collapsed="false">
      <c r="A122" s="0" t="n">
        <v>117</v>
      </c>
      <c r="B122" s="17" t="n">
        <f aca="false">'3. Assumptions'!$B$12+IF(AND(A122&gt;='3. Assumptions'!$B$7,MOD(A122-'3. Assumptions'!$B$7,'3. Assumptions'!$B$8)=0),MIN('3. Assumptions'!$B$16,'3. Assumptions'!$B$13*('3. Assumptions'!$B$9/'3. Assumptions'!$B$15)^'3. Assumptions'!$B$14),0)</f>
        <v>0.0665</v>
      </c>
      <c r="C122" s="17" t="n">
        <f aca="false">C121*(1-B121)</f>
        <v>0.000166835368877638</v>
      </c>
      <c r="D122" s="11" t="n">
        <f aca="false">IF(A122&lt;'3. Assumptions'!$B$7,0,1+INT((A122-'3. Assumptions'!$B$7)/'3. Assumptions'!$B$8))</f>
        <v>19</v>
      </c>
      <c r="E122" s="17" t="n">
        <f aca="false">MIN((1+'3. Assumptions'!$B$9)^D122,'3. Assumptions'!$B$10)-1</f>
        <v>0.62</v>
      </c>
      <c r="F122" s="31" t="n">
        <f aca="false">'7. The customer'!$B$4*'5. The rent roll'!D122*'7. The customer'!$B$11+F123*C123/C122/(1+'7. The customer'!$B$6)</f>
        <v>3315.03773843341</v>
      </c>
    </row>
    <row r="123" customFormat="false" ht="15" hidden="false" customHeight="false" outlineLevel="0" collapsed="false">
      <c r="A123" s="0" t="n">
        <v>118</v>
      </c>
      <c r="B123" s="17" t="n">
        <f aca="false">'3. Assumptions'!$B$12+IF(AND(A123&gt;='3. Assumptions'!$B$7,MOD(A123-'3. Assumptions'!$B$7,'3. Assumptions'!$B$8)=0),MIN('3. Assumptions'!$B$16,'3. Assumptions'!$B$13*('3. Assumptions'!$B$9/'3. Assumptions'!$B$15)^'3. Assumptions'!$B$14),0)</f>
        <v>0.0665</v>
      </c>
      <c r="C123" s="17" t="n">
        <f aca="false">C122*(1-B122)</f>
        <v>0.000155740816847275</v>
      </c>
      <c r="D123" s="11" t="n">
        <f aca="false">IF(A123&lt;'3. Assumptions'!$B$7,0,1+INT((A123-'3. Assumptions'!$B$7)/'3. Assumptions'!$B$8))</f>
        <v>19</v>
      </c>
      <c r="E123" s="17" t="n">
        <f aca="false">MIN((1+'3. Assumptions'!$B$9)^D123,'3. Assumptions'!$B$10)-1</f>
        <v>0.62</v>
      </c>
      <c r="F123" s="31" t="n">
        <f aca="false">'7. The customer'!$B$4*'5. The rent roll'!D123*'7. The customer'!$B$11+F124*C124/C123/(1+'7. The customer'!$B$6)</f>
        <v>3296.47315072229</v>
      </c>
    </row>
    <row r="124" customFormat="false" ht="15" hidden="false" customHeight="false" outlineLevel="0" collapsed="false">
      <c r="A124" s="0" t="n">
        <v>119</v>
      </c>
      <c r="B124" s="17" t="n">
        <f aca="false">'3. Assumptions'!$B$12+IF(AND(A124&gt;='3. Assumptions'!$B$7,MOD(A124-'3. Assumptions'!$B$7,'3. Assumptions'!$B$8)=0),MIN('3. Assumptions'!$B$16,'3. Assumptions'!$B$13*('3. Assumptions'!$B$9/'3. Assumptions'!$B$15)^'3. Assumptions'!$B$14),0)</f>
        <v>0.0965</v>
      </c>
      <c r="C124" s="17" t="n">
        <f aca="false">C123*(1-B123)</f>
        <v>0.000145384052526931</v>
      </c>
      <c r="D124" s="11" t="n">
        <f aca="false">IF(A124&lt;'3. Assumptions'!$B$7,0,1+INT((A124-'3. Assumptions'!$B$7)/'3. Assumptions'!$B$8))</f>
        <v>20</v>
      </c>
      <c r="E124" s="17" t="n">
        <f aca="false">MIN((1+'3. Assumptions'!$B$9)^D124,'3. Assumptions'!$B$10)-1</f>
        <v>0.62</v>
      </c>
      <c r="F124" s="31" t="n">
        <f aca="false">'7. The customer'!$B$4*'5. The rent roll'!D124*'7. The customer'!$B$11+F125*C125/C124/(1+'7. The customer'!$B$6)</f>
        <v>3276.45118180706</v>
      </c>
    </row>
    <row r="125" customFormat="false" ht="15" hidden="false" customHeight="false" outlineLevel="0" collapsed="false">
      <c r="A125" s="0" t="n">
        <v>120</v>
      </c>
      <c r="B125" s="17" t="n">
        <f aca="false">'3. Assumptions'!$B$12+IF(AND(A125&gt;='3. Assumptions'!$B$7,MOD(A125-'3. Assumptions'!$B$7,'3. Assumptions'!$B$8)=0),MIN('3. Assumptions'!$B$16,'3. Assumptions'!$B$13*('3. Assumptions'!$B$9/'3. Assumptions'!$B$15)^'3. Assumptions'!$B$14),0)</f>
        <v>0.0665</v>
      </c>
      <c r="C125" s="17" t="n">
        <f aca="false">C124*(1-B124)</f>
        <v>0.000131354491458082</v>
      </c>
      <c r="D125" s="11" t="n">
        <f aca="false">IF(A125&lt;'3. Assumptions'!$B$7,0,1+INT((A125-'3. Assumptions'!$B$7)/'3. Assumptions'!$B$8))</f>
        <v>20</v>
      </c>
      <c r="E125" s="17" t="n">
        <f aca="false">MIN((1+'3. Assumptions'!$B$9)^D125,'3. Assumptions'!$B$10)-1</f>
        <v>0.62</v>
      </c>
      <c r="F125" s="31" t="n">
        <f aca="false">'7. The customer'!$B$4*'5. The rent roll'!D125*'7. The customer'!$B$11+F126*C126/C125/(1+'7. The customer'!$B$6)</f>
        <v>3362.93237838949</v>
      </c>
    </row>
    <row r="126" customFormat="false" ht="15" hidden="false" customHeight="false" outlineLevel="0" collapsed="false">
      <c r="A126" s="0" t="n">
        <v>121</v>
      </c>
      <c r="B126" s="17" t="n">
        <f aca="false">'3. Assumptions'!$B$12+IF(AND(A126&gt;='3. Assumptions'!$B$7,MOD(A126-'3. Assumptions'!$B$7,'3. Assumptions'!$B$8)=0),MIN('3. Assumptions'!$B$16,'3. Assumptions'!$B$13*('3. Assumptions'!$B$9/'3. Assumptions'!$B$15)^'3. Assumptions'!$B$14),0)</f>
        <v>0.0665</v>
      </c>
      <c r="C126" s="17" t="n">
        <f aca="false">C125*(1-B125)</f>
        <v>0.00012261941777612</v>
      </c>
      <c r="D126" s="11" t="n">
        <f aca="false">IF(A126&lt;'3. Assumptions'!$B$7,0,1+INT((A126-'3. Assumptions'!$B$7)/'3. Assumptions'!$B$8))</f>
        <v>20</v>
      </c>
      <c r="E126" s="17" t="n">
        <f aca="false">MIN((1+'3. Assumptions'!$B$9)^D126,'3. Assumptions'!$B$10)-1</f>
        <v>0.62</v>
      </c>
      <c r="F126" s="31" t="n">
        <f aca="false">'7. The customer'!$B$4*'5. The rent roll'!D126*'7. The customer'!$B$11+F127*C127/C126/(1+'7. The customer'!$B$6)</f>
        <v>3348.12767746583</v>
      </c>
    </row>
    <row r="127" customFormat="false" ht="15" hidden="false" customHeight="false" outlineLevel="0" collapsed="false">
      <c r="A127" s="0" t="n">
        <v>122</v>
      </c>
      <c r="B127" s="17" t="n">
        <f aca="false">'3. Assumptions'!$B$12+IF(AND(A127&gt;='3. Assumptions'!$B$7,MOD(A127-'3. Assumptions'!$B$7,'3. Assumptions'!$B$8)=0),MIN('3. Assumptions'!$B$16,'3. Assumptions'!$B$13*('3. Assumptions'!$B$9/'3. Assumptions'!$B$15)^'3. Assumptions'!$B$14),0)</f>
        <v>0.0665</v>
      </c>
      <c r="C127" s="17" t="n">
        <f aca="false">C126*(1-B126)</f>
        <v>0.000114465226494008</v>
      </c>
      <c r="D127" s="11" t="n">
        <f aca="false">IF(A127&lt;'3. Assumptions'!$B$7,0,1+INT((A127-'3. Assumptions'!$B$7)/'3. Assumptions'!$B$8))</f>
        <v>20</v>
      </c>
      <c r="E127" s="17" t="n">
        <f aca="false">MIN((1+'3. Assumptions'!$B$9)^D127,'3. Assumptions'!$B$10)-1</f>
        <v>0.62</v>
      </c>
      <c r="F127" s="31" t="n">
        <f aca="false">'7. The customer'!$B$4*'5. The rent roll'!D127*'7. The customer'!$B$11+F128*C128/C127/(1+'7. The customer'!$B$6)</f>
        <v>3332.16075881914</v>
      </c>
    </row>
    <row r="128" customFormat="false" ht="15" hidden="false" customHeight="false" outlineLevel="0" collapsed="false">
      <c r="A128" s="0" t="n">
        <v>123</v>
      </c>
      <c r="B128" s="17" t="n">
        <f aca="false">'3. Assumptions'!$B$12+IF(AND(A128&gt;='3. Assumptions'!$B$7,MOD(A128-'3. Assumptions'!$B$7,'3. Assumptions'!$B$8)=0),MIN('3. Assumptions'!$B$16,'3. Assumptions'!$B$13*('3. Assumptions'!$B$9/'3. Assumptions'!$B$15)^'3. Assumptions'!$B$14),0)</f>
        <v>0.0665</v>
      </c>
      <c r="C128" s="17" t="n">
        <f aca="false">C127*(1-B127)</f>
        <v>0.000106853288932156</v>
      </c>
      <c r="D128" s="11" t="n">
        <f aca="false">IF(A128&lt;'3. Assumptions'!$B$7,0,1+INT((A128-'3. Assumptions'!$B$7)/'3. Assumptions'!$B$8))</f>
        <v>20</v>
      </c>
      <c r="E128" s="17" t="n">
        <f aca="false">MIN((1+'3. Assumptions'!$B$9)^D128,'3. Assumptions'!$B$10)-1</f>
        <v>0.62</v>
      </c>
      <c r="F128" s="31" t="n">
        <f aca="false">'7. The customer'!$B$4*'5. The rent roll'!D128*'7. The customer'!$B$11+F129*C129/C128/(1+'7. The customer'!$B$6)</f>
        <v>3314.94038453502</v>
      </c>
    </row>
    <row r="129" customFormat="false" ht="15" hidden="false" customHeight="false" outlineLevel="0" collapsed="false">
      <c r="A129" s="0" t="n">
        <v>124</v>
      </c>
      <c r="B129" s="17" t="n">
        <f aca="false">'3. Assumptions'!$B$12+IF(AND(A129&gt;='3. Assumptions'!$B$7,MOD(A129-'3. Assumptions'!$B$7,'3. Assumptions'!$B$8)=0),MIN('3. Assumptions'!$B$16,'3. Assumptions'!$B$13*('3. Assumptions'!$B$9/'3. Assumptions'!$B$15)^'3. Assumptions'!$B$14),0)</f>
        <v>0.0665</v>
      </c>
      <c r="C129" s="17" t="n">
        <f aca="false">C128*(1-B128)</f>
        <v>9.9747545218168E-005</v>
      </c>
      <c r="D129" s="11" t="n">
        <f aca="false">IF(A129&lt;'3. Assumptions'!$B$7,0,1+INT((A129-'3. Assumptions'!$B$7)/'3. Assumptions'!$B$8))</f>
        <v>20</v>
      </c>
      <c r="E129" s="17" t="n">
        <f aca="false">MIN((1+'3. Assumptions'!$B$9)^D129,'3. Assumptions'!$B$10)-1</f>
        <v>0.62</v>
      </c>
      <c r="F129" s="31" t="n">
        <f aca="false">'7. The customer'!$B$4*'5. The rent roll'!D129*'7. The customer'!$B$11+F130*C130/C129/(1+'7. The customer'!$B$6)</f>
        <v>3296.36815422263</v>
      </c>
    </row>
    <row r="130" customFormat="false" ht="15" hidden="false" customHeight="false" outlineLevel="0" collapsed="false">
      <c r="A130" s="0" t="n">
        <v>125</v>
      </c>
      <c r="B130" s="17" t="n">
        <f aca="false">'3. Assumptions'!$B$12+IF(AND(A130&gt;='3. Assumptions'!$B$7,MOD(A130-'3. Assumptions'!$B$7,'3. Assumptions'!$B$8)=0),MIN('3. Assumptions'!$B$16,'3. Assumptions'!$B$13*('3. Assumptions'!$B$9/'3. Assumptions'!$B$15)^'3. Assumptions'!$B$14),0)</f>
        <v>0.0965</v>
      </c>
      <c r="C130" s="17" t="n">
        <f aca="false">C129*(1-B129)</f>
        <v>9.31143334611598E-005</v>
      </c>
      <c r="D130" s="11" t="n">
        <f aca="false">IF(A130&lt;'3. Assumptions'!$B$7,0,1+INT((A130-'3. Assumptions'!$B$7)/'3. Assumptions'!$B$8))</f>
        <v>21</v>
      </c>
      <c r="E130" s="17" t="n">
        <f aca="false">MIN((1+'3. Assumptions'!$B$9)^D130,'3. Assumptions'!$B$10)-1</f>
        <v>0.62</v>
      </c>
      <c r="F130" s="31" t="n">
        <f aca="false">'7. The customer'!$B$4*'5. The rent roll'!D130*'7. The customer'!$B$11+F131*C131/C130/(1+'7. The customer'!$B$6)</f>
        <v>3276.33794273678</v>
      </c>
    </row>
    <row r="131" customFormat="false" ht="15" hidden="false" customHeight="false" outlineLevel="0" collapsed="false">
      <c r="A131" s="0" t="n">
        <v>126</v>
      </c>
      <c r="B131" s="17" t="n">
        <f aca="false">'3. Assumptions'!$B$12+IF(AND(A131&gt;='3. Assumptions'!$B$7,MOD(A131-'3. Assumptions'!$B$7,'3. Assumptions'!$B$8)=0),MIN('3. Assumptions'!$B$16,'3. Assumptions'!$B$13*('3. Assumptions'!$B$9/'3. Assumptions'!$B$15)^'3. Assumptions'!$B$14),0)</f>
        <v>0.0665</v>
      </c>
      <c r="C131" s="17" t="n">
        <f aca="false">C130*(1-B130)</f>
        <v>8.41288002821579E-005</v>
      </c>
      <c r="D131" s="11" t="n">
        <f aca="false">IF(A131&lt;'3. Assumptions'!$B$7,0,1+INT((A131-'3. Assumptions'!$B$7)/'3. Assumptions'!$B$8))</f>
        <v>21</v>
      </c>
      <c r="E131" s="17" t="n">
        <f aca="false">MIN((1+'3. Assumptions'!$B$9)^D131,'3. Assumptions'!$B$10)-1</f>
        <v>0.62</v>
      </c>
      <c r="F131" s="31" t="n">
        <f aca="false">'7. The customer'!$B$4*'5. The rent roll'!D131*'7. The customer'!$B$11+F132*C132/C131/(1+'7. The customer'!$B$6)</f>
        <v>3362.80619449287</v>
      </c>
    </row>
    <row r="132" customFormat="false" ht="15" hidden="false" customHeight="false" outlineLevel="0" collapsed="false">
      <c r="A132" s="0" t="n">
        <v>127</v>
      </c>
      <c r="B132" s="17" t="n">
        <f aca="false">'3. Assumptions'!$B$12+IF(AND(A132&gt;='3. Assumptions'!$B$7,MOD(A132-'3. Assumptions'!$B$7,'3. Assumptions'!$B$8)=0),MIN('3. Assumptions'!$B$16,'3. Assumptions'!$B$13*('3. Assumptions'!$B$9/'3. Assumptions'!$B$15)^'3. Assumptions'!$B$14),0)</f>
        <v>0.0665</v>
      </c>
      <c r="C132" s="17" t="n">
        <f aca="false">C131*(1-B131)</f>
        <v>7.85342350633944E-005</v>
      </c>
      <c r="D132" s="11" t="n">
        <f aca="false">IF(A132&lt;'3. Assumptions'!$B$7,0,1+INT((A132-'3. Assumptions'!$B$7)/'3. Assumptions'!$B$8))</f>
        <v>21</v>
      </c>
      <c r="E132" s="17" t="n">
        <f aca="false">MIN((1+'3. Assumptions'!$B$9)^D132,'3. Assumptions'!$B$10)-1</f>
        <v>0.62</v>
      </c>
      <c r="F132" s="31" t="n">
        <f aca="false">'7. The customer'!$B$4*'5. The rent roll'!D132*'7. The customer'!$B$11+F133*C133/C132/(1+'7. The customer'!$B$6)</f>
        <v>3347.99158771824</v>
      </c>
    </row>
    <row r="133" customFormat="false" ht="15" hidden="false" customHeight="false" outlineLevel="0" collapsed="false">
      <c r="A133" s="0" t="n">
        <v>128</v>
      </c>
      <c r="B133" s="17" t="n">
        <f aca="false">'3. Assumptions'!$B$12+IF(AND(A133&gt;='3. Assumptions'!$B$7,MOD(A133-'3. Assumptions'!$B$7,'3. Assumptions'!$B$8)=0),MIN('3. Assumptions'!$B$16,'3. Assumptions'!$B$13*('3. Assumptions'!$B$9/'3. Assumptions'!$B$15)^'3. Assumptions'!$B$14),0)</f>
        <v>0.0665</v>
      </c>
      <c r="C133" s="17" t="n">
        <f aca="false">C132*(1-B132)</f>
        <v>7.33117084316787E-005</v>
      </c>
      <c r="D133" s="11" t="n">
        <f aca="false">IF(A133&lt;'3. Assumptions'!$B$7,0,1+INT((A133-'3. Assumptions'!$B$7)/'3. Assumptions'!$B$8))</f>
        <v>21</v>
      </c>
      <c r="E133" s="17" t="n">
        <f aca="false">MIN((1+'3. Assumptions'!$B$9)^D133,'3. Assumptions'!$B$10)-1</f>
        <v>0.62</v>
      </c>
      <c r="F133" s="31" t="n">
        <f aca="false">'7. The customer'!$B$4*'5. The rent roll'!D133*'7. The customer'!$B$11+F134*C134/C133/(1+'7. The customer'!$B$6)</f>
        <v>3332.01398557869</v>
      </c>
    </row>
    <row r="134" customFormat="false" ht="15" hidden="false" customHeight="false" outlineLevel="0" collapsed="false">
      <c r="A134" s="0" t="n">
        <v>129</v>
      </c>
      <c r="B134" s="17" t="n">
        <f aca="false">'3. Assumptions'!$B$12+IF(AND(A134&gt;='3. Assumptions'!$B$7,MOD(A134-'3. Assumptions'!$B$7,'3. Assumptions'!$B$8)=0),MIN('3. Assumptions'!$B$16,'3. Assumptions'!$B$13*('3. Assumptions'!$B$9/'3. Assumptions'!$B$15)^'3. Assumptions'!$B$14),0)</f>
        <v>0.0665</v>
      </c>
      <c r="C134" s="17" t="n">
        <f aca="false">C133*(1-B133)</f>
        <v>6.8436479820972E-005</v>
      </c>
      <c r="D134" s="11" t="n">
        <f aca="false">IF(A134&lt;'3. Assumptions'!$B$7,0,1+INT((A134-'3. Assumptions'!$B$7)/'3. Assumptions'!$B$8))</f>
        <v>21</v>
      </c>
      <c r="E134" s="17" t="n">
        <f aca="false">MIN((1+'3. Assumptions'!$B$9)^D134,'3. Assumptions'!$B$10)-1</f>
        <v>0.62</v>
      </c>
      <c r="F134" s="31" t="n">
        <f aca="false">'7. The customer'!$B$4*'5. The rent roll'!D134*'7. The customer'!$B$11+F135*C135/C134/(1+'7. The customer'!$B$6)</f>
        <v>3314.78208911237</v>
      </c>
    </row>
    <row r="135" customFormat="false" ht="15" hidden="false" customHeight="false" outlineLevel="0" collapsed="false">
      <c r="A135" s="0" t="n">
        <v>130</v>
      </c>
      <c r="B135" s="17" t="n">
        <f aca="false">'3. Assumptions'!$B$12+IF(AND(A135&gt;='3. Assumptions'!$B$7,MOD(A135-'3. Assumptions'!$B$7,'3. Assumptions'!$B$8)=0),MIN('3. Assumptions'!$B$16,'3. Assumptions'!$B$13*('3. Assumptions'!$B$9/'3. Assumptions'!$B$15)^'3. Assumptions'!$B$14),0)</f>
        <v>0.0665</v>
      </c>
      <c r="C135" s="17" t="n">
        <f aca="false">C134*(1-B134)</f>
        <v>6.38854539128774E-005</v>
      </c>
      <c r="D135" s="11" t="n">
        <f aca="false">IF(A135&lt;'3. Assumptions'!$B$7,0,1+INT((A135-'3. Assumptions'!$B$7)/'3. Assumptions'!$B$8))</f>
        <v>21</v>
      </c>
      <c r="E135" s="17" t="n">
        <f aca="false">MIN((1+'3. Assumptions'!$B$9)^D135,'3. Assumptions'!$B$10)-1</f>
        <v>0.62</v>
      </c>
      <c r="F135" s="31" t="n">
        <f aca="false">'7. The customer'!$B$4*'5. The rent roll'!D135*'7. The customer'!$B$11+F136*C136/C135/(1+'7. The customer'!$B$6)</f>
        <v>3296.19743208859</v>
      </c>
    </row>
    <row r="136" customFormat="false" ht="15" hidden="false" customHeight="false" outlineLevel="0" collapsed="false">
      <c r="A136" s="0" t="n">
        <v>131</v>
      </c>
      <c r="B136" s="17" t="n">
        <f aca="false">'3. Assumptions'!$B$12+IF(AND(A136&gt;='3. Assumptions'!$B$7,MOD(A136-'3. Assumptions'!$B$7,'3. Assumptions'!$B$8)=0),MIN('3. Assumptions'!$B$16,'3. Assumptions'!$B$13*('3. Assumptions'!$B$9/'3. Assumptions'!$B$15)^'3. Assumptions'!$B$14),0)</f>
        <v>0.0965</v>
      </c>
      <c r="C136" s="17" t="n">
        <f aca="false">C135*(1-B135)</f>
        <v>5.9637071227671E-005</v>
      </c>
      <c r="D136" s="11" t="n">
        <f aca="false">IF(A136&lt;'3. Assumptions'!$B$7,0,1+INT((A136-'3. Assumptions'!$B$7)/'3. Assumptions'!$B$8))</f>
        <v>22</v>
      </c>
      <c r="E136" s="17" t="n">
        <f aca="false">MIN((1+'3. Assumptions'!$B$9)^D136,'3. Assumptions'!$B$10)-1</f>
        <v>0.62</v>
      </c>
      <c r="F136" s="31" t="n">
        <f aca="false">'7. The customer'!$B$4*'5. The rent roll'!D136*'7. The customer'!$B$11+F137*C137/C136/(1+'7. The customer'!$B$6)</f>
        <v>3276.15381835363</v>
      </c>
    </row>
    <row r="137" customFormat="false" ht="15" hidden="false" customHeight="false" outlineLevel="0" collapsed="false">
      <c r="A137" s="0" t="n">
        <v>132</v>
      </c>
      <c r="B137" s="17" t="n">
        <f aca="false">'3. Assumptions'!$B$12+IF(AND(A137&gt;='3. Assumptions'!$B$7,MOD(A137-'3. Assumptions'!$B$7,'3. Assumptions'!$B$8)=0),MIN('3. Assumptions'!$B$16,'3. Assumptions'!$B$13*('3. Assumptions'!$B$9/'3. Assumptions'!$B$15)^'3. Assumptions'!$B$14),0)</f>
        <v>0.0665</v>
      </c>
      <c r="C137" s="17" t="n">
        <f aca="false">C136*(1-B136)</f>
        <v>5.38820938542008E-005</v>
      </c>
      <c r="D137" s="11" t="n">
        <f aca="false">IF(A137&lt;'3. Assumptions'!$B$7,0,1+INT((A137-'3. Assumptions'!$B$7)/'3. Assumptions'!$B$8))</f>
        <v>22</v>
      </c>
      <c r="E137" s="17" t="n">
        <f aca="false">MIN((1+'3. Assumptions'!$B$9)^D137,'3. Assumptions'!$B$10)-1</f>
        <v>0.62</v>
      </c>
      <c r="F137" s="31" t="n">
        <f aca="false">'7. The customer'!$B$4*'5. The rent roll'!D137*'7. The customer'!$B$11+F138*C138/C137/(1+'7. The customer'!$B$6)</f>
        <v>3362.60102209017</v>
      </c>
    </row>
    <row r="138" customFormat="false" ht="15" hidden="false" customHeight="false" outlineLevel="0" collapsed="false">
      <c r="A138" s="0" t="n">
        <v>133</v>
      </c>
      <c r="B138" s="17" t="n">
        <f aca="false">'3. Assumptions'!$B$12+IF(AND(A138&gt;='3. Assumptions'!$B$7,MOD(A138-'3. Assumptions'!$B$7,'3. Assumptions'!$B$8)=0),MIN('3. Assumptions'!$B$16,'3. Assumptions'!$B$13*('3. Assumptions'!$B$9/'3. Assumptions'!$B$15)^'3. Assumptions'!$B$14),0)</f>
        <v>0.0665</v>
      </c>
      <c r="C138" s="17" t="n">
        <f aca="false">C137*(1-B137)</f>
        <v>5.02989346128964E-005</v>
      </c>
      <c r="D138" s="11" t="n">
        <f aca="false">IF(A138&lt;'3. Assumptions'!$B$7,0,1+INT((A138-'3. Assumptions'!$B$7)/'3. Assumptions'!$B$8))</f>
        <v>22</v>
      </c>
      <c r="E138" s="17" t="n">
        <f aca="false">MIN((1+'3. Assumptions'!$B$9)^D138,'3. Assumptions'!$B$10)-1</f>
        <v>0.62</v>
      </c>
      <c r="F138" s="31" t="n">
        <f aca="false">'7. The customer'!$B$4*'5. The rent roll'!D138*'7. The customer'!$B$11+F139*C139/C138/(1+'7. The customer'!$B$6)</f>
        <v>3347.770308607</v>
      </c>
    </row>
    <row r="139" customFormat="false" ht="15" hidden="false" customHeight="false" outlineLevel="0" collapsed="false">
      <c r="A139" s="0" t="n">
        <v>134</v>
      </c>
      <c r="B139" s="17" t="n">
        <f aca="false">'3. Assumptions'!$B$12+IF(AND(A139&gt;='3. Assumptions'!$B$7,MOD(A139-'3. Assumptions'!$B$7,'3. Assumptions'!$B$8)=0),MIN('3. Assumptions'!$B$16,'3. Assumptions'!$B$13*('3. Assumptions'!$B$9/'3. Assumptions'!$B$15)^'3. Assumptions'!$B$14),0)</f>
        <v>0.0665</v>
      </c>
      <c r="C139" s="17" t="n">
        <f aca="false">C138*(1-B138)</f>
        <v>4.69540554611388E-005</v>
      </c>
      <c r="D139" s="11" t="n">
        <f aca="false">IF(A139&lt;'3. Assumptions'!$B$7,0,1+INT((A139-'3. Assumptions'!$B$7)/'3. Assumptions'!$B$8))</f>
        <v>22</v>
      </c>
      <c r="E139" s="17" t="n">
        <f aca="false">MIN((1+'3. Assumptions'!$B$9)^D139,'3. Assumptions'!$B$10)-1</f>
        <v>0.62</v>
      </c>
      <c r="F139" s="31" t="n">
        <f aca="false">'7. The customer'!$B$4*'5. The rent roll'!D139*'7. The customer'!$B$11+F140*C140/C139/(1+'7. The customer'!$B$6)</f>
        <v>3331.77533532932</v>
      </c>
    </row>
    <row r="140" customFormat="false" ht="15" hidden="false" customHeight="false" outlineLevel="0" collapsed="false">
      <c r="A140" s="0" t="n">
        <v>135</v>
      </c>
      <c r="B140" s="17" t="n">
        <f aca="false">'3. Assumptions'!$B$12+IF(AND(A140&gt;='3. Assumptions'!$B$7,MOD(A140-'3. Assumptions'!$B$7,'3. Assumptions'!$B$8)=0),MIN('3. Assumptions'!$B$16,'3. Assumptions'!$B$13*('3. Assumptions'!$B$9/'3. Assumptions'!$B$15)^'3. Assumptions'!$B$14),0)</f>
        <v>0.0665</v>
      </c>
      <c r="C140" s="17" t="n">
        <f aca="false">C139*(1-B139)</f>
        <v>4.38316107729731E-005</v>
      </c>
      <c r="D140" s="11" t="n">
        <f aca="false">IF(A140&lt;'3. Assumptions'!$B$7,0,1+INT((A140-'3. Assumptions'!$B$7)/'3. Assumptions'!$B$8))</f>
        <v>22</v>
      </c>
      <c r="E140" s="17" t="n">
        <f aca="false">MIN((1+'3. Assumptions'!$B$9)^D140,'3. Assumptions'!$B$10)-1</f>
        <v>0.62</v>
      </c>
      <c r="F140" s="31" t="n">
        <f aca="false">'7. The customer'!$B$4*'5. The rent roll'!D140*'7. The customer'!$B$11+F141*C141/C140/(1+'7. The customer'!$B$6)</f>
        <v>3314.52470403337</v>
      </c>
    </row>
    <row r="141" customFormat="false" ht="15" hidden="false" customHeight="false" outlineLevel="0" collapsed="false">
      <c r="A141" s="0" t="n">
        <v>136</v>
      </c>
      <c r="B141" s="17" t="n">
        <f aca="false">'3. Assumptions'!$B$12+IF(AND(A141&gt;='3. Assumptions'!$B$7,MOD(A141-'3. Assumptions'!$B$7,'3. Assumptions'!$B$8)=0),MIN('3. Assumptions'!$B$16,'3. Assumptions'!$B$13*('3. Assumptions'!$B$9/'3. Assumptions'!$B$15)^'3. Assumptions'!$B$14),0)</f>
        <v>0.0665</v>
      </c>
      <c r="C141" s="17" t="n">
        <f aca="false">C140*(1-B140)</f>
        <v>4.09168086565704E-005</v>
      </c>
      <c r="D141" s="11" t="n">
        <f aca="false">IF(A141&lt;'3. Assumptions'!$B$7,0,1+INT((A141-'3. Assumptions'!$B$7)/'3. Assumptions'!$B$8))</f>
        <v>22</v>
      </c>
      <c r="E141" s="17" t="n">
        <f aca="false">MIN((1+'3. Assumptions'!$B$9)^D141,'3. Assumptions'!$B$10)-1</f>
        <v>0.62</v>
      </c>
      <c r="F141" s="31" t="n">
        <f aca="false">'7. The customer'!$B$4*'5. The rent roll'!D141*'7. The customer'!$B$11+F142*C142/C141/(1+'7. The customer'!$B$6)</f>
        <v>3295.91984143421</v>
      </c>
    </row>
    <row r="142" customFormat="false" ht="15" hidden="false" customHeight="false" outlineLevel="0" collapsed="false">
      <c r="A142" s="0" t="n">
        <v>137</v>
      </c>
      <c r="B142" s="17" t="n">
        <f aca="false">'3. Assumptions'!$B$12+IF(AND(A142&gt;='3. Assumptions'!$B$7,MOD(A142-'3. Assumptions'!$B$7,'3. Assumptions'!$B$8)=0),MIN('3. Assumptions'!$B$16,'3. Assumptions'!$B$13*('3. Assumptions'!$B$9/'3. Assumptions'!$B$15)^'3. Assumptions'!$B$14),0)</f>
        <v>0.0965</v>
      </c>
      <c r="C142" s="17" t="n">
        <f aca="false">C141*(1-B141)</f>
        <v>3.81958408809085E-005</v>
      </c>
      <c r="D142" s="11" t="n">
        <f aca="false">IF(A142&lt;'3. Assumptions'!$B$7,0,1+INT((A142-'3. Assumptions'!$B$7)/'3. Assumptions'!$B$8))</f>
        <v>23</v>
      </c>
      <c r="E142" s="17" t="n">
        <f aca="false">MIN((1+'3. Assumptions'!$B$9)^D142,'3. Assumptions'!$B$10)-1</f>
        <v>0.62</v>
      </c>
      <c r="F142" s="31" t="n">
        <f aca="false">'7. The customer'!$B$4*'5. The rent roll'!D142*'7. The customer'!$B$11+F143*C143/C142/(1+'7. The customer'!$B$6)</f>
        <v>3275.85443591974</v>
      </c>
    </row>
    <row r="143" customFormat="false" ht="15" hidden="false" customHeight="false" outlineLevel="0" collapsed="false">
      <c r="A143" s="0" t="n">
        <v>138</v>
      </c>
      <c r="B143" s="17" t="n">
        <f aca="false">'3. Assumptions'!$B$12+IF(AND(A143&gt;='3. Assumptions'!$B$7,MOD(A143-'3. Assumptions'!$B$7,'3. Assumptions'!$B$8)=0),MIN('3. Assumptions'!$B$16,'3. Assumptions'!$B$13*('3. Assumptions'!$B$9/'3. Assumptions'!$B$15)^'3. Assumptions'!$B$14),0)</f>
        <v>0.0665</v>
      </c>
      <c r="C143" s="17" t="n">
        <f aca="false">C142*(1-B142)</f>
        <v>3.45099422359008E-005</v>
      </c>
      <c r="D143" s="11" t="n">
        <f aca="false">IF(A143&lt;'3. Assumptions'!$B$7,0,1+INT((A143-'3. Assumptions'!$B$7)/'3. Assumptions'!$B$8))</f>
        <v>23</v>
      </c>
      <c r="E143" s="17" t="n">
        <f aca="false">MIN((1+'3. Assumptions'!$B$9)^D143,'3. Assumptions'!$B$10)-1</f>
        <v>0.62</v>
      </c>
      <c r="F143" s="31" t="n">
        <f aca="false">'7. The customer'!$B$4*'5. The rent roll'!D143*'7. The customer'!$B$11+F144*C144/C143/(1+'7. The customer'!$B$6)</f>
        <v>3362.26741601237</v>
      </c>
    </row>
    <row r="144" customFormat="false" ht="15" hidden="false" customHeight="false" outlineLevel="0" collapsed="false">
      <c r="A144" s="0" t="n">
        <v>139</v>
      </c>
      <c r="B144" s="17" t="n">
        <f aca="false">'3. Assumptions'!$B$12+IF(AND(A144&gt;='3. Assumptions'!$B$7,MOD(A144-'3. Assumptions'!$B$7,'3. Assumptions'!$B$8)=0),MIN('3. Assumptions'!$B$16,'3. Assumptions'!$B$13*('3. Assumptions'!$B$9/'3. Assumptions'!$B$15)^'3. Assumptions'!$B$14),0)</f>
        <v>0.0665</v>
      </c>
      <c r="C144" s="17" t="n">
        <f aca="false">C143*(1-B143)</f>
        <v>3.22150310772134E-005</v>
      </c>
      <c r="D144" s="11" t="n">
        <f aca="false">IF(A144&lt;'3. Assumptions'!$B$7,0,1+INT((A144-'3. Assumptions'!$B$7)/'3. Assumptions'!$B$8))</f>
        <v>23</v>
      </c>
      <c r="E144" s="17" t="n">
        <f aca="false">MIN((1+'3. Assumptions'!$B$9)^D144,'3. Assumptions'!$B$10)-1</f>
        <v>0.62</v>
      </c>
      <c r="F144" s="31" t="n">
        <f aca="false">'7. The customer'!$B$4*'5. The rent roll'!D144*'7. The customer'!$B$11+F145*C145/C144/(1+'7. The customer'!$B$6)</f>
        <v>3347.4105133547</v>
      </c>
    </row>
    <row r="145" customFormat="false" ht="15" hidden="false" customHeight="false" outlineLevel="0" collapsed="false">
      <c r="A145" s="0" t="n">
        <v>140</v>
      </c>
      <c r="B145" s="17" t="n">
        <f aca="false">'3. Assumptions'!$B$12+IF(AND(A145&gt;='3. Assumptions'!$B$7,MOD(A145-'3. Assumptions'!$B$7,'3. Assumptions'!$B$8)=0),MIN('3. Assumptions'!$B$16,'3. Assumptions'!$B$13*('3. Assumptions'!$B$9/'3. Assumptions'!$B$15)^'3. Assumptions'!$B$14),0)</f>
        <v>0.0665</v>
      </c>
      <c r="C145" s="17" t="n">
        <f aca="false">C144*(1-B144)</f>
        <v>3.00727315105787E-005</v>
      </c>
      <c r="D145" s="11" t="n">
        <f aca="false">IF(A145&lt;'3. Assumptions'!$B$7,0,1+INT((A145-'3. Assumptions'!$B$7)/'3. Assumptions'!$B$8))</f>
        <v>23</v>
      </c>
      <c r="E145" s="17" t="n">
        <f aca="false">MIN((1+'3. Assumptions'!$B$9)^D145,'3. Assumptions'!$B$10)-1</f>
        <v>0.62</v>
      </c>
      <c r="F145" s="31" t="n">
        <f aca="false">'7. The customer'!$B$4*'5. The rent roll'!D145*'7. The customer'!$B$11+F146*C146/C145/(1+'7. The customer'!$B$6)</f>
        <v>3331.38729496615</v>
      </c>
    </row>
    <row r="146" customFormat="false" ht="15" hidden="false" customHeight="false" outlineLevel="0" collapsed="false">
      <c r="A146" s="0" t="n">
        <v>141</v>
      </c>
      <c r="B146" s="17" t="n">
        <f aca="false">'3. Assumptions'!$B$12+IF(AND(A146&gt;='3. Assumptions'!$B$7,MOD(A146-'3. Assumptions'!$B$7,'3. Assumptions'!$B$8)=0),MIN('3. Assumptions'!$B$16,'3. Assumptions'!$B$13*('3. Assumptions'!$B$9/'3. Assumptions'!$B$15)^'3. Assumptions'!$B$14),0)</f>
        <v>0.0665</v>
      </c>
      <c r="C146" s="17" t="n">
        <f aca="false">C145*(1-B145)</f>
        <v>2.80728948651252E-005</v>
      </c>
      <c r="D146" s="11" t="n">
        <f aca="false">IF(A146&lt;'3. Assumptions'!$B$7,0,1+INT((A146-'3. Assumptions'!$B$7)/'3. Assumptions'!$B$8))</f>
        <v>23</v>
      </c>
      <c r="E146" s="17" t="n">
        <f aca="false">MIN((1+'3. Assumptions'!$B$9)^D146,'3. Assumptions'!$B$10)-1</f>
        <v>0.62</v>
      </c>
      <c r="F146" s="31" t="n">
        <f aca="false">'7. The customer'!$B$4*'5. The rent roll'!D146*'7. The customer'!$B$11+F147*C147/C146/(1+'7. The customer'!$B$6)</f>
        <v>3314.10620122523</v>
      </c>
    </row>
    <row r="147" customFormat="false" ht="15" hidden="false" customHeight="false" outlineLevel="0" collapsed="false">
      <c r="A147" s="0" t="n">
        <v>142</v>
      </c>
      <c r="B147" s="17" t="n">
        <f aca="false">'3. Assumptions'!$B$12+IF(AND(A147&gt;='3. Assumptions'!$B$7,MOD(A147-'3. Assumptions'!$B$7,'3. Assumptions'!$B$8)=0),MIN('3. Assumptions'!$B$16,'3. Assumptions'!$B$13*('3. Assumptions'!$B$9/'3. Assumptions'!$B$15)^'3. Assumptions'!$B$14),0)</f>
        <v>0.0665</v>
      </c>
      <c r="C147" s="17" t="n">
        <f aca="false">C146*(1-B146)</f>
        <v>2.62060473565944E-005</v>
      </c>
      <c r="D147" s="11" t="n">
        <f aca="false">IF(A147&lt;'3. Assumptions'!$B$7,0,1+INT((A147-'3. Assumptions'!$B$7)/'3. Assumptions'!$B$8))</f>
        <v>23</v>
      </c>
      <c r="E147" s="17" t="n">
        <f aca="false">MIN((1+'3. Assumptions'!$B$9)^D147,'3. Assumptions'!$B$10)-1</f>
        <v>0.62</v>
      </c>
      <c r="F147" s="31" t="n">
        <f aca="false">'7. The customer'!$B$4*'5. The rent roll'!D147*'7. The customer'!$B$11+F148*C148/C147/(1+'7. The customer'!$B$6)</f>
        <v>3295.46848477895</v>
      </c>
    </row>
    <row r="148" customFormat="false" ht="15" hidden="false" customHeight="false" outlineLevel="0" collapsed="false">
      <c r="A148" s="0" t="n">
        <v>143</v>
      </c>
      <c r="B148" s="17" t="n">
        <f aca="false">'3. Assumptions'!$B$12+IF(AND(A148&gt;='3. Assumptions'!$B$7,MOD(A148-'3. Assumptions'!$B$7,'3. Assumptions'!$B$8)=0),MIN('3. Assumptions'!$B$16,'3. Assumptions'!$B$13*('3. Assumptions'!$B$9/'3. Assumptions'!$B$15)^'3. Assumptions'!$B$14),0)</f>
        <v>0.0965</v>
      </c>
      <c r="C148" s="17" t="n">
        <f aca="false">C147*(1-B147)</f>
        <v>2.44633452073809E-005</v>
      </c>
      <c r="D148" s="11" t="n">
        <f aca="false">IF(A148&lt;'3. Assumptions'!$B$7,0,1+INT((A148-'3. Assumptions'!$B$7)/'3. Assumptions'!$B$8))</f>
        <v>24</v>
      </c>
      <c r="E148" s="17" t="n">
        <f aca="false">MIN((1+'3. Assumptions'!$B$9)^D148,'3. Assumptions'!$B$10)-1</f>
        <v>0.62</v>
      </c>
      <c r="F148" s="31" t="n">
        <f aca="false">'7. The customer'!$B$4*'5. The rent roll'!D148*'7. The customer'!$B$11+F149*C149/C148/(1+'7. The customer'!$B$6)</f>
        <v>3275.36764628229</v>
      </c>
    </row>
    <row r="149" customFormat="false" ht="15" hidden="false" customHeight="false" outlineLevel="0" collapsed="false">
      <c r="A149" s="0" t="n">
        <v>144</v>
      </c>
      <c r="B149" s="17" t="n">
        <f aca="false">'3. Assumptions'!$B$12+IF(AND(A149&gt;='3. Assumptions'!$B$7,MOD(A149-'3. Assumptions'!$B$7,'3. Assumptions'!$B$8)=0),MIN('3. Assumptions'!$B$16,'3. Assumptions'!$B$13*('3. Assumptions'!$B$9/'3. Assumptions'!$B$15)^'3. Assumptions'!$B$14),0)</f>
        <v>0.0665</v>
      </c>
      <c r="C149" s="17" t="n">
        <f aca="false">C148*(1-B148)</f>
        <v>2.21026323948686E-005</v>
      </c>
      <c r="D149" s="11" t="n">
        <f aca="false">IF(A149&lt;'3. Assumptions'!$B$7,0,1+INT((A149-'3. Assumptions'!$B$7)/'3. Assumptions'!$B$8))</f>
        <v>24</v>
      </c>
      <c r="E149" s="17" t="n">
        <f aca="false">MIN((1+'3. Assumptions'!$B$9)^D149,'3. Assumptions'!$B$10)-1</f>
        <v>0.62</v>
      </c>
      <c r="F149" s="31" t="n">
        <f aca="false">'7. The customer'!$B$4*'5. The rent roll'!D149*'7. The customer'!$B$11+F150*C150/C149/(1+'7. The customer'!$B$6)</f>
        <v>3361.72497943869</v>
      </c>
    </row>
    <row r="150" customFormat="false" ht="15" hidden="false" customHeight="false" outlineLevel="0" collapsed="false">
      <c r="A150" s="0" t="n">
        <v>145</v>
      </c>
      <c r="B150" s="17" t="n">
        <f aca="false">'3. Assumptions'!$B$12+IF(AND(A150&gt;='3. Assumptions'!$B$7,MOD(A150-'3. Assumptions'!$B$7,'3. Assumptions'!$B$8)=0),MIN('3. Assumptions'!$B$16,'3. Assumptions'!$B$13*('3. Assumptions'!$B$9/'3. Assumptions'!$B$15)^'3. Assumptions'!$B$14),0)</f>
        <v>0.0665</v>
      </c>
      <c r="C150" s="17" t="n">
        <f aca="false">C149*(1-B149)</f>
        <v>2.06328073406098E-005</v>
      </c>
      <c r="D150" s="11" t="n">
        <f aca="false">IF(A150&lt;'3. Assumptions'!$B$7,0,1+INT((A150-'3. Assumptions'!$B$7)/'3. Assumptions'!$B$8))</f>
        <v>24</v>
      </c>
      <c r="E150" s="17" t="n">
        <f aca="false">MIN((1+'3. Assumptions'!$B$9)^D150,'3. Assumptions'!$B$10)-1</f>
        <v>0.62</v>
      </c>
      <c r="F150" s="31" t="n">
        <f aca="false">'7. The customer'!$B$4*'5. The rent roll'!D150*'7. The customer'!$B$11+F151*C151/C150/(1+'7. The customer'!$B$6)</f>
        <v>3346.82549372562</v>
      </c>
    </row>
    <row r="151" customFormat="false" ht="15" hidden="false" customHeight="false" outlineLevel="0" collapsed="false">
      <c r="A151" s="0" t="n">
        <v>146</v>
      </c>
      <c r="B151" s="17" t="n">
        <f aca="false">'3. Assumptions'!$B$12+IF(AND(A151&gt;='3. Assumptions'!$B$7,MOD(A151-'3. Assumptions'!$B$7,'3. Assumptions'!$B$8)=0),MIN('3. Assumptions'!$B$16,'3. Assumptions'!$B$13*('3. Assumptions'!$B$9/'3. Assumptions'!$B$15)^'3. Assumptions'!$B$14),0)</f>
        <v>0.0665</v>
      </c>
      <c r="C151" s="17" t="n">
        <f aca="false">C150*(1-B150)</f>
        <v>1.92607256524593E-005</v>
      </c>
      <c r="D151" s="11" t="n">
        <f aca="false">IF(A151&lt;'3. Assumptions'!$B$7,0,1+INT((A151-'3. Assumptions'!$B$7)/'3. Assumptions'!$B$8))</f>
        <v>24</v>
      </c>
      <c r="E151" s="17" t="n">
        <f aca="false">MIN((1+'3. Assumptions'!$B$9)^D151,'3. Assumptions'!$B$10)-1</f>
        <v>0.62</v>
      </c>
      <c r="F151" s="31" t="n">
        <f aca="false">'7. The customer'!$B$4*'5. The rent roll'!D151*'7. The customer'!$B$11+F152*C152/C151/(1+'7. The customer'!$B$6)</f>
        <v>3330.75634937175</v>
      </c>
    </row>
    <row r="152" customFormat="false" ht="15" hidden="false" customHeight="false" outlineLevel="0" collapsed="false">
      <c r="A152" s="0" t="n">
        <v>147</v>
      </c>
      <c r="B152" s="17" t="n">
        <f aca="false">'3. Assumptions'!$B$12+IF(AND(A152&gt;='3. Assumptions'!$B$7,MOD(A152-'3. Assumptions'!$B$7,'3. Assumptions'!$B$8)=0),MIN('3. Assumptions'!$B$16,'3. Assumptions'!$B$13*('3. Assumptions'!$B$9/'3. Assumptions'!$B$15)^'3. Assumptions'!$B$14),0)</f>
        <v>0.0665</v>
      </c>
      <c r="C152" s="17" t="n">
        <f aca="false">C151*(1-B151)</f>
        <v>1.79798873965707E-005</v>
      </c>
      <c r="D152" s="11" t="n">
        <f aca="false">IF(A152&lt;'3. Assumptions'!$B$7,0,1+INT((A152-'3. Assumptions'!$B$7)/'3. Assumptions'!$B$8))</f>
        <v>24</v>
      </c>
      <c r="E152" s="17" t="n">
        <f aca="false">MIN((1+'3. Assumptions'!$B$9)^D152,'3. Assumptions'!$B$10)-1</f>
        <v>0.62</v>
      </c>
      <c r="F152" s="31" t="n">
        <f aca="false">'7. The customer'!$B$4*'5. The rent roll'!D152*'7. The customer'!$B$11+F153*C153/C152/(1+'7. The customer'!$B$6)</f>
        <v>3313.42572432615</v>
      </c>
    </row>
    <row r="153" customFormat="false" ht="15" hidden="false" customHeight="false" outlineLevel="0" collapsed="false">
      <c r="A153" s="0" t="n">
        <v>148</v>
      </c>
      <c r="B153" s="17" t="n">
        <f aca="false">'3. Assumptions'!$B$12+IF(AND(A153&gt;='3. Assumptions'!$B$7,MOD(A153-'3. Assumptions'!$B$7,'3. Assumptions'!$B$8)=0),MIN('3. Assumptions'!$B$16,'3. Assumptions'!$B$13*('3. Assumptions'!$B$9/'3. Assumptions'!$B$15)^'3. Assumptions'!$B$14),0)</f>
        <v>0.0665</v>
      </c>
      <c r="C153" s="17" t="n">
        <f aca="false">C152*(1-B152)</f>
        <v>1.67842248846988E-005</v>
      </c>
      <c r="D153" s="11" t="n">
        <f aca="false">IF(A153&lt;'3. Assumptions'!$B$7,0,1+INT((A153-'3. Assumptions'!$B$7)/'3. Assumptions'!$B$8))</f>
        <v>24</v>
      </c>
      <c r="E153" s="17" t="n">
        <f aca="false">MIN((1+'3. Assumptions'!$B$9)^D153,'3. Assumptions'!$B$10)-1</f>
        <v>0.62</v>
      </c>
      <c r="F153" s="31" t="n">
        <f aca="false">'7. The customer'!$B$4*'5. The rent roll'!D153*'7. The customer'!$B$11+F154*C154/C153/(1+'7. The customer'!$B$6)</f>
        <v>3294.73458820484</v>
      </c>
    </row>
    <row r="154" customFormat="false" ht="15" hidden="false" customHeight="false" outlineLevel="0" collapsed="false">
      <c r="A154" s="0" t="n">
        <v>149</v>
      </c>
      <c r="B154" s="17" t="n">
        <f aca="false">'3. Assumptions'!$B$12+IF(AND(A154&gt;='3. Assumptions'!$B$7,MOD(A154-'3. Assumptions'!$B$7,'3. Assumptions'!$B$8)=0),MIN('3. Assumptions'!$B$16,'3. Assumptions'!$B$13*('3. Assumptions'!$B$9/'3. Assumptions'!$B$15)^'3. Assumptions'!$B$14),0)</f>
        <v>0.0965</v>
      </c>
      <c r="C154" s="17" t="n">
        <f aca="false">C153*(1-B153)</f>
        <v>1.56680739298663E-005</v>
      </c>
      <c r="D154" s="11" t="n">
        <f aca="false">IF(A154&lt;'3. Assumptions'!$B$7,0,1+INT((A154-'3. Assumptions'!$B$7)/'3. Assumptions'!$B$8))</f>
        <v>25</v>
      </c>
      <c r="E154" s="17" t="n">
        <f aca="false">MIN((1+'3. Assumptions'!$B$9)^D154,'3. Assumptions'!$B$10)-1</f>
        <v>0.62</v>
      </c>
      <c r="F154" s="31" t="n">
        <f aca="false">'7. The customer'!$B$4*'5. The rent roll'!D154*'7. The customer'!$B$11+F155*C155/C154/(1+'7. The customer'!$B$6)</f>
        <v>3274.57613641294</v>
      </c>
    </row>
    <row r="155" customFormat="false" ht="15" hidden="false" customHeight="false" outlineLevel="0" collapsed="false">
      <c r="A155" s="0" t="n">
        <v>150</v>
      </c>
      <c r="B155" s="17" t="n">
        <f aca="false">'3. Assumptions'!$B$12+IF(AND(A155&gt;='3. Assumptions'!$B$7,MOD(A155-'3. Assumptions'!$B$7,'3. Assumptions'!$B$8)=0),MIN('3. Assumptions'!$B$16,'3. Assumptions'!$B$13*('3. Assumptions'!$B$9/'3. Assumptions'!$B$15)^'3. Assumptions'!$B$14),0)</f>
        <v>0.0665</v>
      </c>
      <c r="C155" s="17" t="n">
        <f aca="false">C154*(1-B154)</f>
        <v>1.41561047956342E-005</v>
      </c>
      <c r="D155" s="11" t="n">
        <f aca="false">IF(A155&lt;'3. Assumptions'!$B$7,0,1+INT((A155-'3. Assumptions'!$B$7)/'3. Assumptions'!$B$8))</f>
        <v>25</v>
      </c>
      <c r="E155" s="17" t="n">
        <f aca="false">MIN((1+'3. Assumptions'!$B$9)^D155,'3. Assumptions'!$B$10)-1</f>
        <v>0.62</v>
      </c>
      <c r="F155" s="31" t="n">
        <f aca="false">'7. The customer'!$B$4*'5. The rent roll'!D155*'7. The customer'!$B$11+F156*C156/C155/(1+'7. The customer'!$B$6)</f>
        <v>3360.84298880346</v>
      </c>
    </row>
    <row r="156" customFormat="false" ht="15" hidden="false" customHeight="false" outlineLevel="0" collapsed="false">
      <c r="A156" s="0" t="n">
        <v>151</v>
      </c>
      <c r="B156" s="17" t="n">
        <f aca="false">'3. Assumptions'!$B$12+IF(AND(A156&gt;='3. Assumptions'!$B$7,MOD(A156-'3. Assumptions'!$B$7,'3. Assumptions'!$B$8)=0),MIN('3. Assumptions'!$B$16,'3. Assumptions'!$B$13*('3. Assumptions'!$B$9/'3. Assumptions'!$B$15)^'3. Assumptions'!$B$14),0)</f>
        <v>0.0665</v>
      </c>
      <c r="C156" s="17" t="n">
        <f aca="false">C155*(1-B155)</f>
        <v>1.32147238267245E-005</v>
      </c>
      <c r="D156" s="11" t="n">
        <f aca="false">IF(A156&lt;'3. Assumptions'!$B$7,0,1+INT((A156-'3. Assumptions'!$B$7)/'3. Assumptions'!$B$8))</f>
        <v>25</v>
      </c>
      <c r="E156" s="17" t="n">
        <f aca="false">MIN((1+'3. Assumptions'!$B$9)^D156,'3. Assumptions'!$B$10)-1</f>
        <v>0.62</v>
      </c>
      <c r="F156" s="31" t="n">
        <f aca="false">'7. The customer'!$B$4*'5. The rent roll'!D156*'7. The customer'!$B$11+F157*C157/C156/(1+'7. The customer'!$B$6)</f>
        <v>3345.87426392419</v>
      </c>
    </row>
    <row r="157" customFormat="false" ht="15" hidden="false" customHeight="false" outlineLevel="0" collapsed="false">
      <c r="A157" s="0" t="n">
        <v>152</v>
      </c>
      <c r="B157" s="17" t="n">
        <f aca="false">'3. Assumptions'!$B$12+IF(AND(A157&gt;='3. Assumptions'!$B$7,MOD(A157-'3. Assumptions'!$B$7,'3. Assumptions'!$B$8)=0),MIN('3. Assumptions'!$B$16,'3. Assumptions'!$B$13*('3. Assumptions'!$B$9/'3. Assumptions'!$B$15)^'3. Assumptions'!$B$14),0)</f>
        <v>0.0665</v>
      </c>
      <c r="C157" s="17" t="n">
        <f aca="false">C156*(1-B156)</f>
        <v>1.23359446922474E-005</v>
      </c>
      <c r="D157" s="11" t="n">
        <f aca="false">IF(A157&lt;'3. Assumptions'!$B$7,0,1+INT((A157-'3. Assumptions'!$B$7)/'3. Assumptions'!$B$8))</f>
        <v>25</v>
      </c>
      <c r="E157" s="17" t="n">
        <f aca="false">MIN((1+'3. Assumptions'!$B$9)^D157,'3. Assumptions'!$B$10)-1</f>
        <v>0.62</v>
      </c>
      <c r="F157" s="31" t="n">
        <f aca="false">'7. The customer'!$B$4*'5. The rent roll'!D157*'7. The customer'!$B$11+F158*C158/C157/(1+'7. The customer'!$B$6)</f>
        <v>3329.7304449018</v>
      </c>
    </row>
    <row r="158" customFormat="false" ht="15" hidden="false" customHeight="false" outlineLevel="0" collapsed="false">
      <c r="A158" s="0" t="n">
        <v>153</v>
      </c>
      <c r="B158" s="17" t="n">
        <f aca="false">'3. Assumptions'!$B$12+IF(AND(A158&gt;='3. Assumptions'!$B$7,MOD(A158-'3. Assumptions'!$B$7,'3. Assumptions'!$B$8)=0),MIN('3. Assumptions'!$B$16,'3. Assumptions'!$B$13*('3. Assumptions'!$B$9/'3. Assumptions'!$B$15)^'3. Assumptions'!$B$14),0)</f>
        <v>0.0665</v>
      </c>
      <c r="C158" s="17" t="n">
        <f aca="false">C157*(1-B157)</f>
        <v>1.15156043702129E-005</v>
      </c>
      <c r="D158" s="11" t="n">
        <f aca="false">IF(A158&lt;'3. Assumptions'!$B$7,0,1+INT((A158-'3. Assumptions'!$B$7)/'3. Assumptions'!$B$8))</f>
        <v>25</v>
      </c>
      <c r="E158" s="17" t="n">
        <f aca="false">MIN((1+'3. Assumptions'!$B$9)^D158,'3. Assumptions'!$B$10)-1</f>
        <v>0.62</v>
      </c>
      <c r="F158" s="31" t="n">
        <f aca="false">'7. The customer'!$B$4*'5. The rent roll'!D158*'7. The customer'!$B$11+F159*C159/C158/(1+'7. The customer'!$B$6)</f>
        <v>3312.31928298057</v>
      </c>
    </row>
    <row r="159" customFormat="false" ht="15" hidden="false" customHeight="false" outlineLevel="0" collapsed="false">
      <c r="A159" s="0" t="n">
        <v>154</v>
      </c>
      <c r="B159" s="17" t="n">
        <f aca="false">'3. Assumptions'!$B$12+IF(AND(A159&gt;='3. Assumptions'!$B$7,MOD(A159-'3. Assumptions'!$B$7,'3. Assumptions'!$B$8)=0),MIN('3. Assumptions'!$B$16,'3. Assumptions'!$B$13*('3. Assumptions'!$B$9/'3. Assumptions'!$B$15)^'3. Assumptions'!$B$14),0)</f>
        <v>0.0665</v>
      </c>
      <c r="C159" s="17" t="n">
        <f aca="false">C158*(1-B158)</f>
        <v>1.07498166795938E-005</v>
      </c>
      <c r="D159" s="11" t="n">
        <f aca="false">IF(A159&lt;'3. Assumptions'!$B$7,0,1+INT((A159-'3. Assumptions'!$B$7)/'3. Assumptions'!$B$8))</f>
        <v>25</v>
      </c>
      <c r="E159" s="17" t="n">
        <f aca="false">MIN((1+'3. Assumptions'!$B$9)^D159,'3. Assumptions'!$B$10)-1</f>
        <v>0.62</v>
      </c>
      <c r="F159" s="31" t="n">
        <f aca="false">'7. The customer'!$B$4*'5. The rent roll'!D159*'7. The customer'!$B$11+F160*C160/C159/(1+'7. The customer'!$B$6)</f>
        <v>3293.54128757396</v>
      </c>
    </row>
    <row r="160" customFormat="false" ht="15" hidden="false" customHeight="false" outlineLevel="0" collapsed="false">
      <c r="A160" s="0" t="n">
        <v>155</v>
      </c>
      <c r="B160" s="17" t="n">
        <f aca="false">'3. Assumptions'!$B$12+IF(AND(A160&gt;='3. Assumptions'!$B$7,MOD(A160-'3. Assumptions'!$B$7,'3. Assumptions'!$B$8)=0),MIN('3. Assumptions'!$B$16,'3. Assumptions'!$B$13*('3. Assumptions'!$B$9/'3. Assumptions'!$B$15)^'3. Assumptions'!$B$14),0)</f>
        <v>0.0965</v>
      </c>
      <c r="C160" s="17" t="n">
        <f aca="false">C159*(1-B159)</f>
        <v>1.00349538704008E-005</v>
      </c>
      <c r="D160" s="11" t="n">
        <f aca="false">IF(A160&lt;'3. Assumptions'!$B$7,0,1+INT((A160-'3. Assumptions'!$B$7)/'3. Assumptions'!$B$8))</f>
        <v>26</v>
      </c>
      <c r="E160" s="17" t="n">
        <f aca="false">MIN((1+'3. Assumptions'!$B$9)^D160,'3. Assumptions'!$B$10)-1</f>
        <v>0.62</v>
      </c>
      <c r="F160" s="31" t="n">
        <f aca="false">'7. The customer'!$B$4*'5. The rent roll'!D160*'7. The customer'!$B$11+F161*C161/C160/(1+'7. The customer'!$B$6)</f>
        <v>3273.28915775713</v>
      </c>
    </row>
    <row r="161" customFormat="false" ht="15" hidden="false" customHeight="false" outlineLevel="0" collapsed="false">
      <c r="A161" s="0" t="n">
        <v>156</v>
      </c>
      <c r="B161" s="17" t="n">
        <f aca="false">'3. Assumptions'!$B$12+IF(AND(A161&gt;='3. Assumptions'!$B$7,MOD(A161-'3. Assumptions'!$B$7,'3. Assumptions'!$B$8)=0),MIN('3. Assumptions'!$B$16,'3. Assumptions'!$B$13*('3. Assumptions'!$B$9/'3. Assumptions'!$B$15)^'3. Assumptions'!$B$14),0)</f>
        <v>0.0665</v>
      </c>
      <c r="C161" s="17" t="n">
        <f aca="false">C160*(1-B160)</f>
        <v>9.0665808219071E-006</v>
      </c>
      <c r="D161" s="11" t="n">
        <f aca="false">IF(A161&lt;'3. Assumptions'!$B$7,0,1+INT((A161-'3. Assumptions'!$B$7)/'3. Assumptions'!$B$8))</f>
        <v>26</v>
      </c>
      <c r="E161" s="17" t="n">
        <f aca="false">MIN((1+'3. Assumptions'!$B$9)^D161,'3. Assumptions'!$B$10)-1</f>
        <v>0.62</v>
      </c>
      <c r="F161" s="31" t="n">
        <f aca="false">'7. The customer'!$B$4*'5. The rent roll'!D161*'7. The customer'!$B$11+F162*C162/C161/(1+'7. The customer'!$B$6)</f>
        <v>3359.40889029613</v>
      </c>
    </row>
    <row r="162" customFormat="false" ht="15" hidden="false" customHeight="false" outlineLevel="0" collapsed="false">
      <c r="A162" s="0" t="n">
        <v>157</v>
      </c>
      <c r="B162" s="17" t="n">
        <f aca="false">'3. Assumptions'!$B$12+IF(AND(A162&gt;='3. Assumptions'!$B$7,MOD(A162-'3. Assumptions'!$B$7,'3. Assumptions'!$B$8)=0),MIN('3. Assumptions'!$B$16,'3. Assumptions'!$B$13*('3. Assumptions'!$B$9/'3. Assumptions'!$B$15)^'3. Assumptions'!$B$14),0)</f>
        <v>0.0665</v>
      </c>
      <c r="C162" s="17" t="n">
        <f aca="false">C161*(1-B161)</f>
        <v>8.46365319725027E-006</v>
      </c>
      <c r="D162" s="11" t="n">
        <f aca="false">IF(A162&lt;'3. Assumptions'!$B$7,0,1+INT((A162-'3. Assumptions'!$B$7)/'3. Assumptions'!$B$8))</f>
        <v>26</v>
      </c>
      <c r="E162" s="17" t="n">
        <f aca="false">MIN((1+'3. Assumptions'!$B$9)^D162,'3. Assumptions'!$B$10)-1</f>
        <v>0.62</v>
      </c>
      <c r="F162" s="31" t="n">
        <f aca="false">'7. The customer'!$B$4*'5. The rent roll'!D162*'7. The customer'!$B$11+F163*C163/C162/(1+'7. The customer'!$B$6)</f>
        <v>3344.32758396652</v>
      </c>
    </row>
    <row r="163" customFormat="false" ht="15" hidden="false" customHeight="false" outlineLevel="0" collapsed="false">
      <c r="A163" s="0" t="n">
        <v>158</v>
      </c>
      <c r="B163" s="17" t="n">
        <f aca="false">'3. Assumptions'!$B$12+IF(AND(A163&gt;='3. Assumptions'!$B$7,MOD(A163-'3. Assumptions'!$B$7,'3. Assumptions'!$B$8)=0),MIN('3. Assumptions'!$B$16,'3. Assumptions'!$B$13*('3. Assumptions'!$B$9/'3. Assumptions'!$B$15)^'3. Assumptions'!$B$14),0)</f>
        <v>0.0665</v>
      </c>
      <c r="C163" s="17" t="n">
        <f aca="false">C162*(1-B162)</f>
        <v>7.90082025963313E-006</v>
      </c>
      <c r="D163" s="11" t="n">
        <f aca="false">IF(A163&lt;'3. Assumptions'!$B$7,0,1+INT((A163-'3. Assumptions'!$B$7)/'3. Assumptions'!$B$8))</f>
        <v>26</v>
      </c>
      <c r="E163" s="17" t="n">
        <f aca="false">MIN((1+'3. Assumptions'!$B$9)^D163,'3. Assumptions'!$B$10)-1</f>
        <v>0.62</v>
      </c>
      <c r="F163" s="31" t="n">
        <f aca="false">'7. The customer'!$B$4*'5. The rent roll'!D163*'7. The customer'!$B$11+F164*C164/C163/(1+'7. The customer'!$B$6)</f>
        <v>3328.0623454796</v>
      </c>
    </row>
    <row r="164" customFormat="false" ht="15" hidden="false" customHeight="false" outlineLevel="0" collapsed="false">
      <c r="A164" s="0" t="n">
        <v>159</v>
      </c>
      <c r="B164" s="17" t="n">
        <f aca="false">'3. Assumptions'!$B$12+IF(AND(A164&gt;='3. Assumptions'!$B$7,MOD(A164-'3. Assumptions'!$B$7,'3. Assumptions'!$B$8)=0),MIN('3. Assumptions'!$B$16,'3. Assumptions'!$B$13*('3. Assumptions'!$B$9/'3. Assumptions'!$B$15)^'3. Assumptions'!$B$14),0)</f>
        <v>0.0665</v>
      </c>
      <c r="C164" s="17" t="n">
        <f aca="false">C163*(1-B163)</f>
        <v>7.37541571236753E-006</v>
      </c>
      <c r="D164" s="11" t="n">
        <f aca="false">IF(A164&lt;'3. Assumptions'!$B$7,0,1+INT((A164-'3. Assumptions'!$B$7)/'3. Assumptions'!$B$8))</f>
        <v>26</v>
      </c>
      <c r="E164" s="17" t="n">
        <f aca="false">MIN((1+'3. Assumptions'!$B$9)^D164,'3. Assumptions'!$B$10)-1</f>
        <v>0.62</v>
      </c>
      <c r="F164" s="31" t="n">
        <f aca="false">'7. The customer'!$B$4*'5. The rent roll'!D164*'7. The customer'!$B$11+F165*C165/C164/(1+'7. The customer'!$B$6)</f>
        <v>3310.52023226646</v>
      </c>
    </row>
    <row r="165" customFormat="false" ht="15" hidden="false" customHeight="false" outlineLevel="0" collapsed="false">
      <c r="A165" s="0" t="n">
        <v>160</v>
      </c>
      <c r="B165" s="17" t="n">
        <f aca="false">'3. Assumptions'!$B$12+IF(AND(A165&gt;='3. Assumptions'!$B$7,MOD(A165-'3. Assumptions'!$B$7,'3. Assumptions'!$B$8)=0),MIN('3. Assumptions'!$B$16,'3. Assumptions'!$B$13*('3. Assumptions'!$B$9/'3. Assumptions'!$B$15)^'3. Assumptions'!$B$14),0)</f>
        <v>0.0665</v>
      </c>
      <c r="C165" s="17" t="n">
        <f aca="false">C164*(1-B164)</f>
        <v>6.88495056749509E-006</v>
      </c>
      <c r="D165" s="11" t="n">
        <f aca="false">IF(A165&lt;'3. Assumptions'!$B$7,0,1+INT((A165-'3. Assumptions'!$B$7)/'3. Assumptions'!$B$8))</f>
        <v>26</v>
      </c>
      <c r="E165" s="17" t="n">
        <f aca="false">MIN((1+'3. Assumptions'!$B$9)^D165,'3. Assumptions'!$B$10)-1</f>
        <v>0.62</v>
      </c>
      <c r="F165" s="31" t="n">
        <f aca="false">'7. The customer'!$B$4*'5. The rent roll'!D165*'7. The customer'!$B$11+F166*C166/C165/(1+'7. The customer'!$B$6)</f>
        <v>3291.60100546076</v>
      </c>
    </row>
    <row r="166" customFormat="false" ht="15" hidden="false" customHeight="false" outlineLevel="0" collapsed="false">
      <c r="A166" s="0" t="n">
        <v>161</v>
      </c>
      <c r="B166" s="17" t="n">
        <f aca="false">'3. Assumptions'!$B$12+IF(AND(A166&gt;='3. Assumptions'!$B$7,MOD(A166-'3. Assumptions'!$B$7,'3. Assumptions'!$B$8)=0),MIN('3. Assumptions'!$B$16,'3. Assumptions'!$B$13*('3. Assumptions'!$B$9/'3. Assumptions'!$B$15)^'3. Assumptions'!$B$14),0)</f>
        <v>0.0965</v>
      </c>
      <c r="C166" s="17" t="n">
        <f aca="false">C165*(1-B165)</f>
        <v>6.42710135475666E-006</v>
      </c>
      <c r="D166" s="11" t="n">
        <f aca="false">IF(A166&lt;'3. Assumptions'!$B$7,0,1+INT((A166-'3. Assumptions'!$B$7)/'3. Assumptions'!$B$8))</f>
        <v>27</v>
      </c>
      <c r="E166" s="17" t="n">
        <f aca="false">MIN((1+'3. Assumptions'!$B$9)^D166,'3. Assumptions'!$B$10)-1</f>
        <v>0.62</v>
      </c>
      <c r="F166" s="31" t="n">
        <f aca="false">'7. The customer'!$B$4*'5. The rent roll'!D166*'7. The customer'!$B$11+F167*C167/C166/(1+'7. The customer'!$B$6)</f>
        <v>3271.19655711543</v>
      </c>
    </row>
    <row r="167" customFormat="false" ht="15" hidden="false" customHeight="false" outlineLevel="0" collapsed="false">
      <c r="A167" s="0" t="n">
        <v>162</v>
      </c>
      <c r="B167" s="17" t="n">
        <f aca="false">'3. Assumptions'!$B$12+IF(AND(A167&gt;='3. Assumptions'!$B$7,MOD(A167-'3. Assumptions'!$B$7,'3. Assumptions'!$B$8)=0),MIN('3. Assumptions'!$B$16,'3. Assumptions'!$B$13*('3. Assumptions'!$B$9/'3. Assumptions'!$B$15)^'3. Assumptions'!$B$14),0)</f>
        <v>0.0665</v>
      </c>
      <c r="C167" s="17" t="n">
        <f aca="false">C166*(1-B166)</f>
        <v>5.80688607402265E-006</v>
      </c>
      <c r="D167" s="11" t="n">
        <f aca="false">IF(A167&lt;'3. Assumptions'!$B$7,0,1+INT((A167-'3. Assumptions'!$B$7)/'3. Assumptions'!$B$8))</f>
        <v>27</v>
      </c>
      <c r="E167" s="17" t="n">
        <f aca="false">MIN((1+'3. Assumptions'!$B$9)^D167,'3. Assumptions'!$B$10)-1</f>
        <v>0.62</v>
      </c>
      <c r="F167" s="31" t="n">
        <f aca="false">'7. The customer'!$B$4*'5. The rent roll'!D167*'7. The customer'!$B$11+F168*C168/C167/(1+'7. The customer'!$B$6)</f>
        <v>3357.07707582262</v>
      </c>
    </row>
    <row r="168" customFormat="false" ht="15" hidden="false" customHeight="false" outlineLevel="0" collapsed="false">
      <c r="A168" s="0" t="n">
        <v>163</v>
      </c>
      <c r="B168" s="17" t="n">
        <f aca="false">'3. Assumptions'!$B$12+IF(AND(A168&gt;='3. Assumptions'!$B$7,MOD(A168-'3. Assumptions'!$B$7,'3. Assumptions'!$B$8)=0),MIN('3. Assumptions'!$B$16,'3. Assumptions'!$B$13*('3. Assumptions'!$B$9/'3. Assumptions'!$B$15)^'3. Assumptions'!$B$14),0)</f>
        <v>0.0665</v>
      </c>
      <c r="C168" s="17" t="n">
        <f aca="false">C167*(1-B167)</f>
        <v>5.42072815010014E-006</v>
      </c>
      <c r="D168" s="11" t="n">
        <f aca="false">IF(A168&lt;'3. Assumptions'!$B$7,0,1+INT((A168-'3. Assumptions'!$B$7)/'3. Assumptions'!$B$8))</f>
        <v>27</v>
      </c>
      <c r="E168" s="17" t="n">
        <f aca="false">MIN((1+'3. Assumptions'!$B$9)^D168,'3. Assumptions'!$B$10)-1</f>
        <v>0.62</v>
      </c>
      <c r="F168" s="31" t="n">
        <f aca="false">'7. The customer'!$B$4*'5. The rent roll'!D168*'7. The customer'!$B$11+F169*C169/C168/(1+'7. The customer'!$B$6)</f>
        <v>3341.81271438627</v>
      </c>
    </row>
    <row r="169" customFormat="false" ht="15" hidden="false" customHeight="false" outlineLevel="0" collapsed="false">
      <c r="A169" s="0" t="n">
        <v>164</v>
      </c>
      <c r="B169" s="17" t="n">
        <f aca="false">'3. Assumptions'!$B$12+IF(AND(A169&gt;='3. Assumptions'!$B$7,MOD(A169-'3. Assumptions'!$B$7,'3. Assumptions'!$B$8)=0),MIN('3. Assumptions'!$B$16,'3. Assumptions'!$B$13*('3. Assumptions'!$B$9/'3. Assumptions'!$B$15)^'3. Assumptions'!$B$14),0)</f>
        <v>0.0665</v>
      </c>
      <c r="C169" s="17" t="n">
        <f aca="false">C168*(1-B168)</f>
        <v>5.06024972811848E-006</v>
      </c>
      <c r="D169" s="11" t="n">
        <f aca="false">IF(A169&lt;'3. Assumptions'!$B$7,0,1+INT((A169-'3. Assumptions'!$B$7)/'3. Assumptions'!$B$8))</f>
        <v>27</v>
      </c>
      <c r="E169" s="17" t="n">
        <f aca="false">MIN((1+'3. Assumptions'!$B$9)^D169,'3. Assumptions'!$B$10)-1</f>
        <v>0.62</v>
      </c>
      <c r="F169" s="31" t="n">
        <f aca="false">'7. The customer'!$B$4*'5. The rent roll'!D169*'7. The customer'!$B$11+F170*C170/C169/(1+'7. The customer'!$B$6)</f>
        <v>3325.35005036456</v>
      </c>
    </row>
    <row r="170" customFormat="false" ht="15" hidden="false" customHeight="false" outlineLevel="0" collapsed="false">
      <c r="A170" s="0" t="n">
        <v>165</v>
      </c>
      <c r="B170" s="17" t="n">
        <f aca="false">'3. Assumptions'!$B$12+IF(AND(A170&gt;='3. Assumptions'!$B$7,MOD(A170-'3. Assumptions'!$B$7,'3. Assumptions'!$B$8)=0),MIN('3. Assumptions'!$B$16,'3. Assumptions'!$B$13*('3. Assumptions'!$B$9/'3. Assumptions'!$B$15)^'3. Assumptions'!$B$14),0)</f>
        <v>0.0665</v>
      </c>
      <c r="C170" s="17" t="n">
        <f aca="false">C169*(1-B169)</f>
        <v>4.7237431211986E-006</v>
      </c>
      <c r="D170" s="11" t="n">
        <f aca="false">IF(A170&lt;'3. Assumptions'!$B$7,0,1+INT((A170-'3. Assumptions'!$B$7)/'3. Assumptions'!$B$8))</f>
        <v>27</v>
      </c>
      <c r="E170" s="17" t="n">
        <f aca="false">MIN((1+'3. Assumptions'!$B$9)^D170,'3. Assumptions'!$B$10)-1</f>
        <v>0.62</v>
      </c>
      <c r="F170" s="31" t="n">
        <f aca="false">'7. The customer'!$B$4*'5. The rent roll'!D170*'7. The customer'!$B$11+F171*C171/C170/(1+'7. The customer'!$B$6)</f>
        <v>3307.59501306271</v>
      </c>
    </row>
    <row r="171" customFormat="false" ht="15" hidden="false" customHeight="false" outlineLevel="0" collapsed="false">
      <c r="A171" s="0" t="n">
        <v>166</v>
      </c>
      <c r="B171" s="17" t="n">
        <f aca="false">'3. Assumptions'!$B$12+IF(AND(A171&gt;='3. Assumptions'!$B$7,MOD(A171-'3. Assumptions'!$B$7,'3. Assumptions'!$B$8)=0),MIN('3. Assumptions'!$B$16,'3. Assumptions'!$B$13*('3. Assumptions'!$B$9/'3. Assumptions'!$B$15)^'3. Assumptions'!$B$14),0)</f>
        <v>0.0665</v>
      </c>
      <c r="C171" s="17" t="n">
        <f aca="false">C170*(1-B170)</f>
        <v>4.40961420363889E-006</v>
      </c>
      <c r="D171" s="11" t="n">
        <f aca="false">IF(A171&lt;'3. Assumptions'!$B$7,0,1+INT((A171-'3. Assumptions'!$B$7)/'3. Assumptions'!$B$8))</f>
        <v>27</v>
      </c>
      <c r="E171" s="17" t="n">
        <f aca="false">MIN((1+'3. Assumptions'!$B$9)^D171,'3. Assumptions'!$B$10)-1</f>
        <v>0.62</v>
      </c>
      <c r="F171" s="31" t="n">
        <f aca="false">'7. The customer'!$B$4*'5. The rent roll'!D171*'7. The customer'!$B$11+F172*C172/C171/(1+'7. The customer'!$B$6)</f>
        <v>3288.44614692692</v>
      </c>
    </row>
    <row r="172" customFormat="false" ht="15" hidden="false" customHeight="false" outlineLevel="0" collapsed="false">
      <c r="A172" s="0" t="n">
        <v>167</v>
      </c>
      <c r="B172" s="17" t="n">
        <f aca="false">'3. Assumptions'!$B$12+IF(AND(A172&gt;='3. Assumptions'!$B$7,MOD(A172-'3. Assumptions'!$B$7,'3. Assumptions'!$B$8)=0),MIN('3. Assumptions'!$B$16,'3. Assumptions'!$B$13*('3. Assumptions'!$B$9/'3. Assumptions'!$B$15)^'3. Assumptions'!$B$14),0)</f>
        <v>0.0965</v>
      </c>
      <c r="C172" s="17" t="n">
        <f aca="false">C171*(1-B171)</f>
        <v>4.11637485909691E-006</v>
      </c>
      <c r="D172" s="11" t="n">
        <f aca="false">IF(A172&lt;'3. Assumptions'!$B$7,0,1+INT((A172-'3. Assumptions'!$B$7)/'3. Assumptions'!$B$8))</f>
        <v>28</v>
      </c>
      <c r="E172" s="17" t="n">
        <f aca="false">MIN((1+'3. Assumptions'!$B$9)^D172,'3. Assumptions'!$B$10)-1</f>
        <v>0.62</v>
      </c>
      <c r="F172" s="31" t="n">
        <f aca="false">'7. The customer'!$B$4*'5. The rent roll'!D172*'7. The customer'!$B$11+F173*C173/C172/(1+'7. The customer'!$B$6)</f>
        <v>3267.79403180868</v>
      </c>
    </row>
    <row r="173" customFormat="false" ht="15" hidden="false" customHeight="false" outlineLevel="0" collapsed="false">
      <c r="A173" s="0" t="n">
        <v>168</v>
      </c>
      <c r="B173" s="17" t="n">
        <f aca="false">'3. Assumptions'!$B$12+IF(AND(A173&gt;='3. Assumptions'!$B$7,MOD(A173-'3. Assumptions'!$B$7,'3. Assumptions'!$B$8)=0),MIN('3. Assumptions'!$B$16,'3. Assumptions'!$B$13*('3. Assumptions'!$B$9/'3. Assumptions'!$B$15)^'3. Assumptions'!$B$14),0)</f>
        <v>0.0665</v>
      </c>
      <c r="C173" s="17" t="n">
        <f aca="false">C172*(1-B172)</f>
        <v>3.71914468519406E-006</v>
      </c>
      <c r="D173" s="11" t="n">
        <f aca="false">IF(A173&lt;'3. Assumptions'!$B$7,0,1+INT((A173-'3. Assumptions'!$B$7)/'3. Assumptions'!$B$8))</f>
        <v>28</v>
      </c>
      <c r="E173" s="17" t="n">
        <f aca="false">MIN((1+'3. Assumptions'!$B$9)^D173,'3. Assumptions'!$B$10)-1</f>
        <v>0.62</v>
      </c>
      <c r="F173" s="31" t="n">
        <f aca="false">'7. The customer'!$B$4*'5. The rent roll'!D173*'7. The customer'!$B$11+F174*C174/C173/(1+'7. The customer'!$B$6)</f>
        <v>3353.28559377934</v>
      </c>
    </row>
    <row r="174" customFormat="false" ht="15" hidden="false" customHeight="false" outlineLevel="0" collapsed="false">
      <c r="A174" s="0" t="n">
        <v>169</v>
      </c>
      <c r="B174" s="17" t="n">
        <f aca="false">'3. Assumptions'!$B$12+IF(AND(A174&gt;='3. Assumptions'!$B$7,MOD(A174-'3. Assumptions'!$B$7,'3. Assumptions'!$B$8)=0),MIN('3. Assumptions'!$B$16,'3. Assumptions'!$B$13*('3. Assumptions'!$B$9/'3. Assumptions'!$B$15)^'3. Assumptions'!$B$14),0)</f>
        <v>0.0665</v>
      </c>
      <c r="C174" s="17" t="n">
        <f aca="false">C173*(1-B173)</f>
        <v>3.47182156362865E-006</v>
      </c>
      <c r="D174" s="11" t="n">
        <f aca="false">IF(A174&lt;'3. Assumptions'!$B$7,0,1+INT((A174-'3. Assumptions'!$B$7)/'3. Assumptions'!$B$8))</f>
        <v>28</v>
      </c>
      <c r="E174" s="17" t="n">
        <f aca="false">MIN((1+'3. Assumptions'!$B$9)^D174,'3. Assumptions'!$B$10)-1</f>
        <v>0.62</v>
      </c>
      <c r="F174" s="31" t="n">
        <f aca="false">'7. The customer'!$B$4*'5. The rent roll'!D174*'7. The customer'!$B$11+F175*C175/C174/(1+'7. The customer'!$B$6)</f>
        <v>3337.72358853039</v>
      </c>
    </row>
    <row r="175" customFormat="false" ht="15" hidden="false" customHeight="false" outlineLevel="0" collapsed="false">
      <c r="A175" s="0" t="n">
        <v>170</v>
      </c>
      <c r="B175" s="17" t="n">
        <f aca="false">'3. Assumptions'!$B$12+IF(AND(A175&gt;='3. Assumptions'!$B$7,MOD(A175-'3. Assumptions'!$B$7,'3. Assumptions'!$B$8)=0),MIN('3. Assumptions'!$B$16,'3. Assumptions'!$B$13*('3. Assumptions'!$B$9/'3. Assumptions'!$B$15)^'3. Assumptions'!$B$14),0)</f>
        <v>0.0665</v>
      </c>
      <c r="C175" s="17" t="n">
        <f aca="false">C174*(1-B174)</f>
        <v>3.24094542964735E-006</v>
      </c>
      <c r="D175" s="11" t="n">
        <f aca="false">IF(A175&lt;'3. Assumptions'!$B$7,0,1+INT((A175-'3. Assumptions'!$B$7)/'3. Assumptions'!$B$8))</f>
        <v>28</v>
      </c>
      <c r="E175" s="17" t="n">
        <f aca="false">MIN((1+'3. Assumptions'!$B$9)^D175,'3. Assumptions'!$B$10)-1</f>
        <v>0.62</v>
      </c>
      <c r="F175" s="31" t="n">
        <f aca="false">'7. The customer'!$B$4*'5. The rent roll'!D175*'7. The customer'!$B$11+F176*C176/C175/(1+'7. The customer'!$B$6)</f>
        <v>3320.9399146777</v>
      </c>
    </row>
    <row r="176" customFormat="false" ht="15" hidden="false" customHeight="false" outlineLevel="0" collapsed="false">
      <c r="A176" s="0" t="n">
        <v>171</v>
      </c>
      <c r="B176" s="17" t="n">
        <f aca="false">'3. Assumptions'!$B$12+IF(AND(A176&gt;='3. Assumptions'!$B$7,MOD(A176-'3. Assumptions'!$B$7,'3. Assumptions'!$B$8)=0),MIN('3. Assumptions'!$B$16,'3. Assumptions'!$B$13*('3. Assumptions'!$B$9/'3. Assumptions'!$B$15)^'3. Assumptions'!$B$14),0)</f>
        <v>0.0665</v>
      </c>
      <c r="C176" s="17" t="n">
        <f aca="false">C175*(1-B175)</f>
        <v>3.0254225585758E-006</v>
      </c>
      <c r="D176" s="11" t="n">
        <f aca="false">IF(A176&lt;'3. Assumptions'!$B$7,0,1+INT((A176-'3. Assumptions'!$B$7)/'3. Assumptions'!$B$8))</f>
        <v>28</v>
      </c>
      <c r="E176" s="17" t="n">
        <f aca="false">MIN((1+'3. Assumptions'!$B$9)^D176,'3. Assumptions'!$B$10)-1</f>
        <v>0.62</v>
      </c>
      <c r="F176" s="31" t="n">
        <f aca="false">'7. The customer'!$B$4*'5. The rent roll'!D176*'7. The customer'!$B$11+F177*C177/C176/(1+'7. The customer'!$B$6)</f>
        <v>3302.83866721715</v>
      </c>
    </row>
    <row r="177" customFormat="false" ht="15" hidden="false" customHeight="false" outlineLevel="0" collapsed="false">
      <c r="A177" s="0" t="n">
        <v>172</v>
      </c>
      <c r="B177" s="17" t="n">
        <f aca="false">'3. Assumptions'!$B$12+IF(AND(A177&gt;='3. Assumptions'!$B$7,MOD(A177-'3. Assumptions'!$B$7,'3. Assumptions'!$B$8)=0),MIN('3. Assumptions'!$B$16,'3. Assumptions'!$B$13*('3. Assumptions'!$B$9/'3. Assumptions'!$B$15)^'3. Assumptions'!$B$14),0)</f>
        <v>0.0665</v>
      </c>
      <c r="C177" s="17" t="n">
        <f aca="false">C176*(1-B176)</f>
        <v>2.82423195843051E-006</v>
      </c>
      <c r="D177" s="11" t="n">
        <f aca="false">IF(A177&lt;'3. Assumptions'!$B$7,0,1+INT((A177-'3. Assumptions'!$B$7)/'3. Assumptions'!$B$8))</f>
        <v>28</v>
      </c>
      <c r="E177" s="17" t="n">
        <f aca="false">MIN((1+'3. Assumptions'!$B$9)^D177,'3. Assumptions'!$B$10)-1</f>
        <v>0.62</v>
      </c>
      <c r="F177" s="31" t="n">
        <f aca="false">'7. The customer'!$B$4*'5. The rent roll'!D177*'7. The customer'!$B$11+F178*C178/C177/(1+'7. The customer'!$B$6)</f>
        <v>3283.31641228633</v>
      </c>
    </row>
    <row r="178" customFormat="false" ht="15" hidden="false" customHeight="false" outlineLevel="0" collapsed="false">
      <c r="A178" s="0" t="n">
        <v>173</v>
      </c>
      <c r="B178" s="17" t="n">
        <f aca="false">'3. Assumptions'!$B$12+IF(AND(A178&gt;='3. Assumptions'!$B$7,MOD(A178-'3. Assumptions'!$B$7,'3. Assumptions'!$B$8)=0),MIN('3. Assumptions'!$B$16,'3. Assumptions'!$B$13*('3. Assumptions'!$B$9/'3. Assumptions'!$B$15)^'3. Assumptions'!$B$14),0)</f>
        <v>0.0965</v>
      </c>
      <c r="C178" s="17" t="n">
        <f aca="false">C177*(1-B177)</f>
        <v>2.63642053319488E-006</v>
      </c>
      <c r="D178" s="11" t="n">
        <f aca="false">IF(A178&lt;'3. Assumptions'!$B$7,0,1+INT((A178-'3. Assumptions'!$B$7)/'3. Assumptions'!$B$8))</f>
        <v>29</v>
      </c>
      <c r="E178" s="17" t="n">
        <f aca="false">MIN((1+'3. Assumptions'!$B$9)^D178,'3. Assumptions'!$B$10)-1</f>
        <v>0.62</v>
      </c>
      <c r="F178" s="31" t="n">
        <f aca="false">'7. The customer'!$B$4*'5. The rent roll'!D178*'7. The customer'!$B$11+F179*C179/C178/(1+'7. The customer'!$B$6)</f>
        <v>3262.26159612438</v>
      </c>
    </row>
    <row r="179" customFormat="false" ht="15" hidden="false" customHeight="false" outlineLevel="0" collapsed="false">
      <c r="A179" s="0" t="n">
        <v>174</v>
      </c>
      <c r="B179" s="17" t="n">
        <f aca="false">'3. Assumptions'!$B$12+IF(AND(A179&gt;='3. Assumptions'!$B$7,MOD(A179-'3. Assumptions'!$B$7,'3. Assumptions'!$B$8)=0),MIN('3. Assumptions'!$B$16,'3. Assumptions'!$B$13*('3. Assumptions'!$B$9/'3. Assumptions'!$B$15)^'3. Assumptions'!$B$14),0)</f>
        <v>0.0665</v>
      </c>
      <c r="C179" s="17" t="n">
        <f aca="false">C178*(1-B178)</f>
        <v>2.38200595174157E-006</v>
      </c>
      <c r="D179" s="11" t="n">
        <f aca="false">IF(A179&lt;'3. Assumptions'!$B$7,0,1+INT((A179-'3. Assumptions'!$B$7)/'3. Assumptions'!$B$8))</f>
        <v>29</v>
      </c>
      <c r="E179" s="17" t="n">
        <f aca="false">MIN((1+'3. Assumptions'!$B$9)^D179,'3. Assumptions'!$B$10)-1</f>
        <v>0.62</v>
      </c>
      <c r="F179" s="31" t="n">
        <f aca="false">'7. The customer'!$B$4*'5. The rent roll'!D179*'7. The customer'!$B$11+F180*C180/C179/(1+'7. The customer'!$B$6)</f>
        <v>3347.12072249655</v>
      </c>
    </row>
    <row r="180" customFormat="false" ht="15" hidden="false" customHeight="false" outlineLevel="0" collapsed="false">
      <c r="A180" s="0" t="n">
        <v>175</v>
      </c>
      <c r="B180" s="17" t="n">
        <f aca="false">'3. Assumptions'!$B$12+IF(AND(A180&gt;='3. Assumptions'!$B$7,MOD(A180-'3. Assumptions'!$B$7,'3. Assumptions'!$B$8)=0),MIN('3. Assumptions'!$B$16,'3. Assumptions'!$B$13*('3. Assumptions'!$B$9/'3. Assumptions'!$B$15)^'3. Assumptions'!$B$14),0)</f>
        <v>0.0665</v>
      </c>
      <c r="C180" s="17" t="n">
        <f aca="false">C179*(1-B179)</f>
        <v>2.22360255595076E-006</v>
      </c>
      <c r="D180" s="11" t="n">
        <f aca="false">IF(A180&lt;'3. Assumptions'!$B$7,0,1+INT((A180-'3. Assumptions'!$B$7)/'3. Assumptions'!$B$8))</f>
        <v>29</v>
      </c>
      <c r="E180" s="17" t="n">
        <f aca="false">MIN((1+'3. Assumptions'!$B$9)^D180,'3. Assumptions'!$B$10)-1</f>
        <v>0.62</v>
      </c>
      <c r="F180" s="31" t="n">
        <f aca="false">'7. The customer'!$B$4*'5. The rent roll'!D180*'7. The customer'!$B$11+F181*C181/C180/(1+'7. The customer'!$B$6)</f>
        <v>3331.07475457236</v>
      </c>
    </row>
    <row r="181" customFormat="false" ht="15" hidden="false" customHeight="false" outlineLevel="0" collapsed="false">
      <c r="A181" s="0" t="n">
        <v>176</v>
      </c>
      <c r="B181" s="17" t="n">
        <f aca="false">'3. Assumptions'!$B$12+IF(AND(A181&gt;='3. Assumptions'!$B$7,MOD(A181-'3. Assumptions'!$B$7,'3. Assumptions'!$B$8)=0),MIN('3. Assumptions'!$B$16,'3. Assumptions'!$B$13*('3. Assumptions'!$B$9/'3. Assumptions'!$B$15)^'3. Assumptions'!$B$14),0)</f>
        <v>0.0665</v>
      </c>
      <c r="C181" s="17" t="n">
        <f aca="false">C180*(1-B180)</f>
        <v>2.07573298598003E-006</v>
      </c>
      <c r="D181" s="11" t="n">
        <f aca="false">IF(A181&lt;'3. Assumptions'!$B$7,0,1+INT((A181-'3. Assumptions'!$B$7)/'3. Assumptions'!$B$8))</f>
        <v>29</v>
      </c>
      <c r="E181" s="17" t="n">
        <f aca="false">MIN((1+'3. Assumptions'!$B$9)^D181,'3. Assumptions'!$B$10)-1</f>
        <v>0.62</v>
      </c>
      <c r="F181" s="31" t="n">
        <f aca="false">'7. The customer'!$B$4*'5. The rent roll'!D181*'7. The customer'!$B$11+F182*C182/C181/(1+'7. The customer'!$B$6)</f>
        <v>3313.76912538242</v>
      </c>
    </row>
    <row r="182" customFormat="false" ht="15" hidden="false" customHeight="false" outlineLevel="0" collapsed="false">
      <c r="A182" s="0" t="n">
        <v>177</v>
      </c>
      <c r="B182" s="17" t="n">
        <f aca="false">'3. Assumptions'!$B$12+IF(AND(A182&gt;='3. Assumptions'!$B$7,MOD(A182-'3. Assumptions'!$B$7,'3. Assumptions'!$B$8)=0),MIN('3. Assumptions'!$B$16,'3. Assumptions'!$B$13*('3. Assumptions'!$B$9/'3. Assumptions'!$B$15)^'3. Assumptions'!$B$14),0)</f>
        <v>0.0665</v>
      </c>
      <c r="C182" s="17" t="n">
        <f aca="false">C181*(1-B181)</f>
        <v>1.93769674241236E-006</v>
      </c>
      <c r="D182" s="11" t="n">
        <f aca="false">IF(A182&lt;'3. Assumptions'!$B$7,0,1+INT((A182-'3. Assumptions'!$B$7)/'3. Assumptions'!$B$8))</f>
        <v>29</v>
      </c>
      <c r="E182" s="17" t="n">
        <f aca="false">MIN((1+'3. Assumptions'!$B$9)^D182,'3. Assumptions'!$B$10)-1</f>
        <v>0.62</v>
      </c>
      <c r="F182" s="31" t="n">
        <f aca="false">'7. The customer'!$B$4*'5. The rent roll'!D182*'7. The customer'!$B$11+F183*C183/C182/(1+'7. The customer'!$B$6)</f>
        <v>3295.10494737365</v>
      </c>
    </row>
    <row r="183" customFormat="false" ht="15" hidden="false" customHeight="false" outlineLevel="0" collapsed="false">
      <c r="A183" s="0" t="n">
        <v>178</v>
      </c>
      <c r="B183" s="17" t="n">
        <f aca="false">'3. Assumptions'!$B$12+IF(AND(A183&gt;='3. Assumptions'!$B$7,MOD(A183-'3. Assumptions'!$B$7,'3. Assumptions'!$B$8)=0),MIN('3. Assumptions'!$B$16,'3. Assumptions'!$B$13*('3. Assumptions'!$B$9/'3. Assumptions'!$B$15)^'3. Assumptions'!$B$14),0)</f>
        <v>0.0665</v>
      </c>
      <c r="C183" s="17" t="n">
        <f aca="false">C182*(1-B182)</f>
        <v>1.80883990904194E-006</v>
      </c>
      <c r="D183" s="11" t="n">
        <f aca="false">IF(A183&lt;'3. Assumptions'!$B$7,0,1+INT((A183-'3. Assumptions'!$B$7)/'3. Assumptions'!$B$8))</f>
        <v>29</v>
      </c>
      <c r="E183" s="17" t="n">
        <f aca="false">MIN((1+'3. Assumptions'!$B$9)^D183,'3. Assumptions'!$B$10)-1</f>
        <v>0.62</v>
      </c>
      <c r="F183" s="31" t="n">
        <f aca="false">'7. The customer'!$B$4*'5. The rent roll'!D183*'7. The customer'!$B$11+F184*C184/C183/(1+'7. The customer'!$B$6)</f>
        <v>3274.97556999481</v>
      </c>
    </row>
    <row r="184" customFormat="false" ht="15" hidden="false" customHeight="false" outlineLevel="0" collapsed="false">
      <c r="A184" s="0" t="n">
        <v>179</v>
      </c>
      <c r="B184" s="17" t="n">
        <f aca="false">'3. Assumptions'!$B$12+IF(AND(A184&gt;='3. Assumptions'!$B$7,MOD(A184-'3. Assumptions'!$B$7,'3. Assumptions'!$B$8)=0),MIN('3. Assumptions'!$B$16,'3. Assumptions'!$B$13*('3. Assumptions'!$B$9/'3. Assumptions'!$B$15)^'3. Assumptions'!$B$14),0)</f>
        <v>0.0965</v>
      </c>
      <c r="C184" s="17" t="n">
        <f aca="false">C183*(1-B183)</f>
        <v>1.68855205509065E-006</v>
      </c>
      <c r="D184" s="11" t="n">
        <f aca="false">IF(A184&lt;'3. Assumptions'!$B$7,0,1+INT((A184-'3. Assumptions'!$B$7)/'3. Assumptions'!$B$8))</f>
        <v>30</v>
      </c>
      <c r="E184" s="17" t="n">
        <f aca="false">MIN((1+'3. Assumptions'!$B$9)^D184,'3. Assumptions'!$B$10)-1</f>
        <v>0.62</v>
      </c>
      <c r="F184" s="31" t="n">
        <f aca="false">'7. The customer'!$B$4*'5. The rent roll'!D184*'7. The customer'!$B$11+F185*C185/C184/(1+'7. The customer'!$B$6)</f>
        <v>3253.26597027552</v>
      </c>
    </row>
    <row r="185" customFormat="false" ht="15" hidden="false" customHeight="false" outlineLevel="0" collapsed="false">
      <c r="A185" s="0" t="n">
        <v>180</v>
      </c>
      <c r="B185" s="17" t="n">
        <f aca="false">'3. Assumptions'!$B$12+IF(AND(A185&gt;='3. Assumptions'!$B$7,MOD(A185-'3. Assumptions'!$B$7,'3. Assumptions'!$B$8)=0),MIN('3. Assumptions'!$B$16,'3. Assumptions'!$B$13*('3. Assumptions'!$B$9/'3. Assumptions'!$B$15)^'3. Assumptions'!$B$14),0)</f>
        <v>0.0665</v>
      </c>
      <c r="C185" s="17" t="n">
        <f aca="false">C184*(1-B184)</f>
        <v>1.5256067817744E-006</v>
      </c>
      <c r="D185" s="11" t="n">
        <f aca="false">IF(A185&lt;'3. Assumptions'!$B$7,0,1+INT((A185-'3. Assumptions'!$B$7)/'3. Assumptions'!$B$8))</f>
        <v>30</v>
      </c>
      <c r="E185" s="17" t="n">
        <f aca="false">MIN((1+'3. Assumptions'!$B$9)^D185,'3. Assumptions'!$B$10)-1</f>
        <v>0.62</v>
      </c>
      <c r="F185" s="31" t="n">
        <f aca="false">'7. The customer'!$B$4*'5. The rent roll'!D185*'7. The customer'!$B$11+F186*C186/C185/(1+'7. The customer'!$B$6)</f>
        <v>3337.09676946194</v>
      </c>
    </row>
    <row r="186" customFormat="false" ht="15" hidden="false" customHeight="false" outlineLevel="0" collapsed="false">
      <c r="A186" s="0" t="n">
        <v>181</v>
      </c>
      <c r="B186" s="17" t="n">
        <f aca="false">'3. Assumptions'!$B$12+IF(AND(A186&gt;='3. Assumptions'!$B$7,MOD(A186-'3. Assumptions'!$B$7,'3. Assumptions'!$B$8)=0),MIN('3. Assumptions'!$B$16,'3. Assumptions'!$B$13*('3. Assumptions'!$B$9/'3. Assumptions'!$B$15)^'3. Assumptions'!$B$14),0)</f>
        <v>0.0665</v>
      </c>
      <c r="C186" s="17" t="n">
        <f aca="false">C185*(1-B185)</f>
        <v>1.4241539307864E-006</v>
      </c>
      <c r="D186" s="11" t="n">
        <f aca="false">IF(A186&lt;'3. Assumptions'!$B$7,0,1+INT((A186-'3. Assumptions'!$B$7)/'3. Assumptions'!$B$8))</f>
        <v>30</v>
      </c>
      <c r="E186" s="17" t="n">
        <f aca="false">MIN((1+'3. Assumptions'!$B$9)^D186,'3. Assumptions'!$B$10)-1</f>
        <v>0.62</v>
      </c>
      <c r="F186" s="31" t="n">
        <f aca="false">'7. The customer'!$B$4*'5. The rent roll'!D186*'7. The customer'!$B$11+F187*C187/C186/(1+'7. The customer'!$B$6)</f>
        <v>3320.26388825042</v>
      </c>
    </row>
    <row r="187" customFormat="false" ht="15" hidden="false" customHeight="false" outlineLevel="0" collapsed="false">
      <c r="A187" s="0" t="n">
        <v>182</v>
      </c>
      <c r="B187" s="17" t="n">
        <f aca="false">'3. Assumptions'!$B$12+IF(AND(A187&gt;='3. Assumptions'!$B$7,MOD(A187-'3. Assumptions'!$B$7,'3. Assumptions'!$B$8)=0),MIN('3. Assumptions'!$B$16,'3. Assumptions'!$B$13*('3. Assumptions'!$B$9/'3. Assumptions'!$B$15)^'3. Assumptions'!$B$14),0)</f>
        <v>0.0665</v>
      </c>
      <c r="C187" s="17" t="n">
        <f aca="false">C186*(1-B186)</f>
        <v>1.32944769438911E-006</v>
      </c>
      <c r="D187" s="11" t="n">
        <f aca="false">IF(A187&lt;'3. Assumptions'!$B$7,0,1+INT((A187-'3. Assumptions'!$B$7)/'3. Assumptions'!$B$8))</f>
        <v>30</v>
      </c>
      <c r="E187" s="17" t="n">
        <f aca="false">MIN((1+'3. Assumptions'!$B$9)^D187,'3. Assumptions'!$B$10)-1</f>
        <v>0.62</v>
      </c>
      <c r="F187" s="31" t="n">
        <f aca="false">'7. The customer'!$B$4*'5. The rent roll'!D187*'7. The customer'!$B$11+F188*C188/C187/(1+'7. The customer'!$B$6)</f>
        <v>3302.10957049153</v>
      </c>
    </row>
    <row r="188" customFormat="false" ht="15" hidden="false" customHeight="false" outlineLevel="0" collapsed="false">
      <c r="A188" s="0" t="n">
        <v>183</v>
      </c>
      <c r="B188" s="17" t="n">
        <f aca="false">'3. Assumptions'!$B$12+IF(AND(A188&gt;='3. Assumptions'!$B$7,MOD(A188-'3. Assumptions'!$B$7,'3. Assumptions'!$B$8)=0),MIN('3. Assumptions'!$B$16,'3. Assumptions'!$B$13*('3. Assumptions'!$B$9/'3. Assumptions'!$B$15)^'3. Assumptions'!$B$14),0)</f>
        <v>0.0665</v>
      </c>
      <c r="C188" s="17" t="n">
        <f aca="false">C187*(1-B187)</f>
        <v>1.24103942271223E-006</v>
      </c>
      <c r="D188" s="11" t="n">
        <f aca="false">IF(A188&lt;'3. Assumptions'!$B$7,0,1+INT((A188-'3. Assumptions'!$B$7)/'3. Assumptions'!$B$8))</f>
        <v>30</v>
      </c>
      <c r="E188" s="17" t="n">
        <f aca="false">MIN((1+'3. Assumptions'!$B$9)^D188,'3. Assumptions'!$B$10)-1</f>
        <v>0.62</v>
      </c>
      <c r="F188" s="31" t="n">
        <f aca="false">'7. The customer'!$B$4*'5. The rent roll'!D188*'7. The customer'!$B$11+F189*C189/C188/(1+'7. The customer'!$B$6)</f>
        <v>3282.53007906936</v>
      </c>
    </row>
    <row r="189" customFormat="false" ht="15" hidden="false" customHeight="false" outlineLevel="0" collapsed="false">
      <c r="A189" s="0" t="n">
        <v>184</v>
      </c>
      <c r="B189" s="17" t="n">
        <f aca="false">'3. Assumptions'!$B$12+IF(AND(A189&gt;='3. Assumptions'!$B$7,MOD(A189-'3. Assumptions'!$B$7,'3. Assumptions'!$B$8)=0),MIN('3. Assumptions'!$B$16,'3. Assumptions'!$B$13*('3. Assumptions'!$B$9/'3. Assumptions'!$B$15)^'3. Assumptions'!$B$14),0)</f>
        <v>0.0665</v>
      </c>
      <c r="C189" s="17" t="n">
        <f aca="false">C188*(1-B188)</f>
        <v>1.15851030110187E-006</v>
      </c>
      <c r="D189" s="11" t="n">
        <f aca="false">IF(A189&lt;'3. Assumptions'!$B$7,0,1+INT((A189-'3. Assumptions'!$B$7)/'3. Assumptions'!$B$8))</f>
        <v>30</v>
      </c>
      <c r="E189" s="17" t="n">
        <f aca="false">MIN((1+'3. Assumptions'!$B$9)^D189,'3. Assumptions'!$B$10)-1</f>
        <v>0.62</v>
      </c>
      <c r="F189" s="31" t="n">
        <f aca="false">'7. The customer'!$B$4*'5. The rent roll'!D189*'7. The customer'!$B$11+F190*C190/C189/(1+'7. The customer'!$B$6)</f>
        <v>3261.41353316321</v>
      </c>
    </row>
    <row r="190" customFormat="false" ht="15" hidden="false" customHeight="false" outlineLevel="0" collapsed="false">
      <c r="A190" s="0" t="n">
        <v>185</v>
      </c>
      <c r="B190" s="17" t="n">
        <f aca="false">'3. Assumptions'!$B$12+IF(AND(A190&gt;='3. Assumptions'!$B$7,MOD(A190-'3. Assumptions'!$B$7,'3. Assumptions'!$B$8)=0),MIN('3. Assumptions'!$B$16,'3. Assumptions'!$B$13*('3. Assumptions'!$B$9/'3. Assumptions'!$B$15)^'3. Assumptions'!$B$14),0)</f>
        <v>0.0965</v>
      </c>
      <c r="C190" s="17" t="n">
        <f aca="false">C189*(1-B189)</f>
        <v>1.08146936607859E-006</v>
      </c>
      <c r="D190" s="11" t="n">
        <f aca="false">IF(A190&lt;'3. Assumptions'!$B$7,0,1+INT((A190-'3. Assumptions'!$B$7)/'3. Assumptions'!$B$8))</f>
        <v>31</v>
      </c>
      <c r="E190" s="17" t="n">
        <f aca="false">MIN((1+'3. Assumptions'!$B$9)^D190,'3. Assumptions'!$B$10)-1</f>
        <v>0.62</v>
      </c>
      <c r="F190" s="31" t="n">
        <f aca="false">'7. The customer'!$B$4*'5. The rent roll'!D190*'7. The customer'!$B$11+F191*C191/C190/(1+'7. The customer'!$B$6)</f>
        <v>3238.63926893989</v>
      </c>
    </row>
    <row r="191" customFormat="false" ht="15" hidden="false" customHeight="false" outlineLevel="0" collapsed="false">
      <c r="A191" s="0" t="n">
        <v>186</v>
      </c>
      <c r="B191" s="17" t="n">
        <f aca="false">'3. Assumptions'!$B$12+IF(AND(A191&gt;='3. Assumptions'!$B$7,MOD(A191-'3. Assumptions'!$B$7,'3. Assumptions'!$B$8)=0),MIN('3. Assumptions'!$B$16,'3. Assumptions'!$B$13*('3. Assumptions'!$B$9/'3. Assumptions'!$B$15)^'3. Assumptions'!$B$14),0)</f>
        <v>0.0665</v>
      </c>
      <c r="C191" s="17" t="n">
        <f aca="false">C190*(1-B190)</f>
        <v>9.7710757225201E-007</v>
      </c>
      <c r="D191" s="11" t="n">
        <f aca="false">IF(A191&lt;'3. Assumptions'!$B$7,0,1+INT((A191-'3. Assumptions'!$B$7)/'3. Assumptions'!$B$8))</f>
        <v>31</v>
      </c>
      <c r="E191" s="17" t="n">
        <f aca="false">MIN((1+'3. Assumptions'!$B$9)^D191,'3. Assumptions'!$B$10)-1</f>
        <v>0.62</v>
      </c>
      <c r="F191" s="31" t="n">
        <f aca="false">'7. The customer'!$B$4*'5. The rent roll'!D191*'7. The customer'!$B$11+F192*C192/C191/(1+'7. The customer'!$B$6)</f>
        <v>3320.79802941839</v>
      </c>
    </row>
    <row r="192" customFormat="false" ht="15" hidden="false" customHeight="false" outlineLevel="0" collapsed="false">
      <c r="A192" s="0" t="n">
        <v>187</v>
      </c>
      <c r="B192" s="17" t="n">
        <f aca="false">'3. Assumptions'!$B$12+IF(AND(A192&gt;='3. Assumptions'!$B$7,MOD(A192-'3. Assumptions'!$B$7,'3. Assumptions'!$B$8)=0),MIN('3. Assumptions'!$B$16,'3. Assumptions'!$B$13*('3. Assumptions'!$B$9/'3. Assumptions'!$B$15)^'3. Assumptions'!$B$14),0)</f>
        <v>0.0665</v>
      </c>
      <c r="C192" s="17" t="n">
        <f aca="false">C191*(1-B191)</f>
        <v>9.12129918697251E-007</v>
      </c>
      <c r="D192" s="11" t="n">
        <f aca="false">IF(A192&lt;'3. Assumptions'!$B$7,0,1+INT((A192-'3. Assumptions'!$B$7)/'3. Assumptions'!$B$8))</f>
        <v>31</v>
      </c>
      <c r="E192" s="17" t="n">
        <f aca="false">MIN((1+'3. Assumptions'!$B$9)^D192,'3. Assumptions'!$B$10)-1</f>
        <v>0.62</v>
      </c>
      <c r="F192" s="31" t="n">
        <f aca="false">'7. The customer'!$B$4*'5. The rent roll'!D192*'7. The customer'!$B$11+F193*C193/C192/(1+'7. The customer'!$B$6)</f>
        <v>3302.68564349825</v>
      </c>
    </row>
    <row r="193" customFormat="false" ht="15" hidden="false" customHeight="false" outlineLevel="0" collapsed="false">
      <c r="A193" s="0" t="n">
        <v>188</v>
      </c>
      <c r="B193" s="17" t="n">
        <f aca="false">'3. Assumptions'!$B$12+IF(AND(A193&gt;='3. Assumptions'!$B$7,MOD(A193-'3. Assumptions'!$B$7,'3. Assumptions'!$B$8)=0),MIN('3. Assumptions'!$B$16,'3. Assumptions'!$B$13*('3. Assumptions'!$B$9/'3. Assumptions'!$B$15)^'3. Assumptions'!$B$14),0)</f>
        <v>0.0665</v>
      </c>
      <c r="C193" s="17" t="n">
        <f aca="false">C192*(1-B192)</f>
        <v>8.51473279103884E-007</v>
      </c>
      <c r="D193" s="11" t="n">
        <f aca="false">IF(A193&lt;'3. Assumptions'!$B$7,0,1+INT((A193-'3. Assumptions'!$B$7)/'3. Assumptions'!$B$8))</f>
        <v>31</v>
      </c>
      <c r="E193" s="17" t="n">
        <f aca="false">MIN((1+'3. Assumptions'!$B$9)^D193,'3. Assumptions'!$B$10)-1</f>
        <v>0.62</v>
      </c>
      <c r="F193" s="31" t="n">
        <f aca="false">'7. The customer'!$B$4*'5. The rent roll'!D193*'7. The customer'!$B$11+F194*C194/C193/(1+'7. The customer'!$B$6)</f>
        <v>3283.15137570212</v>
      </c>
    </row>
    <row r="194" customFormat="false" ht="15" hidden="false" customHeight="false" outlineLevel="0" collapsed="false">
      <c r="A194" s="0" t="n">
        <v>189</v>
      </c>
      <c r="B194" s="17" t="n">
        <f aca="false">'3. Assumptions'!$B$12+IF(AND(A194&gt;='3. Assumptions'!$B$7,MOD(A194-'3. Assumptions'!$B$7,'3. Assumptions'!$B$8)=0),MIN('3. Assumptions'!$B$16,'3. Assumptions'!$B$13*('3. Assumptions'!$B$9/'3. Assumptions'!$B$15)^'3. Assumptions'!$B$14),0)</f>
        <v>0.0665</v>
      </c>
      <c r="C194" s="17" t="n">
        <f aca="false">C193*(1-B193)</f>
        <v>7.94850306043476E-007</v>
      </c>
      <c r="D194" s="11" t="n">
        <f aca="false">IF(A194&lt;'3. Assumptions'!$B$7,0,1+INT((A194-'3. Assumptions'!$B$7)/'3. Assumptions'!$B$8))</f>
        <v>31</v>
      </c>
      <c r="E194" s="17" t="n">
        <f aca="false">MIN((1+'3. Assumptions'!$B$9)^D194,'3. Assumptions'!$B$10)-1</f>
        <v>0.62</v>
      </c>
      <c r="F194" s="31" t="n">
        <f aca="false">'7. The customer'!$B$4*'5. The rent roll'!D194*'7. The customer'!$B$11+F195*C195/C194/(1+'7. The customer'!$B$6)</f>
        <v>3262.08360362542</v>
      </c>
    </row>
    <row r="195" customFormat="false" ht="15" hidden="false" customHeight="false" outlineLevel="0" collapsed="false">
      <c r="A195" s="0" t="n">
        <v>190</v>
      </c>
      <c r="B195" s="17" t="n">
        <f aca="false">'3. Assumptions'!$B$12+IF(AND(A195&gt;='3. Assumptions'!$B$7,MOD(A195-'3. Assumptions'!$B$7,'3. Assumptions'!$B$8)=0),MIN('3. Assumptions'!$B$16,'3. Assumptions'!$B$13*('3. Assumptions'!$B$9/'3. Assumptions'!$B$15)^'3. Assumptions'!$B$14),0)</f>
        <v>0.0665</v>
      </c>
      <c r="C195" s="17" t="n">
        <f aca="false">C194*(1-B194)</f>
        <v>7.41992760691585E-007</v>
      </c>
      <c r="D195" s="11" t="n">
        <f aca="false">IF(A195&lt;'3. Assumptions'!$B$7,0,1+INT((A195-'3. Assumptions'!$B$7)/'3. Assumptions'!$B$8))</f>
        <v>31</v>
      </c>
      <c r="E195" s="17" t="n">
        <f aca="false">MIN((1+'3. Assumptions'!$B$9)^D195,'3. Assumptions'!$B$10)-1</f>
        <v>0.62</v>
      </c>
      <c r="F195" s="31" t="n">
        <f aca="false">'7. The customer'!$B$4*'5. The rent roll'!D195*'7. The customer'!$B$11+F196*C196/C195/(1+'7. The customer'!$B$6)</f>
        <v>3239.3619421376</v>
      </c>
    </row>
    <row r="196" customFormat="false" ht="15" hidden="false" customHeight="false" outlineLevel="0" collapsed="false">
      <c r="A196" s="0" t="n">
        <v>191</v>
      </c>
      <c r="B196" s="17" t="n">
        <f aca="false">'3. Assumptions'!$B$12+IF(AND(A196&gt;='3. Assumptions'!$B$7,MOD(A196-'3. Assumptions'!$B$7,'3. Assumptions'!$B$8)=0),MIN('3. Assumptions'!$B$16,'3. Assumptions'!$B$13*('3. Assumptions'!$B$9/'3. Assumptions'!$B$15)^'3. Assumptions'!$B$14),0)</f>
        <v>0.0965</v>
      </c>
      <c r="C196" s="17" t="n">
        <f aca="false">C195*(1-B195)</f>
        <v>6.92650242105594E-007</v>
      </c>
      <c r="D196" s="11" t="n">
        <f aca="false">IF(A196&lt;'3. Assumptions'!$B$7,0,1+INT((A196-'3. Assumptions'!$B$7)/'3. Assumptions'!$B$8))</f>
        <v>32</v>
      </c>
      <c r="E196" s="17" t="n">
        <f aca="false">MIN((1+'3. Assumptions'!$B$9)^D196,'3. Assumptions'!$B$10)-1</f>
        <v>0.62</v>
      </c>
      <c r="F196" s="31" t="n">
        <f aca="false">'7. The customer'!$B$4*'5. The rent roll'!D196*'7. The customer'!$B$11+F197*C197/C196/(1+'7. The customer'!$B$6)</f>
        <v>3214.85655547938</v>
      </c>
    </row>
    <row r="197" customFormat="false" ht="15" hidden="false" customHeight="false" outlineLevel="0" collapsed="false">
      <c r="A197" s="0" t="n">
        <v>192</v>
      </c>
      <c r="B197" s="17" t="n">
        <f aca="false">'3. Assumptions'!$B$12+IF(AND(A197&gt;='3. Assumptions'!$B$7,MOD(A197-'3. Assumptions'!$B$7,'3. Assumptions'!$B$8)=0),MIN('3. Assumptions'!$B$16,'3. Assumptions'!$B$13*('3. Assumptions'!$B$9/'3. Assumptions'!$B$15)^'3. Assumptions'!$B$14),0)</f>
        <v>0.0665</v>
      </c>
      <c r="C197" s="17" t="n">
        <f aca="false">C196*(1-B196)</f>
        <v>6.25809493742404E-007</v>
      </c>
      <c r="D197" s="11" t="n">
        <f aca="false">IF(A197&lt;'3. Assumptions'!$B$7,0,1+INT((A197-'3. Assumptions'!$B$7)/'3. Assumptions'!$B$8))</f>
        <v>32</v>
      </c>
      <c r="E197" s="17" t="n">
        <f aca="false">MIN((1+'3. Assumptions'!$B$9)^D197,'3. Assumptions'!$B$10)-1</f>
        <v>0.62</v>
      </c>
      <c r="F197" s="31" t="n">
        <f aca="false">'7. The customer'!$B$4*'5. The rent roll'!D197*'7. The customer'!$B$11+F198*C198/C197/(1+'7. The customer'!$B$6)</f>
        <v>3294.29661564582</v>
      </c>
    </row>
    <row r="198" customFormat="false" ht="15" hidden="false" customHeight="false" outlineLevel="0" collapsed="false">
      <c r="A198" s="0" t="n">
        <v>193</v>
      </c>
      <c r="B198" s="17" t="n">
        <f aca="false">'3. Assumptions'!$B$12+IF(AND(A198&gt;='3. Assumptions'!$B$7,MOD(A198-'3. Assumptions'!$B$7,'3. Assumptions'!$B$8)=0),MIN('3. Assumptions'!$B$16,'3. Assumptions'!$B$13*('3. Assumptions'!$B$9/'3. Assumptions'!$B$15)^'3. Assumptions'!$B$14),0)</f>
        <v>0.0665</v>
      </c>
      <c r="C198" s="17" t="n">
        <f aca="false">C197*(1-B197)</f>
        <v>5.84193162408535E-007</v>
      </c>
      <c r="D198" s="11" t="n">
        <f aca="false">IF(A198&lt;'3. Assumptions'!$B$7,0,1+INT((A198-'3. Assumptions'!$B$7)/'3. Assumptions'!$B$8))</f>
        <v>32</v>
      </c>
      <c r="E198" s="17" t="n">
        <f aca="false">MIN((1+'3. Assumptions'!$B$9)^D198,'3. Assumptions'!$B$10)-1</f>
        <v>0.62</v>
      </c>
      <c r="F198" s="31" t="n">
        <f aca="false">'7. The customer'!$B$4*'5. The rent roll'!D198*'7. The customer'!$B$11+F199*C199/C198/(1+'7. The customer'!$B$6)</f>
        <v>3274.10378156731</v>
      </c>
    </row>
    <row r="199" customFormat="false" ht="15" hidden="false" customHeight="false" outlineLevel="0" collapsed="false">
      <c r="A199" s="0" t="n">
        <v>194</v>
      </c>
      <c r="B199" s="17" t="n">
        <f aca="false">'3. Assumptions'!$B$12+IF(AND(A199&gt;='3. Assumptions'!$B$7,MOD(A199-'3. Assumptions'!$B$7,'3. Assumptions'!$B$8)=0),MIN('3. Assumptions'!$B$16,'3. Assumptions'!$B$13*('3. Assumptions'!$B$9/'3. Assumptions'!$B$15)^'3. Assumptions'!$B$14),0)</f>
        <v>0.0665</v>
      </c>
      <c r="C199" s="17" t="n">
        <f aca="false">C198*(1-B198)</f>
        <v>5.45344317108367E-007</v>
      </c>
      <c r="D199" s="11" t="n">
        <f aca="false">IF(A199&lt;'3. Assumptions'!$B$7,0,1+INT((A199-'3. Assumptions'!$B$7)/'3. Assumptions'!$B$8))</f>
        <v>32</v>
      </c>
      <c r="E199" s="17" t="n">
        <f aca="false">MIN((1+'3. Assumptions'!$B$9)^D199,'3. Assumptions'!$B$10)-1</f>
        <v>0.62</v>
      </c>
      <c r="F199" s="31" t="n">
        <f aca="false">'7. The customer'!$B$4*'5. The rent roll'!D199*'7. The customer'!$B$11+F200*C200/C199/(1+'7. The customer'!$B$6)</f>
        <v>3252.32574358868</v>
      </c>
    </row>
    <row r="200" customFormat="false" ht="15" hidden="false" customHeight="false" outlineLevel="0" collapsed="false">
      <c r="A200" s="0" t="n">
        <v>195</v>
      </c>
      <c r="B200" s="17" t="n">
        <f aca="false">'3. Assumptions'!$B$12+IF(AND(A200&gt;='3. Assumptions'!$B$7,MOD(A200-'3. Assumptions'!$B$7,'3. Assumptions'!$B$8)=0),MIN('3. Assumptions'!$B$16,'3. Assumptions'!$B$13*('3. Assumptions'!$B$9/'3. Assumptions'!$B$15)^'3. Assumptions'!$B$14),0)</f>
        <v>0.0665</v>
      </c>
      <c r="C200" s="17" t="n">
        <f aca="false">C199*(1-B199)</f>
        <v>5.09078920020661E-007</v>
      </c>
      <c r="D200" s="11" t="n">
        <f aca="false">IF(A200&lt;'3. Assumptions'!$B$7,0,1+INT((A200-'3. Assumptions'!$B$7)/'3. Assumptions'!$B$8))</f>
        <v>32</v>
      </c>
      <c r="E200" s="17" t="n">
        <f aca="false">MIN((1+'3. Assumptions'!$B$9)^D200,'3. Assumptions'!$B$10)-1</f>
        <v>0.62</v>
      </c>
      <c r="F200" s="31" t="n">
        <f aca="false">'7. The customer'!$B$4*'5. The rent roll'!D200*'7. The customer'!$B$11+F201*C201/C200/(1+'7. The customer'!$B$6)</f>
        <v>3228.8380579892</v>
      </c>
    </row>
    <row r="201" customFormat="false" ht="15" hidden="false" customHeight="false" outlineLevel="0" collapsed="false">
      <c r="A201" s="0" t="n">
        <v>196</v>
      </c>
      <c r="B201" s="17" t="n">
        <f aca="false">'3. Assumptions'!$B$12+IF(AND(A201&gt;='3. Assumptions'!$B$7,MOD(A201-'3. Assumptions'!$B$7,'3. Assumptions'!$B$8)=0),MIN('3. Assumptions'!$B$16,'3. Assumptions'!$B$13*('3. Assumptions'!$B$9/'3. Assumptions'!$B$15)^'3. Assumptions'!$B$14),0)</f>
        <v>0.0665</v>
      </c>
      <c r="C201" s="17" t="n">
        <f aca="false">C200*(1-B200)</f>
        <v>4.75225171839287E-007</v>
      </c>
      <c r="D201" s="11" t="n">
        <f aca="false">IF(A201&lt;'3. Assumptions'!$B$7,0,1+INT((A201-'3. Assumptions'!$B$7)/'3. Assumptions'!$B$8))</f>
        <v>32</v>
      </c>
      <c r="E201" s="17" t="n">
        <f aca="false">MIN((1+'3. Assumptions'!$B$9)^D201,'3. Assumptions'!$B$10)-1</f>
        <v>0.62</v>
      </c>
      <c r="F201" s="31" t="n">
        <f aca="false">'7. The customer'!$B$4*'5. The rent roll'!D201*'7. The customer'!$B$11+F202*C202/C201/(1+'7. The customer'!$B$6)</f>
        <v>3203.50651180669</v>
      </c>
    </row>
    <row r="202" customFormat="false" ht="15" hidden="false" customHeight="false" outlineLevel="0" collapsed="false">
      <c r="A202" s="0" t="n">
        <v>197</v>
      </c>
      <c r="B202" s="17" t="n">
        <f aca="false">'3. Assumptions'!$B$12+IF(AND(A202&gt;='3. Assumptions'!$B$7,MOD(A202-'3. Assumptions'!$B$7,'3. Assumptions'!$B$8)=0),MIN('3. Assumptions'!$B$16,'3. Assumptions'!$B$13*('3. Assumptions'!$B$9/'3. Assumptions'!$B$15)^'3. Assumptions'!$B$14),0)</f>
        <v>0.0965</v>
      </c>
      <c r="C202" s="17" t="n">
        <f aca="false">C201*(1-B201)</f>
        <v>4.43622697911974E-007</v>
      </c>
      <c r="D202" s="11" t="n">
        <f aca="false">IF(A202&lt;'3. Assumptions'!$B$7,0,1+INT((A202-'3. Assumptions'!$B$7)/'3. Assumptions'!$B$8))</f>
        <v>33</v>
      </c>
      <c r="E202" s="17" t="n">
        <f aca="false">MIN((1+'3. Assumptions'!$B$9)^D202,'3. Assumptions'!$B$10)-1</f>
        <v>0.62</v>
      </c>
      <c r="F202" s="31" t="n">
        <f aca="false">'7. The customer'!$B$4*'5. The rent roll'!D202*'7. The customer'!$B$11+F203*C203/C202/(1+'7. The customer'!$B$6)</f>
        <v>3176.18635591994</v>
      </c>
    </row>
    <row r="203" customFormat="false" ht="15" hidden="false" customHeight="false" outlineLevel="0" collapsed="false">
      <c r="A203" s="0" t="n">
        <v>198</v>
      </c>
      <c r="B203" s="17" t="n">
        <f aca="false">'3. Assumptions'!$B$12+IF(AND(A203&gt;='3. Assumptions'!$B$7,MOD(A203-'3. Assumptions'!$B$7,'3. Assumptions'!$B$8)=0),MIN('3. Assumptions'!$B$16,'3. Assumptions'!$B$13*('3. Assumptions'!$B$9/'3. Assumptions'!$B$15)^'3. Assumptions'!$B$14),0)</f>
        <v>0.0665</v>
      </c>
      <c r="C203" s="17" t="n">
        <f aca="false">C202*(1-B202)</f>
        <v>4.00813107563469E-007</v>
      </c>
      <c r="D203" s="11" t="n">
        <f aca="false">IF(A203&lt;'3. Assumptions'!$B$7,0,1+INT((A203-'3. Assumptions'!$B$7)/'3. Assumptions'!$B$8))</f>
        <v>33</v>
      </c>
      <c r="E203" s="17" t="n">
        <f aca="false">MIN((1+'3. Assumptions'!$B$9)^D203,'3. Assumptions'!$B$10)-1</f>
        <v>0.62</v>
      </c>
      <c r="F203" s="31" t="n">
        <f aca="false">'7. The customer'!$B$4*'5. The rent roll'!D203*'7. The customer'!$B$11+F204*C204/C203/(1+'7. The customer'!$B$6)</f>
        <v>3251.20586568182</v>
      </c>
    </row>
    <row r="204" customFormat="false" ht="15" hidden="false" customHeight="false" outlineLevel="0" collapsed="false">
      <c r="A204" s="0" t="n">
        <v>199</v>
      </c>
      <c r="B204" s="17" t="n">
        <f aca="false">'3. Assumptions'!$B$12+IF(AND(A204&gt;='3. Assumptions'!$B$7,MOD(A204-'3. Assumptions'!$B$7,'3. Assumptions'!$B$8)=0),MIN('3. Assumptions'!$B$16,'3. Assumptions'!$B$13*('3. Assumptions'!$B$9/'3. Assumptions'!$B$15)^'3. Assumptions'!$B$14),0)</f>
        <v>0.0665</v>
      </c>
      <c r="C204" s="17" t="n">
        <f aca="false">C203*(1-B203)</f>
        <v>3.74159035910498E-007</v>
      </c>
      <c r="D204" s="11" t="n">
        <f aca="false">IF(A204&lt;'3. Assumptions'!$B$7,0,1+INT((A204-'3. Assumptions'!$B$7)/'3. Assumptions'!$B$8))</f>
        <v>33</v>
      </c>
      <c r="E204" s="17" t="n">
        <f aca="false">MIN((1+'3. Assumptions'!$B$9)^D204,'3. Assumptions'!$B$10)-1</f>
        <v>0.62</v>
      </c>
      <c r="F204" s="31" t="n">
        <f aca="false">'7. The customer'!$B$4*'5. The rent roll'!D204*'7. The customer'!$B$11+F205*C205/C204/(1+'7. The customer'!$B$6)</f>
        <v>3227.63026598278</v>
      </c>
    </row>
    <row r="205" customFormat="false" ht="15" hidden="false" customHeight="false" outlineLevel="0" collapsed="false">
      <c r="A205" s="0" t="n">
        <v>200</v>
      </c>
      <c r="B205" s="17" t="n">
        <f aca="false">'3. Assumptions'!$B$12+IF(AND(A205&gt;='3. Assumptions'!$B$7,MOD(A205-'3. Assumptions'!$B$7,'3. Assumptions'!$B$8)=0),MIN('3. Assumptions'!$B$16,'3. Assumptions'!$B$13*('3. Assumptions'!$B$9/'3. Assumptions'!$B$15)^'3. Assumptions'!$B$14),0)</f>
        <v>0.0665</v>
      </c>
      <c r="C205" s="17" t="n">
        <f aca="false">C204*(1-B204)</f>
        <v>3.4927746002245E-007</v>
      </c>
      <c r="D205" s="11" t="n">
        <f aca="false">IF(A205&lt;'3. Assumptions'!$B$7,0,1+INT((A205-'3. Assumptions'!$B$7)/'3. Assumptions'!$B$8))</f>
        <v>33</v>
      </c>
      <c r="E205" s="17" t="n">
        <f aca="false">MIN((1+'3. Assumptions'!$B$9)^D205,'3. Assumptions'!$B$10)-1</f>
        <v>0.62</v>
      </c>
      <c r="F205" s="31" t="n">
        <f aca="false">'7. The customer'!$B$4*'5. The rent roll'!D205*'7. The customer'!$B$11+F206*C206/C205/(1+'7. The customer'!$B$6)</f>
        <v>3202.20390415469</v>
      </c>
    </row>
    <row r="206" customFormat="false" ht="15" hidden="false" customHeight="false" outlineLevel="0" collapsed="false">
      <c r="A206" s="0" t="n">
        <v>201</v>
      </c>
      <c r="B206" s="17" t="n">
        <f aca="false">'3. Assumptions'!$B$12+IF(AND(A206&gt;='3. Assumptions'!$B$7,MOD(A206-'3. Assumptions'!$B$7,'3. Assumptions'!$B$8)=0),MIN('3. Assumptions'!$B$16,'3. Assumptions'!$B$13*('3. Assumptions'!$B$9/'3. Assumptions'!$B$15)^'3. Assumptions'!$B$14),0)</f>
        <v>0.0665</v>
      </c>
      <c r="C206" s="17" t="n">
        <f aca="false">C205*(1-B205)</f>
        <v>3.26050508930957E-007</v>
      </c>
      <c r="D206" s="11" t="n">
        <f aca="false">IF(A206&lt;'3. Assumptions'!$B$7,0,1+INT((A206-'3. Assumptions'!$B$7)/'3. Assumptions'!$B$8))</f>
        <v>33</v>
      </c>
      <c r="E206" s="17" t="n">
        <f aca="false">MIN((1+'3. Assumptions'!$B$9)^D206,'3. Assumptions'!$B$10)-1</f>
        <v>0.62</v>
      </c>
      <c r="F206" s="31" t="n">
        <f aca="false">'7. The customer'!$B$4*'5. The rent roll'!D206*'7. The customer'!$B$11+F207*C207/C206/(1+'7. The customer'!$B$6)</f>
        <v>3174.78148928229</v>
      </c>
    </row>
    <row r="207" customFormat="false" ht="15" hidden="false" customHeight="false" outlineLevel="0" collapsed="false">
      <c r="A207" s="0" t="n">
        <v>202</v>
      </c>
      <c r="B207" s="17" t="n">
        <f aca="false">'3. Assumptions'!$B$12+IF(AND(A207&gt;='3. Assumptions'!$B$7,MOD(A207-'3. Assumptions'!$B$7,'3. Assumptions'!$B$8)=0),MIN('3. Assumptions'!$B$16,'3. Assumptions'!$B$13*('3. Assumptions'!$B$9/'3. Assumptions'!$B$15)^'3. Assumptions'!$B$14),0)</f>
        <v>0.0665</v>
      </c>
      <c r="C207" s="17" t="n">
        <f aca="false">C206*(1-B206)</f>
        <v>3.04368150087048E-007</v>
      </c>
      <c r="D207" s="11" t="n">
        <f aca="false">IF(A207&lt;'3. Assumptions'!$B$7,0,1+INT((A207-'3. Assumptions'!$B$7)/'3. Assumptions'!$B$8))</f>
        <v>33</v>
      </c>
      <c r="E207" s="17" t="n">
        <f aca="false">MIN((1+'3. Assumptions'!$B$9)^D207,'3. Assumptions'!$B$10)-1</f>
        <v>0.62</v>
      </c>
      <c r="F207" s="31" t="n">
        <f aca="false">'7. The customer'!$B$4*'5. The rent roll'!D207*'7. The customer'!$B$11+F208*C208/C207/(1+'7. The customer'!$B$6)</f>
        <v>3145.20632463553</v>
      </c>
    </row>
    <row r="208" customFormat="false" ht="15" hidden="false" customHeight="false" outlineLevel="0" collapsed="false">
      <c r="A208" s="0" t="n">
        <v>203</v>
      </c>
      <c r="B208" s="17" t="n">
        <f aca="false">'3. Assumptions'!$B$12+IF(AND(A208&gt;='3. Assumptions'!$B$7,MOD(A208-'3. Assumptions'!$B$7,'3. Assumptions'!$B$8)=0),MIN('3. Assumptions'!$B$16,'3. Assumptions'!$B$13*('3. Assumptions'!$B$9/'3. Assumptions'!$B$15)^'3. Assumptions'!$B$14),0)</f>
        <v>0.0965</v>
      </c>
      <c r="C208" s="17" t="n">
        <f aca="false">C207*(1-B207)</f>
        <v>2.8412766810626E-007</v>
      </c>
      <c r="D208" s="11" t="n">
        <f aca="false">IF(A208&lt;'3. Assumptions'!$B$7,0,1+INT((A208-'3. Assumptions'!$B$7)/'3. Assumptions'!$B$8))</f>
        <v>34</v>
      </c>
      <c r="E208" s="17" t="n">
        <f aca="false">MIN((1+'3. Assumptions'!$B$9)^D208,'3. Assumptions'!$B$10)-1</f>
        <v>0.62</v>
      </c>
      <c r="F208" s="31" t="n">
        <f aca="false">'7. The customer'!$B$4*'5. The rent roll'!D208*'7. The customer'!$B$11+F209*C209/C208/(1+'7. The customer'!$B$6)</f>
        <v>3113.30941227557</v>
      </c>
    </row>
    <row r="209" customFormat="false" ht="15" hidden="false" customHeight="false" outlineLevel="0" collapsed="false">
      <c r="A209" s="0" t="n">
        <v>204</v>
      </c>
      <c r="B209" s="17" t="n">
        <f aca="false">'3. Assumptions'!$B$12+IF(AND(A209&gt;='3. Assumptions'!$B$7,MOD(A209-'3. Assumptions'!$B$7,'3. Assumptions'!$B$8)=0),MIN('3. Assumptions'!$B$16,'3. Assumptions'!$B$13*('3. Assumptions'!$B$9/'3. Assumptions'!$B$15)^'3. Assumptions'!$B$14),0)</f>
        <v>0.0665</v>
      </c>
      <c r="C209" s="17" t="n">
        <f aca="false">C208*(1-B208)</f>
        <v>2.56709348134006E-007</v>
      </c>
      <c r="D209" s="11" t="n">
        <f aca="false">IF(A209&lt;'3. Assumptions'!$B$7,0,1+INT((A209-'3. Assumptions'!$B$7)/'3. Assumptions'!$B$8))</f>
        <v>34</v>
      </c>
      <c r="E209" s="17" t="n">
        <f aca="false">MIN((1+'3. Assumptions'!$B$9)^D209,'3. Assumptions'!$B$10)-1</f>
        <v>0.62</v>
      </c>
      <c r="F209" s="31" t="n">
        <f aca="false">'7. The customer'!$B$4*'5. The rent roll'!D209*'7. The customer'!$B$11+F210*C210/C209/(1+'7. The customer'!$B$6)</f>
        <v>3181.14119862689</v>
      </c>
    </row>
    <row r="210" customFormat="false" ht="15" hidden="false" customHeight="false" outlineLevel="0" collapsed="false">
      <c r="A210" s="0" t="n">
        <v>205</v>
      </c>
      <c r="B210" s="17" t="n">
        <f aca="false">'3. Assumptions'!$B$12+IF(AND(A210&gt;='3. Assumptions'!$B$7,MOD(A210-'3. Assumptions'!$B$7,'3. Assumptions'!$B$8)=0),MIN('3. Assumptions'!$B$16,'3. Assumptions'!$B$13*('3. Assumptions'!$B$9/'3. Assumptions'!$B$15)^'3. Assumptions'!$B$14),0)</f>
        <v>0.0665</v>
      </c>
      <c r="C210" s="17" t="n">
        <f aca="false">C209*(1-B209)</f>
        <v>2.39638176483094E-007</v>
      </c>
      <c r="D210" s="11" t="n">
        <f aca="false">IF(A210&lt;'3. Assumptions'!$B$7,0,1+INT((A210-'3. Assumptions'!$B$7)/'3. Assumptions'!$B$8))</f>
        <v>34</v>
      </c>
      <c r="E210" s="17" t="n">
        <f aca="false">MIN((1+'3. Assumptions'!$B$9)^D210,'3. Assumptions'!$B$10)-1</f>
        <v>0.62</v>
      </c>
      <c r="F210" s="31" t="n">
        <f aca="false">'7. The customer'!$B$4*'5. The rent roll'!D210*'7. The customer'!$B$11+F211*C211/C210/(1+'7. The customer'!$B$6)</f>
        <v>3152.06529208413</v>
      </c>
    </row>
    <row r="211" customFormat="false" ht="15" hidden="false" customHeight="false" outlineLevel="0" collapsed="false">
      <c r="A211" s="0" t="n">
        <v>206</v>
      </c>
      <c r="B211" s="17" t="n">
        <f aca="false">'3. Assumptions'!$B$12+IF(AND(A211&gt;='3. Assumptions'!$B$7,MOD(A211-'3. Assumptions'!$B$7,'3. Assumptions'!$B$8)=0),MIN('3. Assumptions'!$B$16,'3. Assumptions'!$B$13*('3. Assumptions'!$B$9/'3. Assumptions'!$B$15)^'3. Assumptions'!$B$14),0)</f>
        <v>0.0665</v>
      </c>
      <c r="C211" s="17" t="n">
        <f aca="false">C210*(1-B210)</f>
        <v>2.23702237746968E-007</v>
      </c>
      <c r="D211" s="11" t="n">
        <f aca="false">IF(A211&lt;'3. Assumptions'!$B$7,0,1+INT((A211-'3. Assumptions'!$B$7)/'3. Assumptions'!$B$8))</f>
        <v>34</v>
      </c>
      <c r="E211" s="17" t="n">
        <f aca="false">MIN((1+'3. Assumptions'!$B$9)^D211,'3. Assumptions'!$B$10)-1</f>
        <v>0.62</v>
      </c>
      <c r="F211" s="31" t="n">
        <f aca="false">'7. The customer'!$B$4*'5. The rent roll'!D211*'7. The customer'!$B$11+F212*C212/C211/(1+'7. The customer'!$B$6)</f>
        <v>3120.70683123168</v>
      </c>
    </row>
    <row r="212" customFormat="false" ht="15" hidden="false" customHeight="false" outlineLevel="0" collapsed="false">
      <c r="A212" s="0" t="n">
        <v>207</v>
      </c>
      <c r="B212" s="17" t="n">
        <f aca="false">'3. Assumptions'!$B$12+IF(AND(A212&gt;='3. Assumptions'!$B$7,MOD(A212-'3. Assumptions'!$B$7,'3. Assumptions'!$B$8)=0),MIN('3. Assumptions'!$B$16,'3. Assumptions'!$B$13*('3. Assumptions'!$B$9/'3. Assumptions'!$B$15)^'3. Assumptions'!$B$14),0)</f>
        <v>0.0665</v>
      </c>
      <c r="C212" s="17" t="n">
        <f aca="false">C211*(1-B211)</f>
        <v>2.08826038936795E-007</v>
      </c>
      <c r="D212" s="11" t="n">
        <f aca="false">IF(A212&lt;'3. Assumptions'!$B$7,0,1+INT((A212-'3. Assumptions'!$B$7)/'3. Assumptions'!$B$8))</f>
        <v>34</v>
      </c>
      <c r="E212" s="17" t="n">
        <f aca="false">MIN((1+'3. Assumptions'!$B$9)^D212,'3. Assumptions'!$B$10)-1</f>
        <v>0.62</v>
      </c>
      <c r="F212" s="31" t="n">
        <f aca="false">'7. The customer'!$B$4*'5. The rent roll'!D212*'7. The customer'!$B$11+F213*C213/C212/(1+'7. The customer'!$B$6)</f>
        <v>3086.88662804767</v>
      </c>
    </row>
    <row r="213" customFormat="false" ht="15" hidden="false" customHeight="false" outlineLevel="0" collapsed="false">
      <c r="A213" s="0" t="n">
        <v>208</v>
      </c>
      <c r="B213" s="17" t="n">
        <f aca="false">'3. Assumptions'!$B$12+IF(AND(A213&gt;='3. Assumptions'!$B$7,MOD(A213-'3. Assumptions'!$B$7,'3. Assumptions'!$B$8)=0),MIN('3. Assumptions'!$B$16,'3. Assumptions'!$B$13*('3. Assumptions'!$B$9/'3. Assumptions'!$B$15)^'3. Assumptions'!$B$14),0)</f>
        <v>0.0665</v>
      </c>
      <c r="C213" s="17" t="n">
        <f aca="false">C212*(1-B212)</f>
        <v>1.94939107347498E-007</v>
      </c>
      <c r="D213" s="11" t="n">
        <f aca="false">IF(A213&lt;'3. Assumptions'!$B$7,0,1+INT((A213-'3. Assumptions'!$B$7)/'3. Assumptions'!$B$8))</f>
        <v>34</v>
      </c>
      <c r="E213" s="17" t="n">
        <f aca="false">MIN((1+'3. Assumptions'!$B$9)^D213,'3. Assumptions'!$B$10)-1</f>
        <v>0.62</v>
      </c>
      <c r="F213" s="31" t="n">
        <f aca="false">'7. The customer'!$B$4*'5. The rent roll'!D213*'7. The customer'!$B$11+F214*C214/C213/(1+'7. The customer'!$B$6)</f>
        <v>3050.41142766111</v>
      </c>
    </row>
    <row r="214" customFormat="false" ht="15" hidden="false" customHeight="false" outlineLevel="0" collapsed="false">
      <c r="A214" s="0" t="n">
        <v>209</v>
      </c>
      <c r="B214" s="17" t="n">
        <f aca="false">'3. Assumptions'!$B$12+IF(AND(A214&gt;='3. Assumptions'!$B$7,MOD(A214-'3. Assumptions'!$B$7,'3. Assumptions'!$B$8)=0),MIN('3. Assumptions'!$B$16,'3. Assumptions'!$B$13*('3. Assumptions'!$B$9/'3. Assumptions'!$B$15)^'3. Assumptions'!$B$14),0)</f>
        <v>0.0965</v>
      </c>
      <c r="C214" s="17" t="n">
        <f aca="false">C213*(1-B213)</f>
        <v>1.8197565670889E-007</v>
      </c>
      <c r="D214" s="11" t="n">
        <f aca="false">IF(A214&lt;'3. Assumptions'!$B$7,0,1+INT((A214-'3. Assumptions'!$B$7)/'3. Assumptions'!$B$8))</f>
        <v>35</v>
      </c>
      <c r="E214" s="17" t="n">
        <f aca="false">MIN((1+'3. Assumptions'!$B$9)^D214,'3. Assumptions'!$B$10)-1</f>
        <v>0.62</v>
      </c>
      <c r="F214" s="31" t="n">
        <f aca="false">'7. The customer'!$B$4*'5. The rent roll'!D214*'7. The customer'!$B$11+F215*C215/C214/(1+'7. The customer'!$B$6)</f>
        <v>3011.0728040579</v>
      </c>
    </row>
    <row r="215" customFormat="false" ht="15" hidden="false" customHeight="false" outlineLevel="0" collapsed="false">
      <c r="A215" s="0" t="n">
        <v>210</v>
      </c>
      <c r="B215" s="17" t="n">
        <f aca="false">'3. Assumptions'!$B$12+IF(AND(A215&gt;='3. Assumptions'!$B$7,MOD(A215-'3. Assumptions'!$B$7,'3. Assumptions'!$B$8)=0),MIN('3. Assumptions'!$B$16,'3. Assumptions'!$B$13*('3. Assumptions'!$B$9/'3. Assumptions'!$B$15)^'3. Assumptions'!$B$14),0)</f>
        <v>0.0665</v>
      </c>
      <c r="C215" s="17" t="n">
        <f aca="false">C214*(1-B214)</f>
        <v>1.64415005836482E-007</v>
      </c>
      <c r="D215" s="11" t="n">
        <f aca="false">IF(A215&lt;'3. Assumptions'!$B$7,0,1+INT((A215-'3. Assumptions'!$B$7)/'3. Assumptions'!$B$8))</f>
        <v>35</v>
      </c>
      <c r="E215" s="17" t="n">
        <f aca="false">MIN((1+'3. Assumptions'!$B$9)^D215,'3. Assumptions'!$B$10)-1</f>
        <v>0.62</v>
      </c>
      <c r="F215" s="31" t="n">
        <f aca="false">'7. The customer'!$B$4*'5. The rent roll'!D215*'7. The customer'!$B$11+F216*C216/C215/(1+'7. The customer'!$B$6)</f>
        <v>3067.21750099758</v>
      </c>
    </row>
    <row r="216" customFormat="false" ht="15" hidden="false" customHeight="false" outlineLevel="0" collapsed="false">
      <c r="A216" s="0" t="n">
        <v>211</v>
      </c>
      <c r="B216" s="17" t="n">
        <f aca="false">'3. Assumptions'!$B$12+IF(AND(A216&gt;='3. Assumptions'!$B$7,MOD(A216-'3. Assumptions'!$B$7,'3. Assumptions'!$B$8)=0),MIN('3. Assumptions'!$B$16,'3. Assumptions'!$B$13*('3. Assumptions'!$B$9/'3. Assumptions'!$B$15)^'3. Assumptions'!$B$14),0)</f>
        <v>0.0665</v>
      </c>
      <c r="C216" s="17" t="n">
        <f aca="false">C215*(1-B215)</f>
        <v>1.53481407948356E-007</v>
      </c>
      <c r="D216" s="11" t="n">
        <f aca="false">IF(A216&lt;'3. Assumptions'!$B$7,0,1+INT((A216-'3. Assumptions'!$B$7)/'3. Assumptions'!$B$8))</f>
        <v>35</v>
      </c>
      <c r="E216" s="17" t="n">
        <f aca="false">MIN((1+'3. Assumptions'!$B$9)^D216,'3. Assumptions'!$B$10)-1</f>
        <v>0.62</v>
      </c>
      <c r="F216" s="31" t="n">
        <f aca="false">'7. The customer'!$B$4*'5. The rent roll'!D216*'7. The customer'!$B$11+F217*C217/C216/(1+'7. The customer'!$B$6)</f>
        <v>3029.19820943538</v>
      </c>
    </row>
    <row r="217" customFormat="false" ht="15" hidden="false" customHeight="false" outlineLevel="0" collapsed="false">
      <c r="A217" s="0" t="n">
        <v>212</v>
      </c>
      <c r="B217" s="17" t="n">
        <f aca="false">'3. Assumptions'!$B$12+IF(AND(A217&gt;='3. Assumptions'!$B$7,MOD(A217-'3. Assumptions'!$B$7,'3. Assumptions'!$B$8)=0),MIN('3. Assumptions'!$B$16,'3. Assumptions'!$B$13*('3. Assumptions'!$B$9/'3. Assumptions'!$B$15)^'3. Assumptions'!$B$14),0)</f>
        <v>0.0665</v>
      </c>
      <c r="C217" s="17" t="n">
        <f aca="false">C216*(1-B216)</f>
        <v>1.4327489431979E-007</v>
      </c>
      <c r="D217" s="11" t="n">
        <f aca="false">IF(A217&lt;'3. Assumptions'!$B$7,0,1+INT((A217-'3. Assumptions'!$B$7)/'3. Assumptions'!$B$8))</f>
        <v>35</v>
      </c>
      <c r="E217" s="17" t="n">
        <f aca="false">MIN((1+'3. Assumptions'!$B$9)^D217,'3. Assumptions'!$B$10)-1</f>
        <v>0.62</v>
      </c>
      <c r="F217" s="31" t="n">
        <f aca="false">'7. The customer'!$B$4*'5. The rent roll'!D217*'7. The customer'!$B$11+F218*C218/C217/(1+'7. The customer'!$B$6)</f>
        <v>2988.19427841991</v>
      </c>
    </row>
    <row r="218" customFormat="false" ht="15" hidden="false" customHeight="false" outlineLevel="0" collapsed="false">
      <c r="A218" s="0" t="n">
        <v>213</v>
      </c>
      <c r="B218" s="17" t="n">
        <f aca="false">'3. Assumptions'!$B$12+IF(AND(A218&gt;='3. Assumptions'!$B$7,MOD(A218-'3. Assumptions'!$B$7,'3. Assumptions'!$B$8)=0),MIN('3. Assumptions'!$B$16,'3. Assumptions'!$B$13*('3. Assumptions'!$B$9/'3. Assumptions'!$B$15)^'3. Assumptions'!$B$14),0)</f>
        <v>0.0665</v>
      </c>
      <c r="C218" s="17" t="n">
        <f aca="false">C217*(1-B217)</f>
        <v>1.33747113847524E-007</v>
      </c>
      <c r="D218" s="11" t="n">
        <f aca="false">IF(A218&lt;'3. Assumptions'!$B$7,0,1+INT((A218-'3. Assumptions'!$B$7)/'3. Assumptions'!$B$8))</f>
        <v>35</v>
      </c>
      <c r="E218" s="17" t="n">
        <f aca="false">MIN((1+'3. Assumptions'!$B$9)^D218,'3. Assumptions'!$B$10)-1</f>
        <v>0.62</v>
      </c>
      <c r="F218" s="31" t="n">
        <f aca="false">'7. The customer'!$B$4*'5. The rent roll'!D218*'7. The customer'!$B$11+F219*C219/C218/(1+'7. The customer'!$B$6)</f>
        <v>2943.97140393602</v>
      </c>
    </row>
    <row r="219" customFormat="false" ht="15" hidden="false" customHeight="false" outlineLevel="0" collapsed="false">
      <c r="A219" s="0" t="n">
        <v>214</v>
      </c>
      <c r="B219" s="17" t="n">
        <f aca="false">'3. Assumptions'!$B$12+IF(AND(A219&gt;='3. Assumptions'!$B$7,MOD(A219-'3. Assumptions'!$B$7,'3. Assumptions'!$B$8)=0),MIN('3. Assumptions'!$B$16,'3. Assumptions'!$B$13*('3. Assumptions'!$B$9/'3. Assumptions'!$B$15)^'3. Assumptions'!$B$14),0)</f>
        <v>0.0665</v>
      </c>
      <c r="C219" s="17" t="n">
        <f aca="false">C218*(1-B218)</f>
        <v>1.24852930776664E-007</v>
      </c>
      <c r="D219" s="11" t="n">
        <f aca="false">IF(A219&lt;'3. Assumptions'!$B$7,0,1+INT((A219-'3. Assumptions'!$B$7)/'3. Assumptions'!$B$8))</f>
        <v>35</v>
      </c>
      <c r="E219" s="17" t="n">
        <f aca="false">MIN((1+'3. Assumptions'!$B$9)^D219,'3. Assumptions'!$B$10)-1</f>
        <v>0.62</v>
      </c>
      <c r="F219" s="31" t="n">
        <f aca="false">'7. The customer'!$B$4*'5. The rent roll'!D219*'7. The customer'!$B$11+F220*C220/C219/(1+'7. The customer'!$B$6)</f>
        <v>2896.27688833263</v>
      </c>
    </row>
    <row r="220" customFormat="false" ht="15" hidden="false" customHeight="false" outlineLevel="0" collapsed="false">
      <c r="A220" s="0" t="n">
        <v>215</v>
      </c>
      <c r="B220" s="17" t="n">
        <f aca="false">'3. Assumptions'!$B$12+IF(AND(A220&gt;='3. Assumptions'!$B$7,MOD(A220-'3. Assumptions'!$B$7,'3. Assumptions'!$B$8)=0),MIN('3. Assumptions'!$B$16,'3. Assumptions'!$B$13*('3. Assumptions'!$B$9/'3. Assumptions'!$B$15)^'3. Assumptions'!$B$14),0)</f>
        <v>0.0965</v>
      </c>
      <c r="C220" s="17" t="n">
        <f aca="false">C219*(1-B219)</f>
        <v>1.16550210880015E-007</v>
      </c>
      <c r="D220" s="11" t="n">
        <f aca="false">IF(A220&lt;'3. Assumptions'!$B$7,0,1+INT((A220-'3. Assumptions'!$B$7)/'3. Assumptions'!$B$8))</f>
        <v>36</v>
      </c>
      <c r="E220" s="17" t="n">
        <f aca="false">MIN((1+'3. Assumptions'!$B$9)^D220,'3. Assumptions'!$B$10)-1</f>
        <v>0.62</v>
      </c>
      <c r="F220" s="31" t="n">
        <f aca="false">'7. The customer'!$B$4*'5. The rent roll'!D220*'7. The customer'!$B$11+F221*C221/C220/(1+'7. The customer'!$B$6)</f>
        <v>2844.83819636178</v>
      </c>
    </row>
    <row r="221" customFormat="false" ht="15" hidden="false" customHeight="false" outlineLevel="0" collapsed="false">
      <c r="A221" s="0" t="n">
        <v>216</v>
      </c>
      <c r="B221" s="17" t="n">
        <f aca="false">'3. Assumptions'!$B$12+IF(AND(A221&gt;='3. Assumptions'!$B$7,MOD(A221-'3. Assumptions'!$B$7,'3. Assumptions'!$B$8)=0),MIN('3. Assumptions'!$B$16,'3. Assumptions'!$B$13*('3. Assumptions'!$B$9/'3. Assumptions'!$B$15)^'3. Assumptions'!$B$14),0)</f>
        <v>0.0665</v>
      </c>
      <c r="C221" s="17" t="n">
        <f aca="false">C220*(1-B220)</f>
        <v>1.05303115530094E-007</v>
      </c>
      <c r="D221" s="11" t="n">
        <f aca="false">IF(A221&lt;'3. Assumptions'!$B$7,0,1+INT((A221-'3. Assumptions'!$B$7)/'3. Assumptions'!$B$8))</f>
        <v>36</v>
      </c>
      <c r="E221" s="17" t="n">
        <f aca="false">MIN((1+'3. Assumptions'!$B$9)^D221,'3. Assumptions'!$B$10)-1</f>
        <v>0.62</v>
      </c>
      <c r="F221" s="31" t="n">
        <f aca="false">'7. The customer'!$B$4*'5. The rent roll'!D221*'7. The customer'!$B$11+F222*C222/C221/(1+'7. The customer'!$B$6)</f>
        <v>2881.97992795154</v>
      </c>
    </row>
    <row r="222" customFormat="false" ht="15" hidden="false" customHeight="false" outlineLevel="0" collapsed="false">
      <c r="A222" s="0" t="n">
        <v>217</v>
      </c>
      <c r="B222" s="17" t="n">
        <f aca="false">'3. Assumptions'!$B$12+IF(AND(A222&gt;='3. Assumptions'!$B$7,MOD(A222-'3. Assumptions'!$B$7,'3. Assumptions'!$B$8)=0),MIN('3. Assumptions'!$B$16,'3. Assumptions'!$B$13*('3. Assumptions'!$B$9/'3. Assumptions'!$B$15)^'3. Assumptions'!$B$14),0)</f>
        <v>0.0665</v>
      </c>
      <c r="C222" s="17" t="n">
        <f aca="false">C221*(1-B221)</f>
        <v>9.83004583473427E-008</v>
      </c>
      <c r="D222" s="11" t="n">
        <f aca="false">IF(A222&lt;'3. Assumptions'!$B$7,0,1+INT((A222-'3. Assumptions'!$B$7)/'3. Assumptions'!$B$8))</f>
        <v>36</v>
      </c>
      <c r="E222" s="17" t="n">
        <f aca="false">MIN((1+'3. Assumptions'!$B$9)^D222,'3. Assumptions'!$B$10)-1</f>
        <v>0.62</v>
      </c>
      <c r="F222" s="31" t="n">
        <f aca="false">'7. The customer'!$B$4*'5. The rent roll'!D222*'7. The customer'!$B$11+F223*C223/C222/(1+'7. The customer'!$B$6)</f>
        <v>2829.41887756048</v>
      </c>
    </row>
    <row r="223" customFormat="false" ht="15" hidden="false" customHeight="false" outlineLevel="0" collapsed="false">
      <c r="A223" s="0" t="n">
        <v>218</v>
      </c>
      <c r="B223" s="17" t="n">
        <f aca="false">'3. Assumptions'!$B$12+IF(AND(A223&gt;='3. Assumptions'!$B$7,MOD(A223-'3. Assumptions'!$B$7,'3. Assumptions'!$B$8)=0),MIN('3. Assumptions'!$B$16,'3. Assumptions'!$B$13*('3. Assumptions'!$B$9/'3. Assumptions'!$B$15)^'3. Assumptions'!$B$14),0)</f>
        <v>0.0665</v>
      </c>
      <c r="C223" s="17" t="n">
        <f aca="false">C222*(1-B222)</f>
        <v>9.17634778672445E-008</v>
      </c>
      <c r="D223" s="11" t="n">
        <f aca="false">IF(A223&lt;'3. Assumptions'!$B$7,0,1+INT((A223-'3. Assumptions'!$B$7)/'3. Assumptions'!$B$8))</f>
        <v>36</v>
      </c>
      <c r="E223" s="17" t="n">
        <f aca="false">MIN((1+'3. Assumptions'!$B$9)^D223,'3. Assumptions'!$B$10)-1</f>
        <v>0.62</v>
      </c>
      <c r="F223" s="31" t="n">
        <f aca="false">'7. The customer'!$B$4*'5. The rent roll'!D223*'7. The customer'!$B$11+F224*C224/C223/(1+'7. The customer'!$B$6)</f>
        <v>2772.73161181251</v>
      </c>
    </row>
    <row r="224" customFormat="false" ht="15" hidden="false" customHeight="false" outlineLevel="0" collapsed="false">
      <c r="A224" s="0" t="n">
        <v>219</v>
      </c>
      <c r="B224" s="17" t="n">
        <f aca="false">'3. Assumptions'!$B$12+IF(AND(A224&gt;='3. Assumptions'!$B$7,MOD(A224-'3. Assumptions'!$B$7,'3. Assumptions'!$B$8)=0),MIN('3. Assumptions'!$B$16,'3. Assumptions'!$B$13*('3. Assumptions'!$B$9/'3. Assumptions'!$B$15)^'3. Assumptions'!$B$14),0)</f>
        <v>0.0665</v>
      </c>
      <c r="C224" s="17" t="n">
        <f aca="false">C223*(1-B223)</f>
        <v>8.56612065890727E-008</v>
      </c>
      <c r="D224" s="11" t="n">
        <f aca="false">IF(A224&lt;'3. Assumptions'!$B$7,0,1+INT((A224-'3. Assumptions'!$B$7)/'3. Assumptions'!$B$8))</f>
        <v>36</v>
      </c>
      <c r="E224" s="17" t="n">
        <f aca="false">MIN((1+'3. Assumptions'!$B$9)^D224,'3. Assumptions'!$B$10)-1</f>
        <v>0.62</v>
      </c>
      <c r="F224" s="31" t="n">
        <f aca="false">'7. The customer'!$B$4*'5. The rent roll'!D224*'7. The customer'!$B$11+F225*C225/C224/(1+'7. The customer'!$B$6)</f>
        <v>2711.59420922881</v>
      </c>
    </row>
    <row r="225" customFormat="false" ht="15" hidden="false" customHeight="false" outlineLevel="0" collapsed="false">
      <c r="A225" s="0" t="n">
        <v>220</v>
      </c>
      <c r="B225" s="17" t="n">
        <f aca="false">'3. Assumptions'!$B$12+IF(AND(A225&gt;='3. Assumptions'!$B$7,MOD(A225-'3. Assumptions'!$B$7,'3. Assumptions'!$B$8)=0),MIN('3. Assumptions'!$B$16,'3. Assumptions'!$B$13*('3. Assumptions'!$B$9/'3. Assumptions'!$B$15)^'3. Assumptions'!$B$14),0)</f>
        <v>0.0665</v>
      </c>
      <c r="C225" s="17" t="n">
        <f aca="false">C224*(1-B224)</f>
        <v>7.99647363508994E-008</v>
      </c>
      <c r="D225" s="11" t="n">
        <f aca="false">IF(A225&lt;'3. Assumptions'!$B$7,0,1+INT((A225-'3. Assumptions'!$B$7)/'3. Assumptions'!$B$8))</f>
        <v>36</v>
      </c>
      <c r="E225" s="17" t="n">
        <f aca="false">MIN((1+'3. Assumptions'!$B$9)^D225,'3. Assumptions'!$B$10)-1</f>
        <v>0.62</v>
      </c>
      <c r="F225" s="31" t="n">
        <f aca="false">'7. The customer'!$B$4*'5. The rent roll'!D225*'7. The customer'!$B$11+F226*C226/C225/(1+'7. The customer'!$B$6)</f>
        <v>2645.6573194289</v>
      </c>
    </row>
    <row r="226" customFormat="false" ht="15" hidden="false" customHeight="false" outlineLevel="0" collapsed="false">
      <c r="A226" s="0" t="n">
        <v>221</v>
      </c>
      <c r="B226" s="17" t="n">
        <f aca="false">'3. Assumptions'!$B$12+IF(AND(A226&gt;='3. Assumptions'!$B$7,MOD(A226-'3. Assumptions'!$B$7,'3. Assumptions'!$B$8)=0),MIN('3. Assumptions'!$B$16,'3. Assumptions'!$B$13*('3. Assumptions'!$B$9/'3. Assumptions'!$B$15)^'3. Assumptions'!$B$14),0)</f>
        <v>0.0965</v>
      </c>
      <c r="C226" s="17" t="n">
        <f aca="false">C225*(1-B225)</f>
        <v>7.46470813835646E-008</v>
      </c>
      <c r="D226" s="11" t="n">
        <f aca="false">IF(A226&lt;'3. Assumptions'!$B$7,0,1+INT((A226-'3. Assumptions'!$B$7)/'3. Assumptions'!$B$8))</f>
        <v>37</v>
      </c>
      <c r="E226" s="17" t="n">
        <f aca="false">MIN((1+'3. Assumptions'!$B$9)^D226,'3. Assumptions'!$B$10)-1</f>
        <v>0.62</v>
      </c>
      <c r="F226" s="31" t="n">
        <f aca="false">'7. The customer'!$B$4*'5. The rent roll'!D226*'7. The customer'!$B$11+F227*C227/C226/(1+'7. The customer'!$B$6)</f>
        <v>2574.54416687825</v>
      </c>
    </row>
    <row r="227" customFormat="false" ht="15" hidden="false" customHeight="false" outlineLevel="0" collapsed="false">
      <c r="A227" s="0" t="n">
        <v>222</v>
      </c>
      <c r="B227" s="17" t="n">
        <f aca="false">'3. Assumptions'!$B$12+IF(AND(A227&gt;='3. Assumptions'!$B$7,MOD(A227-'3. Assumptions'!$B$7,'3. Assumptions'!$B$8)=0),MIN('3. Assumptions'!$B$16,'3. Assumptions'!$B$13*('3. Assumptions'!$B$9/'3. Assumptions'!$B$15)^'3. Assumptions'!$B$14),0)</f>
        <v>0.0665</v>
      </c>
      <c r="C227" s="17" t="n">
        <f aca="false">C226*(1-B226)</f>
        <v>6.74436380300506E-008</v>
      </c>
      <c r="D227" s="11" t="n">
        <f aca="false">IF(A227&lt;'3. Assumptions'!$B$7,0,1+INT((A227-'3. Assumptions'!$B$7)/'3. Assumptions'!$B$8))</f>
        <v>37</v>
      </c>
      <c r="E227" s="17" t="n">
        <f aca="false">MIN((1+'3. Assumptions'!$B$9)^D227,'3. Assumptions'!$B$10)-1</f>
        <v>0.62</v>
      </c>
      <c r="F227" s="31" t="n">
        <f aca="false">'7. The customer'!$B$4*'5. The rent roll'!D227*'7. The customer'!$B$11+F228*C228/C227/(1+'7. The customer'!$B$6)</f>
        <v>2580.78747035035</v>
      </c>
    </row>
    <row r="228" customFormat="false" ht="15" hidden="false" customHeight="false" outlineLevel="0" collapsed="false">
      <c r="A228" s="0" t="n">
        <v>223</v>
      </c>
      <c r="B228" s="17" t="n">
        <f aca="false">'3. Assumptions'!$B$12+IF(AND(A228&gt;='3. Assumptions'!$B$7,MOD(A228-'3. Assumptions'!$B$7,'3. Assumptions'!$B$8)=0),MIN('3. Assumptions'!$B$16,'3. Assumptions'!$B$13*('3. Assumptions'!$B$9/'3. Assumptions'!$B$15)^'3. Assumptions'!$B$14),0)</f>
        <v>0.0665</v>
      </c>
      <c r="C228" s="17" t="n">
        <f aca="false">C227*(1-B227)</f>
        <v>6.29586361010522E-008</v>
      </c>
      <c r="D228" s="11" t="n">
        <f aca="false">IF(A228&lt;'3. Assumptions'!$B$7,0,1+INT((A228-'3. Assumptions'!$B$7)/'3. Assumptions'!$B$8))</f>
        <v>37</v>
      </c>
      <c r="E228" s="17" t="n">
        <f aca="false">MIN((1+'3. Assumptions'!$B$9)^D228,'3. Assumptions'!$B$10)-1</f>
        <v>0.62</v>
      </c>
      <c r="F228" s="31" t="n">
        <f aca="false">'7. The customer'!$B$4*'5. The rent roll'!D228*'7. The customer'!$B$11+F229*C229/C228/(1+'7. The customer'!$B$6)</f>
        <v>2504.58182125566</v>
      </c>
    </row>
    <row r="229" customFormat="false" ht="15" hidden="false" customHeight="false" outlineLevel="0" collapsed="false">
      <c r="A229" s="0" t="n">
        <v>224</v>
      </c>
      <c r="B229" s="17" t="n">
        <f aca="false">'3. Assumptions'!$B$12+IF(AND(A229&gt;='3. Assumptions'!$B$7,MOD(A229-'3. Assumptions'!$B$7,'3. Assumptions'!$B$8)=0),MIN('3. Assumptions'!$B$16,'3. Assumptions'!$B$13*('3. Assumptions'!$B$9/'3. Assumptions'!$B$15)^'3. Assumptions'!$B$14),0)</f>
        <v>0.0665</v>
      </c>
      <c r="C229" s="17" t="n">
        <f aca="false">C228*(1-B228)</f>
        <v>5.87718868003322E-008</v>
      </c>
      <c r="D229" s="11" t="n">
        <f aca="false">IF(A229&lt;'3. Assumptions'!$B$7,0,1+INT((A229-'3. Assumptions'!$B$7)/'3. Assumptions'!$B$8))</f>
        <v>37</v>
      </c>
      <c r="E229" s="17" t="n">
        <f aca="false">MIN((1+'3. Assumptions'!$B$9)^D229,'3. Assumptions'!$B$10)-1</f>
        <v>0.62</v>
      </c>
      <c r="F229" s="31" t="n">
        <f aca="false">'7. The customer'!$B$4*'5. The rent roll'!D229*'7. The customer'!$B$11+F230*C230/C229/(1+'7. The customer'!$B$6)</f>
        <v>2422.39377802618</v>
      </c>
    </row>
    <row r="230" customFormat="false" ht="15" hidden="false" customHeight="false" outlineLevel="0" collapsed="false">
      <c r="A230" s="0" t="n">
        <v>225</v>
      </c>
      <c r="B230" s="17" t="n">
        <f aca="false">'3. Assumptions'!$B$12+IF(AND(A230&gt;='3. Assumptions'!$B$7,MOD(A230-'3. Assumptions'!$B$7,'3. Assumptions'!$B$8)=0),MIN('3. Assumptions'!$B$16,'3. Assumptions'!$B$13*('3. Assumptions'!$B$9/'3. Assumptions'!$B$15)^'3. Assumptions'!$B$14),0)</f>
        <v>0.0665</v>
      </c>
      <c r="C230" s="17" t="n">
        <f aca="false">C229*(1-B229)</f>
        <v>5.48635563281101E-008</v>
      </c>
      <c r="D230" s="11" t="n">
        <f aca="false">IF(A230&lt;'3. Assumptions'!$B$7,0,1+INT((A230-'3. Assumptions'!$B$7)/'3. Assumptions'!$B$8))</f>
        <v>37</v>
      </c>
      <c r="E230" s="17" t="n">
        <f aca="false">MIN((1+'3. Assumptions'!$B$9)^D230,'3. Assumptions'!$B$10)-1</f>
        <v>0.62</v>
      </c>
      <c r="F230" s="31" t="n">
        <f aca="false">'7. The customer'!$B$4*'5. The rent roll'!D230*'7. The customer'!$B$11+F231*C231/C230/(1+'7. The customer'!$B$6)</f>
        <v>2333.75370304306</v>
      </c>
    </row>
    <row r="231" customFormat="false" ht="15" hidden="false" customHeight="false" outlineLevel="0" collapsed="false">
      <c r="A231" s="0" t="n">
        <v>226</v>
      </c>
      <c r="B231" s="17" t="n">
        <f aca="false">'3. Assumptions'!$B$12+IF(AND(A231&gt;='3. Assumptions'!$B$7,MOD(A231-'3. Assumptions'!$B$7,'3. Assumptions'!$B$8)=0),MIN('3. Assumptions'!$B$16,'3. Assumptions'!$B$13*('3. Assumptions'!$B$9/'3. Assumptions'!$B$15)^'3. Assumptions'!$B$14),0)</f>
        <v>0.0665</v>
      </c>
      <c r="C231" s="17" t="n">
        <f aca="false">C230*(1-B230)</f>
        <v>5.12151298322908E-008</v>
      </c>
      <c r="D231" s="11" t="n">
        <f aca="false">IF(A231&lt;'3. Assumptions'!$B$7,0,1+INT((A231-'3. Assumptions'!$B$7)/'3. Assumptions'!$B$8))</f>
        <v>37</v>
      </c>
      <c r="E231" s="17" t="n">
        <f aca="false">MIN((1+'3. Assumptions'!$B$9)^D231,'3. Assumptions'!$B$10)-1</f>
        <v>0.62</v>
      </c>
      <c r="F231" s="31" t="n">
        <f aca="false">'7. The customer'!$B$4*'5. The rent roll'!D231*'7. The customer'!$B$11+F232*C232/C231/(1+'7. The customer'!$B$6)</f>
        <v>2238.15509058949</v>
      </c>
    </row>
    <row r="232" customFormat="false" ht="15" hidden="false" customHeight="false" outlineLevel="0" collapsed="false">
      <c r="A232" s="0" t="n">
        <v>227</v>
      </c>
      <c r="B232" s="17" t="n">
        <f aca="false">'3. Assumptions'!$B$12+IF(AND(A232&gt;='3. Assumptions'!$B$7,MOD(A232-'3. Assumptions'!$B$7,'3. Assumptions'!$B$8)=0),MIN('3. Assumptions'!$B$16,'3. Assumptions'!$B$13*('3. Assumptions'!$B$9/'3. Assumptions'!$B$15)^'3. Assumptions'!$B$14),0)</f>
        <v>0.0965</v>
      </c>
      <c r="C232" s="17" t="n">
        <f aca="false">C231*(1-B231)</f>
        <v>4.78093236984435E-008</v>
      </c>
      <c r="D232" s="11" t="n">
        <f aca="false">IF(A232&lt;'3. Assumptions'!$B$7,0,1+INT((A232-'3. Assumptions'!$B$7)/'3. Assumptions'!$B$8))</f>
        <v>38</v>
      </c>
      <c r="E232" s="17" t="n">
        <f aca="false">MIN((1+'3. Assumptions'!$B$9)^D232,'3. Assumptions'!$B$10)-1</f>
        <v>0.62</v>
      </c>
      <c r="F232" s="31" t="n">
        <f aca="false">'7. The customer'!$B$4*'5. The rent roll'!D232*'7. The customer'!$B$11+F233*C233/C232/(1+'7. The customer'!$B$6)</f>
        <v>2135.05167258371</v>
      </c>
    </row>
    <row r="233" customFormat="false" ht="15" hidden="false" customHeight="false" outlineLevel="0" collapsed="false">
      <c r="A233" s="0" t="n">
        <v>228</v>
      </c>
      <c r="B233" s="17" t="n">
        <f aca="false">'3. Assumptions'!$B$12+IF(AND(A233&gt;='3. Assumptions'!$B$7,MOD(A233-'3. Assumptions'!$B$7,'3. Assumptions'!$B$8)=0),MIN('3. Assumptions'!$B$16,'3. Assumptions'!$B$13*('3. Assumptions'!$B$9/'3. Assumptions'!$B$15)^'3. Assumptions'!$B$14),0)</f>
        <v>0.0665</v>
      </c>
      <c r="C233" s="17" t="n">
        <f aca="false">C232*(1-B232)</f>
        <v>4.31957239615437E-008</v>
      </c>
      <c r="D233" s="11" t="n">
        <f aca="false">IF(A233&lt;'3. Assumptions'!$B$7,0,1+INT((A233-'3. Assumptions'!$B$7)/'3. Assumptions'!$B$8))</f>
        <v>38</v>
      </c>
      <c r="E233" s="17" t="n">
        <f aca="false">MIN((1+'3. Assumptions'!$B$9)^D233,'3. Assumptions'!$B$10)-1</f>
        <v>0.62</v>
      </c>
      <c r="F233" s="31" t="n">
        <f aca="false">'7. The customer'!$B$4*'5. The rent roll'!D233*'7. The customer'!$B$11+F234*C234/C233/(1+'7. The customer'!$B$6)</f>
        <v>2091.05477182652</v>
      </c>
    </row>
    <row r="234" customFormat="false" ht="15" hidden="false" customHeight="false" outlineLevel="0" collapsed="false">
      <c r="A234" s="0" t="n">
        <v>229</v>
      </c>
      <c r="B234" s="17" t="n">
        <f aca="false">'3. Assumptions'!$B$12+IF(AND(A234&gt;='3. Assumptions'!$B$7,MOD(A234-'3. Assumptions'!$B$7,'3. Assumptions'!$B$8)=0),MIN('3. Assumptions'!$B$16,'3. Assumptions'!$B$13*('3. Assumptions'!$B$9/'3. Assumptions'!$B$15)^'3. Assumptions'!$B$14),0)</f>
        <v>0.0665</v>
      </c>
      <c r="C234" s="17" t="n">
        <f aca="false">C233*(1-B233)</f>
        <v>4.0323208318101E-008</v>
      </c>
      <c r="D234" s="11" t="n">
        <f aca="false">IF(A234&lt;'3. Assumptions'!$B$7,0,1+INT((A234-'3. Assumptions'!$B$7)/'3. Assumptions'!$B$8))</f>
        <v>38</v>
      </c>
      <c r="E234" s="17" t="n">
        <f aca="false">MIN((1+'3. Assumptions'!$B$9)^D234,'3. Assumptions'!$B$10)-1</f>
        <v>0.62</v>
      </c>
      <c r="F234" s="31" t="n">
        <f aca="false">'7. The customer'!$B$4*'5. The rent roll'!D234*'7. The customer'!$B$11+F235*C235/C234/(1+'7. The customer'!$B$6)</f>
        <v>1976.40349490679</v>
      </c>
    </row>
    <row r="235" customFormat="false" ht="15" hidden="false" customHeight="false" outlineLevel="0" collapsed="false">
      <c r="A235" s="0" t="n">
        <v>230</v>
      </c>
      <c r="B235" s="17" t="n">
        <f aca="false">'3. Assumptions'!$B$12+IF(AND(A235&gt;='3. Assumptions'!$B$7,MOD(A235-'3. Assumptions'!$B$7,'3. Assumptions'!$B$8)=0),MIN('3. Assumptions'!$B$16,'3. Assumptions'!$B$13*('3. Assumptions'!$B$9/'3. Assumptions'!$B$15)^'3. Assumptions'!$B$14),0)</f>
        <v>0.0665</v>
      </c>
      <c r="C235" s="17" t="n">
        <f aca="false">C234*(1-B234)</f>
        <v>3.76417149649473E-008</v>
      </c>
      <c r="D235" s="11" t="n">
        <f aca="false">IF(A235&lt;'3. Assumptions'!$B$7,0,1+INT((A235-'3. Assumptions'!$B$7)/'3. Assumptions'!$B$8))</f>
        <v>38</v>
      </c>
      <c r="E235" s="17" t="n">
        <f aca="false">MIN((1+'3. Assumptions'!$B$9)^D235,'3. Assumptions'!$B$10)-1</f>
        <v>0.62</v>
      </c>
      <c r="F235" s="31" t="n">
        <f aca="false">'7. The customer'!$B$4*'5. The rent roll'!D235*'7. The customer'!$B$11+F236*C236/C235/(1+'7. The customer'!$B$6)</f>
        <v>1852.75171559991</v>
      </c>
    </row>
    <row r="236" customFormat="false" ht="15" hidden="false" customHeight="false" outlineLevel="0" collapsed="false">
      <c r="A236" s="0" t="n">
        <v>231</v>
      </c>
      <c r="B236" s="17" t="n">
        <f aca="false">'3. Assumptions'!$B$12+IF(AND(A236&gt;='3. Assumptions'!$B$7,MOD(A236-'3. Assumptions'!$B$7,'3. Assumptions'!$B$8)=0),MIN('3. Assumptions'!$B$16,'3. Assumptions'!$B$13*('3. Assumptions'!$B$9/'3. Assumptions'!$B$15)^'3. Assumptions'!$B$14),0)</f>
        <v>0.0665</v>
      </c>
      <c r="C236" s="17" t="n">
        <f aca="false">C235*(1-B235)</f>
        <v>3.51385409197783E-008</v>
      </c>
      <c r="D236" s="11" t="n">
        <f aca="false">IF(A236&lt;'3. Assumptions'!$B$7,0,1+INT((A236-'3. Assumptions'!$B$7)/'3. Assumptions'!$B$8))</f>
        <v>38</v>
      </c>
      <c r="E236" s="17" t="n">
        <f aca="false">MIN((1+'3. Assumptions'!$B$9)^D236,'3. Assumptions'!$B$10)-1</f>
        <v>0.62</v>
      </c>
      <c r="F236" s="31" t="n">
        <f aca="false">'7. The customer'!$B$4*'5. The rent roll'!D236*'7. The customer'!$B$11+F237*C237/C236/(1+'7. The customer'!$B$6)</f>
        <v>1719.39286486108</v>
      </c>
    </row>
    <row r="237" customFormat="false" ht="15" hidden="false" customHeight="false" outlineLevel="0" collapsed="false">
      <c r="A237" s="0" t="n">
        <v>232</v>
      </c>
      <c r="B237" s="17" t="n">
        <f aca="false">'3. Assumptions'!$B$12+IF(AND(A237&gt;='3. Assumptions'!$B$7,MOD(A237-'3. Assumptions'!$B$7,'3. Assumptions'!$B$8)=0),MIN('3. Assumptions'!$B$16,'3. Assumptions'!$B$13*('3. Assumptions'!$B$9/'3. Assumptions'!$B$15)^'3. Assumptions'!$B$14),0)</f>
        <v>0.0665</v>
      </c>
      <c r="C237" s="17" t="n">
        <f aca="false">C236*(1-B236)</f>
        <v>3.28018279486131E-008</v>
      </c>
      <c r="D237" s="11" t="n">
        <f aca="false">IF(A237&lt;'3. Assumptions'!$B$7,0,1+INT((A237-'3. Assumptions'!$B$7)/'3. Assumptions'!$B$8))</f>
        <v>38</v>
      </c>
      <c r="E237" s="17" t="n">
        <f aca="false">MIN((1+'3. Assumptions'!$B$9)^D237,'3. Assumptions'!$B$10)-1</f>
        <v>0.62</v>
      </c>
      <c r="F237" s="31" t="n">
        <f aca="false">'7. The customer'!$B$4*'5. The rent roll'!D237*'7. The customer'!$B$11+F238*C238/C237/(1+'7. The customer'!$B$6)</f>
        <v>1575.56490565117</v>
      </c>
    </row>
    <row r="238" customFormat="false" ht="15" hidden="false" customHeight="false" outlineLevel="0" collapsed="false">
      <c r="A238" s="0" t="n">
        <v>233</v>
      </c>
      <c r="B238" s="17" t="n">
        <f aca="false">'3. Assumptions'!$B$12+IF(AND(A238&gt;='3. Assumptions'!$B$7,MOD(A238-'3. Assumptions'!$B$7,'3. Assumptions'!$B$8)=0),MIN('3. Assumptions'!$B$16,'3. Assumptions'!$B$13*('3. Assumptions'!$B$9/'3. Assumptions'!$B$15)^'3. Assumptions'!$B$14),0)</f>
        <v>0.0965</v>
      </c>
      <c r="C238" s="17" t="n">
        <f aca="false">C237*(1-B237)</f>
        <v>3.06205063900303E-008</v>
      </c>
      <c r="D238" s="11" t="n">
        <f aca="false">IF(A238&lt;'3. Assumptions'!$B$7,0,1+INT((A238-'3. Assumptions'!$B$7)/'3. Assumptions'!$B$8))</f>
        <v>39</v>
      </c>
      <c r="E238" s="17" t="n">
        <f aca="false">MIN((1+'3. Assumptions'!$B$9)^D238,'3. Assumptions'!$B$10)-1</f>
        <v>0.62</v>
      </c>
      <c r="F238" s="31" t="n">
        <f aca="false">'7. The customer'!$B$4*'5. The rent roll'!D238*'7. The customer'!$B$11+F239*C239/C238/(1+'7. The customer'!$B$6)</f>
        <v>1420.44597851674</v>
      </c>
    </row>
    <row r="239" customFormat="false" ht="15" hidden="false" customHeight="false" outlineLevel="0" collapsed="false">
      <c r="A239" s="0" t="n">
        <v>234</v>
      </c>
      <c r="B239" s="17" t="n">
        <f aca="false">'3. Assumptions'!$B$12+IF(AND(A239&gt;='3. Assumptions'!$B$7,MOD(A239-'3. Assumptions'!$B$7,'3. Assumptions'!$B$8)=0),MIN('3. Assumptions'!$B$16,'3. Assumptions'!$B$13*('3. Assumptions'!$B$9/'3. Assumptions'!$B$15)^'3. Assumptions'!$B$14),0)</f>
        <v>0.0665</v>
      </c>
      <c r="C239" s="17" t="n">
        <f aca="false">C238*(1-B238)</f>
        <v>2.76656275233924E-008</v>
      </c>
      <c r="D239" s="11" t="n">
        <f aca="false">IF(A239&lt;'3. Assumptions'!$B$7,0,1+INT((A239-'3. Assumptions'!$B$7)/'3. Assumptions'!$B$8))</f>
        <v>39</v>
      </c>
      <c r="E239" s="17" t="n">
        <f aca="false">MIN((1+'3. Assumptions'!$B$9)^D239,'3. Assumptions'!$B$10)-1</f>
        <v>0.62</v>
      </c>
      <c r="F239" s="31" t="n">
        <f aca="false">'7. The customer'!$B$4*'5. The rent roll'!D239*'7. The customer'!$B$11+F240*C240/C239/(1+'7. The customer'!$B$6)</f>
        <v>1294.75954613065</v>
      </c>
    </row>
    <row r="240" customFormat="false" ht="15" hidden="false" customHeight="false" outlineLevel="0" collapsed="false">
      <c r="A240" s="0" t="n">
        <v>235</v>
      </c>
      <c r="B240" s="17" t="n">
        <f aca="false">'3. Assumptions'!$B$12+IF(AND(A240&gt;='3. Assumptions'!$B$7,MOD(A240-'3. Assumptions'!$B$7,'3. Assumptions'!$B$8)=0),MIN('3. Assumptions'!$B$16,'3. Assumptions'!$B$13*('3. Assumptions'!$B$9/'3. Assumptions'!$B$15)^'3. Assumptions'!$B$14),0)</f>
        <v>0.0665</v>
      </c>
      <c r="C240" s="17" t="n">
        <f aca="false">C239*(1-B239)</f>
        <v>2.58258632930868E-008</v>
      </c>
      <c r="D240" s="11" t="n">
        <f aca="false">IF(A240&lt;'3. Assumptions'!$B$7,0,1+INT((A240-'3. Assumptions'!$B$7)/'3. Assumptions'!$B$8))</f>
        <v>39</v>
      </c>
      <c r="E240" s="17" t="n">
        <f aca="false">MIN((1+'3. Assumptions'!$B$9)^D240,'3. Assumptions'!$B$10)-1</f>
        <v>0.62</v>
      </c>
      <c r="F240" s="31" t="n">
        <f aca="false">'7. The customer'!$B$4*'5. The rent roll'!D240*'7. The customer'!$B$11+F241*C241/C240/(1+'7. The customer'!$B$6)</f>
        <v>1117.59647455591</v>
      </c>
    </row>
    <row r="241" customFormat="false" ht="15" hidden="false" customHeight="false" outlineLevel="0" collapsed="false">
      <c r="A241" s="0" t="n">
        <v>236</v>
      </c>
      <c r="B241" s="17" t="n">
        <f aca="false">'3. Assumptions'!$B$12+IF(AND(A241&gt;='3. Assumptions'!$B$7,MOD(A241-'3. Assumptions'!$B$7,'3. Assumptions'!$B$8)=0),MIN('3. Assumptions'!$B$16,'3. Assumptions'!$B$13*('3. Assumptions'!$B$9/'3. Assumptions'!$B$15)^'3. Assumptions'!$B$14),0)</f>
        <v>0.0665</v>
      </c>
      <c r="C241" s="17" t="n">
        <f aca="false">C240*(1-B240)</f>
        <v>2.41084433840965E-008</v>
      </c>
      <c r="D241" s="11" t="n">
        <f aca="false">IF(A241&lt;'3. Assumptions'!$B$7,0,1+INT((A241-'3. Assumptions'!$B$7)/'3. Assumptions'!$B$8))</f>
        <v>39</v>
      </c>
      <c r="E241" s="17" t="n">
        <f aca="false">MIN((1+'3. Assumptions'!$B$9)^D241,'3. Assumptions'!$B$10)-1</f>
        <v>0.62</v>
      </c>
      <c r="F241" s="31" t="n">
        <f aca="false">'7. The customer'!$B$4*'5. The rent roll'!D241*'7. The customer'!$B$11+F242*C242/C241/(1+'7. The customer'!$B$6)</f>
        <v>926.525519079123</v>
      </c>
    </row>
    <row r="242" customFormat="false" ht="15" hidden="false" customHeight="false" outlineLevel="0" collapsed="false">
      <c r="A242" s="0" t="n">
        <v>237</v>
      </c>
      <c r="B242" s="17" t="n">
        <f aca="false">'3. Assumptions'!$B$12+IF(AND(A242&gt;='3. Assumptions'!$B$7,MOD(A242-'3. Assumptions'!$B$7,'3. Assumptions'!$B$8)=0),MIN('3. Assumptions'!$B$16,'3. Assumptions'!$B$13*('3. Assumptions'!$B$9/'3. Assumptions'!$B$15)^'3. Assumptions'!$B$14),0)</f>
        <v>0.0665</v>
      </c>
      <c r="C242" s="17" t="n">
        <f aca="false">C241*(1-B241)</f>
        <v>2.25052318990541E-008</v>
      </c>
      <c r="D242" s="11" t="n">
        <f aca="false">IF(A242&lt;'3. Assumptions'!$B$7,0,1+INT((A242-'3. Assumptions'!$B$7)/'3. Assumptions'!$B$8))</f>
        <v>39</v>
      </c>
      <c r="E242" s="17" t="n">
        <f aca="false">MIN((1+'3. Assumptions'!$B$9)^D242,'3. Assumptions'!$B$10)-1</f>
        <v>0.62</v>
      </c>
      <c r="F242" s="31" t="n">
        <f aca="false">'7. The customer'!$B$4*'5. The rent roll'!D242*'7. The customer'!$B$11+F243*C243/C242/(1+'7. The customer'!$B$6)</f>
        <v>720.454865063571</v>
      </c>
    </row>
    <row r="243" customFormat="false" ht="15" hidden="false" customHeight="false" outlineLevel="0" collapsed="false">
      <c r="A243" s="0" t="n">
        <v>238</v>
      </c>
      <c r="B243" s="17" t="n">
        <f aca="false">'3. Assumptions'!$B$12+IF(AND(A243&gt;='3. Assumptions'!$B$7,MOD(A243-'3. Assumptions'!$B$7,'3. Assumptions'!$B$8)=0),MIN('3. Assumptions'!$B$16,'3. Assumptions'!$B$13*('3. Assumptions'!$B$9/'3. Assumptions'!$B$15)^'3. Assumptions'!$B$14),0)</f>
        <v>0.0665</v>
      </c>
      <c r="C243" s="17" t="n">
        <f aca="false">C242*(1-B242)</f>
        <v>2.1008633977767E-008</v>
      </c>
      <c r="D243" s="11" t="n">
        <f aca="false">IF(A243&lt;'3. Assumptions'!$B$7,0,1+INT((A243-'3. Assumptions'!$B$7)/'3. Assumptions'!$B$8))</f>
        <v>39</v>
      </c>
      <c r="E243" s="17" t="n">
        <f aca="false">MIN((1+'3. Assumptions'!$B$9)^D243,'3. Assumptions'!$B$10)-1</f>
        <v>0.62</v>
      </c>
      <c r="F243" s="31" t="n">
        <f aca="false">'7. The customer'!$B$4*'5. The rent roll'!D243*'7. The customer'!$B$11+F244*C244/C243/(1+'7. The customer'!$B$6)</f>
        <v>498.206986831982</v>
      </c>
    </row>
    <row r="244" customFormat="false" ht="15" hidden="false" customHeight="false" outlineLevel="0" collapsed="false">
      <c r="A244" s="0" t="n">
        <v>239</v>
      </c>
      <c r="B244" s="17" t="n">
        <f aca="false">'3. Assumptions'!$B$12+IF(AND(A244&gt;='3. Assumptions'!$B$7,MOD(A244-'3. Assumptions'!$B$7,'3. Assumptions'!$B$8)=0),MIN('3. Assumptions'!$B$16,'3. Assumptions'!$B$13*('3. Assumptions'!$B$9/'3. Assumptions'!$B$15)^'3. Assumptions'!$B$14),0)</f>
        <v>0.0965</v>
      </c>
      <c r="C244" s="17" t="n">
        <f aca="false">C243*(1-B243)</f>
        <v>1.96115598182455E-008</v>
      </c>
      <c r="D244" s="11" t="n">
        <f aca="false">IF(A244&lt;'3. Assumptions'!$B$7,0,1+INT((A244-'3. Assumptions'!$B$7)/'3. Assumptions'!$B$8))</f>
        <v>40</v>
      </c>
      <c r="E244" s="17" t="n">
        <f aca="false">MIN((1+'3. Assumptions'!$B$9)^D244,'3. Assumptions'!$B$10)-1</f>
        <v>0.62</v>
      </c>
      <c r="F244" s="31" t="n">
        <f aca="false">'7. The customer'!$B$4*'5. The rent roll'!D244*'7. The customer'!$B$11</f>
        <v>258.511919067915</v>
      </c>
    </row>
    <row r="246" customFormat="false" ht="15" hidden="false" customHeight="false" outlineLevel="0" collapsed="false">
      <c r="A246" s="14" t="s">
        <v>123</v>
      </c>
      <c r="C246" s="32" t="n">
        <f aca="false">SUM(C5:C244)</f>
        <v>13.8030340961292</v>
      </c>
    </row>
    <row r="247" customFormat="false" ht="15" hidden="false" customHeight="false" outlineLevel="0" collapsed="false">
      <c r="A247" s="0" t="s">
        <v>124</v>
      </c>
      <c r="C247" s="17" t="n">
        <f aca="false">12/C246</f>
        <v>0.869374075035083</v>
      </c>
    </row>
    <row r="248" customFormat="false" ht="15" hidden="false" customHeight="false" outlineLevel="0" collapsed="false">
      <c r="A248" s="0" t="s">
        <v>125</v>
      </c>
      <c r="C248" s="33" t="n">
        <f aca="false">SUMPRODUCT(A5:A244,C5:C244)/SUM(C5:C244)</f>
        <v>12.9636958111613</v>
      </c>
    </row>
    <row r="249" customFormat="false" ht="15" hidden="false" customHeight="false" outlineLevel="0" collapsed="false">
      <c r="A249" s="0" t="s">
        <v>126</v>
      </c>
      <c r="C249" s="18" t="n">
        <f aca="false">'3. Assumptions'!$B$17*'2. The tape'!B11/C246</f>
        <v>34.0244033832897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26"/>
  </cols>
  <sheetData>
    <row r="1" customFormat="false" ht="16.15" hidden="false" customHeight="false" outlineLevel="0" collapsed="false">
      <c r="A1" s="5" t="s">
        <v>127</v>
      </c>
    </row>
    <row r="2" customFormat="false" ht="43.25" hidden="false" customHeight="false" outlineLevel="0" collapsed="false">
      <c r="A2" s="6" t="s">
        <v>128</v>
      </c>
    </row>
    <row r="4" customFormat="false" ht="28.35" hidden="false" customHeight="false" outlineLevel="0" collapsed="false">
      <c r="A4" s="7" t="s">
        <v>129</v>
      </c>
      <c r="B4" s="7" t="s">
        <v>130</v>
      </c>
      <c r="C4" s="7" t="s">
        <v>131</v>
      </c>
      <c r="D4" s="7" t="s">
        <v>132</v>
      </c>
      <c r="E4" s="7" t="s">
        <v>133</v>
      </c>
    </row>
    <row r="5" customFormat="false" ht="15" hidden="false" customHeight="false" outlineLevel="0" collapsed="false">
      <c r="A5" s="0" t="n">
        <v>0</v>
      </c>
      <c r="B5" s="33" t="n">
        <f aca="false">'4. Survival and stay'!$C$249*'4. Survival and stay'!C5</f>
        <v>34.0244033832897</v>
      </c>
      <c r="C5" s="17" t="n">
        <f aca="false">IF(A5&lt;'3. Assumptions'!$B$6/(52/12),'3. Assumptions'!$B$5*MIN(1,'3. Assumptions'!$B$6/(52/12)-A5),0)</f>
        <v>0.5</v>
      </c>
      <c r="D5" s="17" t="n">
        <f aca="false">MIN((1-C5)*(1+'4. Survival and stay'!E5),'3. Assumptions'!$B$10)</f>
        <v>0.5</v>
      </c>
      <c r="E5" s="12" t="n">
        <f aca="false">B5*'2. The tape'!$B$15*'2. The tape'!$D$11*D5/12</f>
        <v>2719.15054366142</v>
      </c>
    </row>
    <row r="6" customFormat="false" ht="15" hidden="false" customHeight="false" outlineLevel="0" collapsed="false">
      <c r="A6" s="0" t="n">
        <v>1</v>
      </c>
      <c r="B6" s="33" t="n">
        <f aca="false">'4. Survival and stay'!$C$249*'4. Survival and stay'!C6</f>
        <v>30.9281826754103</v>
      </c>
      <c r="C6" s="17" t="n">
        <f aca="false">IF(A6&lt;'3. Assumptions'!$B$6/(52/12),'3. Assumptions'!$B$5*MIN(1,'3. Assumptions'!$B$6/(52/12)-A6),0)</f>
        <v>0.423076923076923</v>
      </c>
      <c r="D6" s="17" t="n">
        <f aca="false">MIN((1-C6)*(1+'4. Survival and stay'!E6),'3. Assumptions'!$B$10)</f>
        <v>0.576923076923077</v>
      </c>
      <c r="E6" s="12" t="n">
        <f aca="false">B6*'2. The tape'!$B$15*'2. The tape'!$D$11*D6/12</f>
        <v>2851.97058944795</v>
      </c>
    </row>
    <row r="7" customFormat="false" ht="15" hidden="false" customHeight="false" outlineLevel="0" collapsed="false">
      <c r="A7" s="0" t="n">
        <v>2</v>
      </c>
      <c r="B7" s="33" t="n">
        <f aca="false">'4. Survival and stay'!$C$249*'4. Survival and stay'!C7</f>
        <v>28.8714585274955</v>
      </c>
      <c r="C7" s="17" t="n">
        <f aca="false">IF(A7&lt;'3. Assumptions'!$B$6/(52/12),'3. Assumptions'!$B$5*MIN(1,'3. Assumptions'!$B$6/(52/12)-A7),0)</f>
        <v>0</v>
      </c>
      <c r="D7" s="17" t="n">
        <f aca="false">MIN((1-C7)*(1+'4. Survival and stay'!E7),'3. Assumptions'!$B$10)</f>
        <v>1</v>
      </c>
      <c r="E7" s="12" t="n">
        <f aca="false">B7*'2. The tape'!$B$15*'2. The tape'!$D$11*D7/12</f>
        <v>4614.67854509942</v>
      </c>
    </row>
    <row r="8" customFormat="false" ht="15" hidden="false" customHeight="false" outlineLevel="0" collapsed="false">
      <c r="A8" s="0" t="n">
        <v>3</v>
      </c>
      <c r="B8" s="33" t="n">
        <f aca="false">'4. Survival and stay'!$C$249*'4. Survival and stay'!C8</f>
        <v>26.9515065354171</v>
      </c>
      <c r="C8" s="17" t="n">
        <f aca="false">IF(A8&lt;'3. Assumptions'!$B$6/(52/12),'3. Assumptions'!$B$5*MIN(1,'3. Assumptions'!$B$6/(52/12)-A8),0)</f>
        <v>0</v>
      </c>
      <c r="D8" s="17" t="n">
        <f aca="false">MIN((1-C8)*(1+'4. Survival and stay'!E8),'3. Assumptions'!$B$10)</f>
        <v>1</v>
      </c>
      <c r="E8" s="12" t="n">
        <f aca="false">B8*'2. The tape'!$B$15*'2. The tape'!$D$11*D8/12</f>
        <v>4307.80242185031</v>
      </c>
    </row>
    <row r="9" customFormat="false" ht="15" hidden="false" customHeight="false" outlineLevel="0" collapsed="false">
      <c r="A9" s="0" t="n">
        <v>4</v>
      </c>
      <c r="B9" s="33" t="n">
        <f aca="false">'4. Survival and stay'!$C$249*'4. Survival and stay'!C9</f>
        <v>25.1592313508119</v>
      </c>
      <c r="C9" s="17" t="n">
        <f aca="false">IF(A9&lt;'3. Assumptions'!$B$6/(52/12),'3. Assumptions'!$B$5*MIN(1,'3. Assumptions'!$B$6/(52/12)-A9),0)</f>
        <v>0</v>
      </c>
      <c r="D9" s="17" t="n">
        <f aca="false">MIN((1-C9)*(1+'4. Survival and stay'!E9),'3. Assumptions'!$B$10)</f>
        <v>1</v>
      </c>
      <c r="E9" s="12" t="n">
        <f aca="false">B9*'2. The tape'!$B$15*'2. The tape'!$D$11*D9/12</f>
        <v>4021.33356079726</v>
      </c>
    </row>
    <row r="10" customFormat="false" ht="15" hidden="false" customHeight="false" outlineLevel="0" collapsed="false">
      <c r="A10" s="0" t="n">
        <v>5</v>
      </c>
      <c r="B10" s="33" t="n">
        <f aca="false">'4. Survival and stay'!$C$249*'4. Survival and stay'!C10</f>
        <v>23.4861424659829</v>
      </c>
      <c r="C10" s="17" t="n">
        <f aca="false">IF(A10&lt;'3. Assumptions'!$B$6/(52/12),'3. Assumptions'!$B$5*MIN(1,'3. Assumptions'!$B$6/(52/12)-A10),0)</f>
        <v>0</v>
      </c>
      <c r="D10" s="17" t="n">
        <f aca="false">MIN((1-C10)*(1+'4. Survival and stay'!E10),'3. Assumptions'!$B$10)</f>
        <v>1.082</v>
      </c>
      <c r="E10" s="12" t="n">
        <f aca="false">B10*'2. The tape'!$B$15*'2. The tape'!$D$11*D10/12</f>
        <v>4061.73589908259</v>
      </c>
    </row>
    <row r="11" customFormat="false" ht="15" hidden="false" customHeight="false" outlineLevel="0" collapsed="false">
      <c r="A11" s="0" t="n">
        <v>6</v>
      </c>
      <c r="B11" s="33" t="n">
        <f aca="false">'4. Survival and stay'!$C$249*'4. Survival and stay'!C11</f>
        <v>21.2197297180155</v>
      </c>
      <c r="C11" s="17" t="n">
        <f aca="false">IF(A11&lt;'3. Assumptions'!$B$6/(52/12),'3. Assumptions'!$B$5*MIN(1,'3. Assumptions'!$B$6/(52/12)-A11),0)</f>
        <v>0</v>
      </c>
      <c r="D11" s="17" t="n">
        <f aca="false">MIN((1-C11)*(1+'4. Survival and stay'!E11),'3. Assumptions'!$B$10)</f>
        <v>1.082</v>
      </c>
      <c r="E11" s="12" t="n">
        <f aca="false">B11*'2. The tape'!$B$15*'2. The tape'!$D$11*D11/12</f>
        <v>3669.77838482112</v>
      </c>
    </row>
    <row r="12" customFormat="false" ht="15" hidden="false" customHeight="false" outlineLevel="0" collapsed="false">
      <c r="A12" s="0" t="n">
        <v>7</v>
      </c>
      <c r="B12" s="33" t="n">
        <f aca="false">'4. Survival and stay'!$C$249*'4. Survival and stay'!C12</f>
        <v>19.8086176917675</v>
      </c>
      <c r="C12" s="17" t="n">
        <f aca="false">IF(A12&lt;'3. Assumptions'!$B$6/(52/12),'3. Assumptions'!$B$5*MIN(1,'3. Assumptions'!$B$6/(52/12)-A12),0)</f>
        <v>0</v>
      </c>
      <c r="D12" s="17" t="n">
        <f aca="false">MIN((1-C12)*(1+'4. Survival and stay'!E12),'3. Assumptions'!$B$10)</f>
        <v>1.082</v>
      </c>
      <c r="E12" s="12" t="n">
        <f aca="false">B12*'2. The tape'!$B$15*'2. The tape'!$D$11*D12/12</f>
        <v>3425.73812223052</v>
      </c>
    </row>
    <row r="13" customFormat="false" ht="15" hidden="false" customHeight="false" outlineLevel="0" collapsed="false">
      <c r="A13" s="0" t="n">
        <v>8</v>
      </c>
      <c r="B13" s="33" t="n">
        <f aca="false">'4. Survival and stay'!$C$249*'4. Survival and stay'!C13</f>
        <v>18.491344615265</v>
      </c>
      <c r="C13" s="17" t="n">
        <f aca="false">IF(A13&lt;'3. Assumptions'!$B$6/(52/12),'3. Assumptions'!$B$5*MIN(1,'3. Assumptions'!$B$6/(52/12)-A13),0)</f>
        <v>0</v>
      </c>
      <c r="D13" s="17" t="n">
        <f aca="false">MIN((1-C13)*(1+'4. Survival and stay'!E13),'3. Assumptions'!$B$10)</f>
        <v>1.082</v>
      </c>
      <c r="E13" s="12" t="n">
        <f aca="false">B13*'2. The tape'!$B$15*'2. The tape'!$D$11*D13/12</f>
        <v>3197.92653710219</v>
      </c>
    </row>
    <row r="14" customFormat="false" ht="15" hidden="false" customHeight="false" outlineLevel="0" collapsed="false">
      <c r="A14" s="0" t="n">
        <v>9</v>
      </c>
      <c r="B14" s="33" t="n">
        <f aca="false">'4. Survival and stay'!$C$249*'4. Survival and stay'!C14</f>
        <v>17.2616701983498</v>
      </c>
      <c r="C14" s="17" t="n">
        <f aca="false">IF(A14&lt;'3. Assumptions'!$B$6/(52/12),'3. Assumptions'!$B$5*MIN(1,'3. Assumptions'!$B$6/(52/12)-A14),0)</f>
        <v>0</v>
      </c>
      <c r="D14" s="17" t="n">
        <f aca="false">MIN((1-C14)*(1+'4. Survival and stay'!E14),'3. Assumptions'!$B$10)</f>
        <v>1.082</v>
      </c>
      <c r="E14" s="12" t="n">
        <f aca="false">B14*'2. The tape'!$B$15*'2. The tape'!$D$11*D14/12</f>
        <v>2985.26442238489</v>
      </c>
    </row>
    <row r="15" customFormat="false" ht="15" hidden="false" customHeight="false" outlineLevel="0" collapsed="false">
      <c r="A15" s="0" t="n">
        <v>10</v>
      </c>
      <c r="B15" s="33" t="n">
        <f aca="false">'4. Survival and stay'!$C$249*'4. Survival and stay'!C15</f>
        <v>16.1137691301596</v>
      </c>
      <c r="C15" s="17" t="n">
        <f aca="false">IF(A15&lt;'3. Assumptions'!$B$6/(52/12),'3. Assumptions'!$B$5*MIN(1,'3. Assumptions'!$B$6/(52/12)-A15),0)</f>
        <v>0</v>
      </c>
      <c r="D15" s="17" t="n">
        <f aca="false">MIN((1-C15)*(1+'4. Survival and stay'!E15),'3. Assumptions'!$B$10)</f>
        <v>1.082</v>
      </c>
      <c r="E15" s="12" t="n">
        <f aca="false">B15*'2. The tape'!$B$15*'2. The tape'!$D$11*D15/12</f>
        <v>2786.7443382963</v>
      </c>
    </row>
    <row r="16" customFormat="false" ht="15" hidden="false" customHeight="false" outlineLevel="0" collapsed="false">
      <c r="A16" s="0" t="n">
        <v>11</v>
      </c>
      <c r="B16" s="33" t="n">
        <f aca="false">'4. Survival and stay'!$C$249*'4. Survival and stay'!C16</f>
        <v>15.042203483004</v>
      </c>
      <c r="C16" s="17" t="n">
        <f aca="false">IF(A16&lt;'3. Assumptions'!$B$6/(52/12),'3. Assumptions'!$B$5*MIN(1,'3. Assumptions'!$B$6/(52/12)-A16),0)</f>
        <v>0</v>
      </c>
      <c r="D16" s="17" t="n">
        <f aca="false">MIN((1-C16)*(1+'4. Survival and stay'!E16),'3. Assumptions'!$B$10)</f>
        <v>1.170724</v>
      </c>
      <c r="E16" s="12" t="n">
        <f aca="false">B16*'2. The tape'!$B$15*'2. The tape'!$D$11*D16/12</f>
        <v>2814.74275866316</v>
      </c>
    </row>
    <row r="17" customFormat="false" ht="15" hidden="false" customHeight="false" outlineLevel="0" collapsed="false">
      <c r="A17" s="0" t="n">
        <v>12</v>
      </c>
      <c r="B17" s="33" t="n">
        <f aca="false">'4. Survival and stay'!$C$249*'4. Survival and stay'!C17</f>
        <v>13.5906308468941</v>
      </c>
      <c r="C17" s="17" t="n">
        <f aca="false">IF(A17&lt;'3. Assumptions'!$B$6/(52/12),'3. Assumptions'!$B$5*MIN(1,'3. Assumptions'!$B$6/(52/12)-A17),0)</f>
        <v>0</v>
      </c>
      <c r="D17" s="17" t="n">
        <f aca="false">MIN((1-C17)*(1+'4. Survival and stay'!E17),'3. Assumptions'!$B$10)</f>
        <v>1.170724</v>
      </c>
      <c r="E17" s="12" t="n">
        <f aca="false">B17*'2. The tape'!$B$15*'2. The tape'!$D$11*D17/12</f>
        <v>2543.12008245217</v>
      </c>
    </row>
    <row r="18" customFormat="false" ht="15" hidden="false" customHeight="false" outlineLevel="0" collapsed="false">
      <c r="A18" s="0" t="n">
        <v>13</v>
      </c>
      <c r="B18" s="33" t="n">
        <f aca="false">'4. Survival and stay'!$C$249*'4. Survival and stay'!C18</f>
        <v>12.6868538955756</v>
      </c>
      <c r="C18" s="17" t="n">
        <f aca="false">IF(A18&lt;'3. Assumptions'!$B$6/(52/12),'3. Assumptions'!$B$5*MIN(1,'3. Assumptions'!$B$6/(52/12)-A18),0)</f>
        <v>0</v>
      </c>
      <c r="D18" s="17" t="n">
        <f aca="false">MIN((1-C18)*(1+'4. Survival and stay'!E18),'3. Assumptions'!$B$10)</f>
        <v>1.170724</v>
      </c>
      <c r="E18" s="12" t="n">
        <f aca="false">B18*'2. The tape'!$B$15*'2. The tape'!$D$11*D18/12</f>
        <v>2374.0025969691</v>
      </c>
    </row>
    <row r="19" customFormat="false" ht="15" hidden="false" customHeight="false" outlineLevel="0" collapsed="false">
      <c r="A19" s="0" t="n">
        <v>14</v>
      </c>
      <c r="B19" s="33" t="n">
        <f aca="false">'4. Survival and stay'!$C$249*'4. Survival and stay'!C19</f>
        <v>11.8431781115198</v>
      </c>
      <c r="C19" s="17" t="n">
        <f aca="false">IF(A19&lt;'3. Assumptions'!$B$6/(52/12),'3. Assumptions'!$B$5*MIN(1,'3. Assumptions'!$B$6/(52/12)-A19),0)</f>
        <v>0</v>
      </c>
      <c r="D19" s="17" t="n">
        <f aca="false">MIN((1-C19)*(1+'4. Survival and stay'!E19),'3. Assumptions'!$B$10)</f>
        <v>1.170724</v>
      </c>
      <c r="E19" s="12" t="n">
        <f aca="false">B19*'2. The tape'!$B$15*'2. The tape'!$D$11*D19/12</f>
        <v>2216.13142427065</v>
      </c>
    </row>
    <row r="20" customFormat="false" ht="15" hidden="false" customHeight="false" outlineLevel="0" collapsed="false">
      <c r="A20" s="0" t="n">
        <v>15</v>
      </c>
      <c r="B20" s="33" t="n">
        <f aca="false">'4. Survival and stay'!$C$249*'4. Survival and stay'!C20</f>
        <v>11.0556067671038</v>
      </c>
      <c r="C20" s="17" t="n">
        <f aca="false">IF(A20&lt;'3. Assumptions'!$B$6/(52/12),'3. Assumptions'!$B$5*MIN(1,'3. Assumptions'!$B$6/(52/12)-A20),0)</f>
        <v>0</v>
      </c>
      <c r="D20" s="17" t="n">
        <f aca="false">MIN((1-C20)*(1+'4. Survival and stay'!E20),'3. Assumptions'!$B$10)</f>
        <v>1.170724</v>
      </c>
      <c r="E20" s="12" t="n">
        <f aca="false">B20*'2. The tape'!$B$15*'2. The tape'!$D$11*D20/12</f>
        <v>2068.75868455665</v>
      </c>
    </row>
    <row r="21" customFormat="false" ht="15" hidden="false" customHeight="false" outlineLevel="0" collapsed="false">
      <c r="A21" s="0" t="n">
        <v>16</v>
      </c>
      <c r="B21" s="33" t="n">
        <f aca="false">'4. Survival and stay'!$C$249*'4. Survival and stay'!C21</f>
        <v>10.3204089170914</v>
      </c>
      <c r="C21" s="17" t="n">
        <f aca="false">IF(A21&lt;'3. Assumptions'!$B$6/(52/12),'3. Assumptions'!$B$5*MIN(1,'3. Assumptions'!$B$6/(52/12)-A21),0)</f>
        <v>0</v>
      </c>
      <c r="D21" s="17" t="n">
        <f aca="false">MIN((1-C21)*(1+'4. Survival and stay'!E21),'3. Assumptions'!$B$10)</f>
        <v>1.170724</v>
      </c>
      <c r="E21" s="12" t="n">
        <f aca="false">B21*'2. The tape'!$B$15*'2. The tape'!$D$11*D21/12</f>
        <v>1931.18623203364</v>
      </c>
    </row>
    <row r="22" customFormat="false" ht="15" hidden="false" customHeight="false" outlineLevel="0" collapsed="false">
      <c r="A22" s="0" t="n">
        <v>17</v>
      </c>
      <c r="B22" s="33" t="n">
        <f aca="false">'4. Survival and stay'!$C$249*'4. Survival and stay'!C22</f>
        <v>9.63410172410479</v>
      </c>
      <c r="C22" s="17" t="n">
        <f aca="false">IF(A22&lt;'3. Assumptions'!$B$6/(52/12),'3. Assumptions'!$B$5*MIN(1,'3. Assumptions'!$B$6/(52/12)-A22),0)</f>
        <v>0</v>
      </c>
      <c r="D22" s="17" t="n">
        <f aca="false">MIN((1-C22)*(1+'4. Survival and stay'!E22),'3. Assumptions'!$B$10)</f>
        <v>1.266723368</v>
      </c>
      <c r="E22" s="12" t="n">
        <f aca="false">B22*'2. The tape'!$B$15*'2. The tape'!$D$11*D22/12</f>
        <v>1950.58886010688</v>
      </c>
    </row>
    <row r="23" customFormat="false" ht="15" hidden="false" customHeight="false" outlineLevel="0" collapsed="false">
      <c r="A23" s="0" t="n">
        <v>18</v>
      </c>
      <c r="B23" s="33" t="n">
        <f aca="false">'4. Survival and stay'!$C$249*'4. Survival and stay'!C23</f>
        <v>8.70441090772868</v>
      </c>
      <c r="C23" s="17" t="n">
        <f aca="false">IF(A23&lt;'3. Assumptions'!$B$6/(52/12),'3. Assumptions'!$B$5*MIN(1,'3. Assumptions'!$B$6/(52/12)-A23),0)</f>
        <v>0</v>
      </c>
      <c r="D23" s="17" t="n">
        <f aca="false">MIN((1-C23)*(1+'4. Survival and stay'!E23),'3. Assumptions'!$B$10)</f>
        <v>1.266723368</v>
      </c>
      <c r="E23" s="12" t="n">
        <f aca="false">B23*'2. The tape'!$B$15*'2. The tape'!$D$11*D23/12</f>
        <v>1762.35703510656</v>
      </c>
    </row>
    <row r="24" customFormat="false" ht="15" hidden="false" customHeight="false" outlineLevel="0" collapsed="false">
      <c r="A24" s="0" t="n">
        <v>19</v>
      </c>
      <c r="B24" s="33" t="n">
        <f aca="false">'4. Survival and stay'!$C$249*'4. Survival and stay'!C24</f>
        <v>8.12556758236472</v>
      </c>
      <c r="C24" s="17" t="n">
        <f aca="false">IF(A24&lt;'3. Assumptions'!$B$6/(52/12),'3. Assumptions'!$B$5*MIN(1,'3. Assumptions'!$B$6/(52/12)-A24),0)</f>
        <v>0</v>
      </c>
      <c r="D24" s="17" t="n">
        <f aca="false">MIN((1-C24)*(1+'4. Survival and stay'!E24),'3. Assumptions'!$B$10)</f>
        <v>1.266723368</v>
      </c>
      <c r="E24" s="12" t="n">
        <f aca="false">B24*'2. The tape'!$B$15*'2. The tape'!$D$11*D24/12</f>
        <v>1645.16029227198</v>
      </c>
    </row>
    <row r="25" customFormat="false" ht="15" hidden="false" customHeight="false" outlineLevel="0" collapsed="false">
      <c r="A25" s="0" t="n">
        <v>20</v>
      </c>
      <c r="B25" s="33" t="n">
        <f aca="false">'4. Survival and stay'!$C$249*'4. Survival and stay'!C25</f>
        <v>7.58521733813747</v>
      </c>
      <c r="C25" s="17" t="n">
        <f aca="false">IF(A25&lt;'3. Assumptions'!$B$6/(52/12),'3. Assumptions'!$B$5*MIN(1,'3. Assumptions'!$B$6/(52/12)-A25),0)</f>
        <v>0</v>
      </c>
      <c r="D25" s="17" t="n">
        <f aca="false">MIN((1-C25)*(1+'4. Survival and stay'!E25),'3. Assumptions'!$B$10)</f>
        <v>1.266723368</v>
      </c>
      <c r="E25" s="12" t="n">
        <f aca="false">B25*'2. The tape'!$B$15*'2. The tape'!$D$11*D25/12</f>
        <v>1535.75713283589</v>
      </c>
    </row>
    <row r="26" customFormat="false" ht="15" hidden="false" customHeight="false" outlineLevel="0" collapsed="false">
      <c r="A26" s="0" t="n">
        <v>21</v>
      </c>
      <c r="B26" s="33" t="n">
        <f aca="false">'4. Survival and stay'!$C$249*'4. Survival and stay'!C26</f>
        <v>7.08080038515133</v>
      </c>
      <c r="C26" s="17" t="n">
        <f aca="false">IF(A26&lt;'3. Assumptions'!$B$6/(52/12),'3. Assumptions'!$B$5*MIN(1,'3. Assumptions'!$B$6/(52/12)-A26),0)</f>
        <v>0</v>
      </c>
      <c r="D26" s="17" t="n">
        <f aca="false">MIN((1-C26)*(1+'4. Survival and stay'!E26),'3. Assumptions'!$B$10)</f>
        <v>1.266723368</v>
      </c>
      <c r="E26" s="12" t="n">
        <f aca="false">B26*'2. The tape'!$B$15*'2. The tape'!$D$11*D26/12</f>
        <v>1433.6292835023</v>
      </c>
    </row>
    <row r="27" customFormat="false" ht="15" hidden="false" customHeight="false" outlineLevel="0" collapsed="false">
      <c r="A27" s="0" t="n">
        <v>22</v>
      </c>
      <c r="B27" s="33" t="n">
        <f aca="false">'4. Survival and stay'!$C$249*'4. Survival and stay'!C27</f>
        <v>6.60992715953876</v>
      </c>
      <c r="C27" s="17" t="n">
        <f aca="false">IF(A27&lt;'3. Assumptions'!$B$6/(52/12),'3. Assumptions'!$B$5*MIN(1,'3. Assumptions'!$B$6/(52/12)-A27),0)</f>
        <v>0</v>
      </c>
      <c r="D27" s="17" t="n">
        <f aca="false">MIN((1-C27)*(1+'4. Survival and stay'!E27),'3. Assumptions'!$B$10)</f>
        <v>1.266723368</v>
      </c>
      <c r="E27" s="12" t="n">
        <f aca="false">B27*'2. The tape'!$B$15*'2. The tape'!$D$11*D27/12</f>
        <v>1338.2929361494</v>
      </c>
    </row>
    <row r="28" customFormat="false" ht="15" hidden="false" customHeight="false" outlineLevel="0" collapsed="false">
      <c r="A28" s="0" t="n">
        <v>23</v>
      </c>
      <c r="B28" s="33" t="n">
        <f aca="false">'4. Survival and stay'!$C$249*'4. Survival and stay'!C28</f>
        <v>6.17036700342944</v>
      </c>
      <c r="C28" s="17" t="n">
        <f aca="false">IF(A28&lt;'3. Assumptions'!$B$6/(52/12),'3. Assumptions'!$B$5*MIN(1,'3. Assumptions'!$B$6/(52/12)-A28),0)</f>
        <v>0</v>
      </c>
      <c r="D28" s="17" t="n">
        <f aca="false">MIN((1-C28)*(1+'4. Survival and stay'!E28),'3. Assumptions'!$B$10)</f>
        <v>1.370594684176</v>
      </c>
      <c r="E28" s="12" t="n">
        <f aca="false">B28*'2. The tape'!$B$15*'2. The tape'!$D$11*D28/12</f>
        <v>1351.73876527889</v>
      </c>
    </row>
    <row r="29" customFormat="false" ht="15" hidden="false" customHeight="false" outlineLevel="0" collapsed="false">
      <c r="A29" s="0" t="n">
        <v>24</v>
      </c>
      <c r="B29" s="33" t="n">
        <f aca="false">'4. Survival and stay'!$C$249*'4. Survival and stay'!C29</f>
        <v>5.5749265875985</v>
      </c>
      <c r="C29" s="17" t="n">
        <f aca="false">IF(A29&lt;'3. Assumptions'!$B$6/(52/12),'3. Assumptions'!$B$5*MIN(1,'3. Assumptions'!$B$6/(52/12)-A29),0)</f>
        <v>0</v>
      </c>
      <c r="D29" s="17" t="n">
        <f aca="false">MIN((1-C29)*(1+'4. Survival and stay'!E29),'3. Assumptions'!$B$10)</f>
        <v>1.370594684176</v>
      </c>
      <c r="E29" s="12" t="n">
        <f aca="false">B29*'2. The tape'!$B$15*'2. The tape'!$D$11*D29/12</f>
        <v>1221.29597442948</v>
      </c>
    </row>
    <row r="30" customFormat="false" ht="15" hidden="false" customHeight="false" outlineLevel="0" collapsed="false">
      <c r="A30" s="0" t="n">
        <v>25</v>
      </c>
      <c r="B30" s="33" t="n">
        <f aca="false">'4. Survival and stay'!$C$249*'4. Survival and stay'!C30</f>
        <v>5.2041939695232</v>
      </c>
      <c r="C30" s="17" t="n">
        <f aca="false">IF(A30&lt;'3. Assumptions'!$B$6/(52/12),'3. Assumptions'!$B$5*MIN(1,'3. Assumptions'!$B$6/(52/12)-A30),0)</f>
        <v>0</v>
      </c>
      <c r="D30" s="17" t="n">
        <f aca="false">MIN((1-C30)*(1+'4. Survival and stay'!E30),'3. Assumptions'!$B$10)</f>
        <v>1.370594684176</v>
      </c>
      <c r="E30" s="12" t="n">
        <f aca="false">B30*'2. The tape'!$B$15*'2. The tape'!$D$11*D30/12</f>
        <v>1140.07979212992</v>
      </c>
    </row>
    <row r="31" customFormat="false" ht="15" hidden="false" customHeight="false" outlineLevel="0" collapsed="false">
      <c r="A31" s="0" t="n">
        <v>26</v>
      </c>
      <c r="B31" s="33" t="n">
        <f aca="false">'4. Survival and stay'!$C$249*'4. Survival and stay'!C31</f>
        <v>4.8581150705499</v>
      </c>
      <c r="C31" s="17" t="n">
        <f aca="false">IF(A31&lt;'3. Assumptions'!$B$6/(52/12),'3. Assumptions'!$B$5*MIN(1,'3. Assumptions'!$B$6/(52/12)-A31),0)</f>
        <v>0</v>
      </c>
      <c r="D31" s="17" t="n">
        <f aca="false">MIN((1-C31)*(1+'4. Survival and stay'!E31),'3. Assumptions'!$B$10)</f>
        <v>1.370594684176</v>
      </c>
      <c r="E31" s="12" t="n">
        <f aca="false">B31*'2. The tape'!$B$15*'2. The tape'!$D$11*D31/12</f>
        <v>1064.26448595328</v>
      </c>
    </row>
    <row r="32" customFormat="false" ht="15" hidden="false" customHeight="false" outlineLevel="0" collapsed="false">
      <c r="A32" s="0" t="n">
        <v>27</v>
      </c>
      <c r="B32" s="33" t="n">
        <f aca="false">'4. Survival and stay'!$C$249*'4. Survival and stay'!C32</f>
        <v>4.53505041835833</v>
      </c>
      <c r="C32" s="17" t="n">
        <f aca="false">IF(A32&lt;'3. Assumptions'!$B$6/(52/12),'3. Assumptions'!$B$5*MIN(1,'3. Assumptions'!$B$6/(52/12)-A32),0)</f>
        <v>0</v>
      </c>
      <c r="D32" s="17" t="n">
        <f aca="false">MIN((1-C32)*(1+'4. Survival and stay'!E32),'3. Assumptions'!$B$10)</f>
        <v>1.370594684176</v>
      </c>
      <c r="E32" s="12" t="n">
        <f aca="false">B32*'2. The tape'!$B$15*'2. The tape'!$D$11*D32/12</f>
        <v>993.490897637388</v>
      </c>
    </row>
    <row r="33" customFormat="false" ht="15" hidden="false" customHeight="false" outlineLevel="0" collapsed="false">
      <c r="A33" s="0" t="n">
        <v>28</v>
      </c>
      <c r="B33" s="33" t="n">
        <f aca="false">'4. Survival and stay'!$C$249*'4. Survival and stay'!C33</f>
        <v>4.2334695655375</v>
      </c>
      <c r="C33" s="17" t="n">
        <f aca="false">IF(A33&lt;'3. Assumptions'!$B$6/(52/12),'3. Assumptions'!$B$5*MIN(1,'3. Assumptions'!$B$6/(52/12)-A33),0)</f>
        <v>0</v>
      </c>
      <c r="D33" s="17" t="n">
        <f aca="false">MIN((1-C33)*(1+'4. Survival and stay'!E33),'3. Assumptions'!$B$10)</f>
        <v>1.370594684176</v>
      </c>
      <c r="E33" s="12" t="n">
        <f aca="false">B33*'2. The tape'!$B$15*'2. The tape'!$D$11*D33/12</f>
        <v>927.423752944501</v>
      </c>
    </row>
    <row r="34" customFormat="false" ht="15" hidden="false" customHeight="false" outlineLevel="0" collapsed="false">
      <c r="A34" s="0" t="n">
        <v>29</v>
      </c>
      <c r="B34" s="33" t="n">
        <f aca="false">'4. Survival and stay'!$C$249*'4. Survival and stay'!C34</f>
        <v>3.95194383942926</v>
      </c>
      <c r="C34" s="17" t="n">
        <f aca="false">IF(A34&lt;'3. Assumptions'!$B$6/(52/12),'3. Assumptions'!$B$5*MIN(1,'3. Assumptions'!$B$6/(52/12)-A34),0)</f>
        <v>0</v>
      </c>
      <c r="D34" s="17" t="n">
        <f aca="false">MIN((1-C34)*(1+'4. Survival and stay'!E34),'3. Assumptions'!$B$10)</f>
        <v>1.48298344827843</v>
      </c>
      <c r="E34" s="12" t="n">
        <f aca="false">B34*'2. The tape'!$B$15*'2. The tape'!$D$11*D34/12</f>
        <v>936.741579390335</v>
      </c>
    </row>
    <row r="35" customFormat="false" ht="15" hidden="false" customHeight="false" outlineLevel="0" collapsed="false">
      <c r="A35" s="0" t="n">
        <v>30</v>
      </c>
      <c r="B35" s="33" t="n">
        <f aca="false">'4. Survival and stay'!$C$249*'4. Survival and stay'!C35</f>
        <v>3.57058125892434</v>
      </c>
      <c r="C35" s="17" t="n">
        <f aca="false">IF(A35&lt;'3. Assumptions'!$B$6/(52/12),'3. Assumptions'!$B$5*MIN(1,'3. Assumptions'!$B$6/(52/12)-A35),0)</f>
        <v>0</v>
      </c>
      <c r="D35" s="17" t="n">
        <f aca="false">MIN((1-C35)*(1+'4. Survival and stay'!E35),'3. Assumptions'!$B$10)</f>
        <v>1.48298344827843</v>
      </c>
      <c r="E35" s="12" t="n">
        <f aca="false">B35*'2. The tape'!$B$15*'2. The tape'!$D$11*D35/12</f>
        <v>846.346016979167</v>
      </c>
    </row>
    <row r="36" customFormat="false" ht="15" hidden="false" customHeight="false" outlineLevel="0" collapsed="false">
      <c r="A36" s="0" t="n">
        <v>31</v>
      </c>
      <c r="B36" s="33" t="n">
        <f aca="false">'4. Survival and stay'!$C$249*'4. Survival and stay'!C36</f>
        <v>3.33313760520587</v>
      </c>
      <c r="C36" s="17" t="n">
        <f aca="false">IF(A36&lt;'3. Assumptions'!$B$6/(52/12),'3. Assumptions'!$B$5*MIN(1,'3. Assumptions'!$B$6/(52/12)-A36),0)</f>
        <v>0</v>
      </c>
      <c r="D36" s="17" t="n">
        <f aca="false">MIN((1-C36)*(1+'4. Survival and stay'!E36),'3. Assumptions'!$B$10)</f>
        <v>1.48298344827843</v>
      </c>
      <c r="E36" s="12" t="n">
        <f aca="false">B36*'2. The tape'!$B$15*'2. The tape'!$D$11*D36/12</f>
        <v>790.064006850053</v>
      </c>
    </row>
    <row r="37" customFormat="false" ht="15" hidden="false" customHeight="false" outlineLevel="0" collapsed="false">
      <c r="A37" s="0" t="n">
        <v>32</v>
      </c>
      <c r="B37" s="33" t="n">
        <f aca="false">'4. Survival and stay'!$C$249*'4. Survival and stay'!C37</f>
        <v>3.11148395445968</v>
      </c>
      <c r="C37" s="17" t="n">
        <f aca="false">IF(A37&lt;'3. Assumptions'!$B$6/(52/12),'3. Assumptions'!$B$5*MIN(1,'3. Assumptions'!$B$6/(52/12)-A37),0)</f>
        <v>0</v>
      </c>
      <c r="D37" s="17" t="n">
        <f aca="false">MIN((1-C37)*(1+'4. Survival and stay'!E37),'3. Assumptions'!$B$10)</f>
        <v>1.48298344827843</v>
      </c>
      <c r="E37" s="12" t="n">
        <f aca="false">B37*'2. The tape'!$B$15*'2. The tape'!$D$11*D37/12</f>
        <v>737.524750394524</v>
      </c>
    </row>
    <row r="38" customFormat="false" ht="15" hidden="false" customHeight="false" outlineLevel="0" collapsed="false">
      <c r="A38" s="0" t="n">
        <v>33</v>
      </c>
      <c r="B38" s="33" t="n">
        <f aca="false">'4. Survival and stay'!$C$249*'4. Survival and stay'!C38</f>
        <v>2.90457027148811</v>
      </c>
      <c r="C38" s="17" t="n">
        <f aca="false">IF(A38&lt;'3. Assumptions'!$B$6/(52/12),'3. Assumptions'!$B$5*MIN(1,'3. Assumptions'!$B$6/(52/12)-A38),0)</f>
        <v>0</v>
      </c>
      <c r="D38" s="17" t="n">
        <f aca="false">MIN((1-C38)*(1+'4. Survival and stay'!E38),'3. Assumptions'!$B$10)</f>
        <v>1.48298344827843</v>
      </c>
      <c r="E38" s="12" t="n">
        <f aca="false">B38*'2. The tape'!$B$15*'2. The tape'!$D$11*D38/12</f>
        <v>688.479354493288</v>
      </c>
    </row>
    <row r="39" customFormat="false" ht="15" hidden="false" customHeight="false" outlineLevel="0" collapsed="false">
      <c r="A39" s="0" t="n">
        <v>34</v>
      </c>
      <c r="B39" s="33" t="n">
        <f aca="false">'4. Survival and stay'!$C$249*'4. Survival and stay'!C39</f>
        <v>2.71141634843415</v>
      </c>
      <c r="C39" s="17" t="n">
        <f aca="false">IF(A39&lt;'3. Assumptions'!$B$6/(52/12),'3. Assumptions'!$B$5*MIN(1,'3. Assumptions'!$B$6/(52/12)-A39),0)</f>
        <v>0</v>
      </c>
      <c r="D39" s="17" t="n">
        <f aca="false">MIN((1-C39)*(1+'4. Survival and stay'!E39),'3. Assumptions'!$B$10)</f>
        <v>1.48298344827843</v>
      </c>
      <c r="E39" s="12" t="n">
        <f aca="false">B39*'2. The tape'!$B$15*'2. The tape'!$D$11*D39/12</f>
        <v>642.695477419485</v>
      </c>
    </row>
    <row r="40" customFormat="false" ht="15" hidden="false" customHeight="false" outlineLevel="0" collapsed="false">
      <c r="A40" s="0" t="n">
        <v>35</v>
      </c>
      <c r="B40" s="33" t="n">
        <f aca="false">'4. Survival and stay'!$C$249*'4. Survival and stay'!C40</f>
        <v>2.53110716126328</v>
      </c>
      <c r="C40" s="17" t="n">
        <f aca="false">IF(A40&lt;'3. Assumptions'!$B$6/(52/12),'3. Assumptions'!$B$5*MIN(1,'3. Assumptions'!$B$6/(52/12)-A40),0)</f>
        <v>0</v>
      </c>
      <c r="D40" s="17" t="n">
        <f aca="false">MIN((1-C40)*(1+'4. Survival and stay'!E40),'3. Assumptions'!$B$10)</f>
        <v>1.60458809103726</v>
      </c>
      <c r="E40" s="12" t="n">
        <f aca="false">B40*'2. The tape'!$B$15*'2. The tape'!$D$11*D40/12</f>
        <v>649.152638881118</v>
      </c>
    </row>
    <row r="41" customFormat="false" ht="15" hidden="false" customHeight="false" outlineLevel="0" collapsed="false">
      <c r="A41" s="0" t="n">
        <v>36</v>
      </c>
      <c r="B41" s="33" t="n">
        <f aca="false">'4. Survival and stay'!$C$249*'4. Survival and stay'!C41</f>
        <v>2.28685532020137</v>
      </c>
      <c r="C41" s="17" t="n">
        <f aca="false">IF(A41&lt;'3. Assumptions'!$B$6/(52/12),'3. Assumptions'!$B$5*MIN(1,'3. Assumptions'!$B$6/(52/12)-A41),0)</f>
        <v>0</v>
      </c>
      <c r="D41" s="17" t="n">
        <f aca="false">MIN((1-C41)*(1+'4. Survival and stay'!E41),'3. Assumptions'!$B$10)</f>
        <v>1.60458809103726</v>
      </c>
      <c r="E41" s="12" t="n">
        <f aca="false">B41*'2. The tape'!$B$15*'2. The tape'!$D$11*D41/12</f>
        <v>586.509409229091</v>
      </c>
    </row>
    <row r="42" customFormat="false" ht="15" hidden="false" customHeight="false" outlineLevel="0" collapsed="false">
      <c r="A42" s="0" t="n">
        <v>37</v>
      </c>
      <c r="B42" s="33" t="n">
        <f aca="false">'4. Survival and stay'!$C$249*'4. Survival and stay'!C42</f>
        <v>2.13477944140798</v>
      </c>
      <c r="C42" s="17" t="n">
        <f aca="false">IF(A42&lt;'3. Assumptions'!$B$6/(52/12),'3. Assumptions'!$B$5*MIN(1,'3. Assumptions'!$B$6/(52/12)-A42),0)</f>
        <v>0</v>
      </c>
      <c r="D42" s="17" t="n">
        <f aca="false">MIN((1-C42)*(1+'4. Survival and stay'!E42),'3. Assumptions'!$B$10)</f>
        <v>1.60458809103726</v>
      </c>
      <c r="E42" s="12" t="n">
        <f aca="false">B42*'2. The tape'!$B$15*'2. The tape'!$D$11*D42/12</f>
        <v>547.506533515356</v>
      </c>
    </row>
    <row r="43" customFormat="false" ht="15" hidden="false" customHeight="false" outlineLevel="0" collapsed="false">
      <c r="A43" s="0" t="n">
        <v>38</v>
      </c>
      <c r="B43" s="33" t="n">
        <f aca="false">'4. Survival and stay'!$C$249*'4. Survival and stay'!C43</f>
        <v>1.99281660855435</v>
      </c>
      <c r="C43" s="17" t="n">
        <f aca="false">IF(A43&lt;'3. Assumptions'!$B$6/(52/12),'3. Assumptions'!$B$5*MIN(1,'3. Assumptions'!$B$6/(52/12)-A43),0)</f>
        <v>0</v>
      </c>
      <c r="D43" s="17" t="n">
        <f aca="false">MIN((1-C43)*(1+'4. Survival and stay'!E43),'3. Assumptions'!$B$10)</f>
        <v>1.60458809103726</v>
      </c>
      <c r="E43" s="12" t="n">
        <f aca="false">B43*'2. The tape'!$B$15*'2. The tape'!$D$11*D43/12</f>
        <v>511.097349036585</v>
      </c>
    </row>
    <row r="44" customFormat="false" ht="15" hidden="false" customHeight="false" outlineLevel="0" collapsed="false">
      <c r="A44" s="0" t="n">
        <v>39</v>
      </c>
      <c r="B44" s="33" t="n">
        <f aca="false">'4. Survival and stay'!$C$249*'4. Survival and stay'!C44</f>
        <v>1.86029430408549</v>
      </c>
      <c r="C44" s="17" t="n">
        <f aca="false">IF(A44&lt;'3. Assumptions'!$B$6/(52/12),'3. Assumptions'!$B$5*MIN(1,'3. Assumptions'!$B$6/(52/12)-A44),0)</f>
        <v>0</v>
      </c>
      <c r="D44" s="17" t="n">
        <f aca="false">MIN((1-C44)*(1+'4. Survival and stay'!E44),'3. Assumptions'!$B$10)</f>
        <v>1.60458809103726</v>
      </c>
      <c r="E44" s="12" t="n">
        <f aca="false">B44*'2. The tape'!$B$15*'2. The tape'!$D$11*D44/12</f>
        <v>477.109375325652</v>
      </c>
    </row>
    <row r="45" customFormat="false" ht="15" hidden="false" customHeight="false" outlineLevel="0" collapsed="false">
      <c r="A45" s="0" t="n">
        <v>40</v>
      </c>
      <c r="B45" s="33" t="n">
        <f aca="false">'4. Survival and stay'!$C$249*'4. Survival and stay'!C45</f>
        <v>1.7365847328638</v>
      </c>
      <c r="C45" s="17" t="n">
        <f aca="false">IF(A45&lt;'3. Assumptions'!$B$6/(52/12),'3. Assumptions'!$B$5*MIN(1,'3. Assumptions'!$B$6/(52/12)-A45),0)</f>
        <v>0</v>
      </c>
      <c r="D45" s="17" t="n">
        <f aca="false">MIN((1-C45)*(1+'4. Survival and stay'!E45),'3. Assumptions'!$B$10)</f>
        <v>1.60458809103726</v>
      </c>
      <c r="E45" s="12" t="n">
        <f aca="false">B45*'2. The tape'!$B$15*'2. The tape'!$D$11*D45/12</f>
        <v>445.381601866496</v>
      </c>
    </row>
    <row r="46" customFormat="false" ht="15" hidden="false" customHeight="false" outlineLevel="0" collapsed="false">
      <c r="A46" s="0" t="n">
        <v>41</v>
      </c>
      <c r="B46" s="33" t="n">
        <f aca="false">'4. Survival and stay'!$C$249*'4. Survival and stay'!C46</f>
        <v>1.62110184812836</v>
      </c>
      <c r="C46" s="17" t="n">
        <f aca="false">IF(A46&lt;'3. Assumptions'!$B$6/(52/12),'3. Assumptions'!$B$5*MIN(1,'3. Assumptions'!$B$6/(52/12)-A46),0)</f>
        <v>0</v>
      </c>
      <c r="D46" s="17" t="n">
        <f aca="false">MIN((1-C46)*(1+'4. Survival and stay'!E46),'3. Assumptions'!$B$10)</f>
        <v>1.62</v>
      </c>
      <c r="E46" s="12" t="n">
        <f aca="false">B46*'2. The tape'!$B$15*'2. The tape'!$D$11*D46/12</f>
        <v>419.757094557051</v>
      </c>
    </row>
    <row r="47" customFormat="false" ht="15" hidden="false" customHeight="false" outlineLevel="0" collapsed="false">
      <c r="A47" s="0" t="n">
        <v>42</v>
      </c>
      <c r="B47" s="33" t="n">
        <f aca="false">'4. Survival and stay'!$C$249*'4. Survival and stay'!C47</f>
        <v>1.46466551978397</v>
      </c>
      <c r="C47" s="17" t="n">
        <f aca="false">IF(A47&lt;'3. Assumptions'!$B$6/(52/12),'3. Assumptions'!$B$5*MIN(1,'3. Assumptions'!$B$6/(52/12)-A47),0)</f>
        <v>0</v>
      </c>
      <c r="D47" s="17" t="n">
        <f aca="false">MIN((1-C47)*(1+'4. Survival and stay'!E47),'3. Assumptions'!$B$10)</f>
        <v>1.62</v>
      </c>
      <c r="E47" s="12" t="n">
        <f aca="false">B47*'2. The tape'!$B$15*'2. The tape'!$D$11*D47/12</f>
        <v>379.250534932295</v>
      </c>
    </row>
    <row r="48" customFormat="false" ht="15" hidden="false" customHeight="false" outlineLevel="0" collapsed="false">
      <c r="A48" s="0" t="n">
        <v>43</v>
      </c>
      <c r="B48" s="33" t="n">
        <f aca="false">'4. Survival and stay'!$C$249*'4. Survival and stay'!C48</f>
        <v>1.36726526271834</v>
      </c>
      <c r="C48" s="17" t="n">
        <f aca="false">IF(A48&lt;'3. Assumptions'!$B$6/(52/12),'3. Assumptions'!$B$5*MIN(1,'3. Assumptions'!$B$6/(52/12)-A48),0)</f>
        <v>0</v>
      </c>
      <c r="D48" s="17" t="n">
        <f aca="false">MIN((1-C48)*(1+'4. Survival and stay'!E48),'3. Assumptions'!$B$10)</f>
        <v>1.62</v>
      </c>
      <c r="E48" s="12" t="n">
        <f aca="false">B48*'2. The tape'!$B$15*'2. The tape'!$D$11*D48/12</f>
        <v>354.030374359297</v>
      </c>
    </row>
    <row r="49" customFormat="false" ht="15" hidden="false" customHeight="false" outlineLevel="0" collapsed="false">
      <c r="A49" s="0" t="n">
        <v>44</v>
      </c>
      <c r="B49" s="33" t="n">
        <f aca="false">'4. Survival and stay'!$C$249*'4. Survival and stay'!C49</f>
        <v>1.27634212274757</v>
      </c>
      <c r="C49" s="17" t="n">
        <f aca="false">IF(A49&lt;'3. Assumptions'!$B$6/(52/12),'3. Assumptions'!$B$5*MIN(1,'3. Assumptions'!$B$6/(52/12)-A49),0)</f>
        <v>0</v>
      </c>
      <c r="D49" s="17" t="n">
        <f aca="false">MIN((1-C49)*(1+'4. Survival and stay'!E49),'3. Assumptions'!$B$10)</f>
        <v>1.62</v>
      </c>
      <c r="E49" s="12" t="n">
        <f aca="false">B49*'2. The tape'!$B$15*'2. The tape'!$D$11*D49/12</f>
        <v>330.487354464404</v>
      </c>
    </row>
    <row r="50" customFormat="false" ht="15" hidden="false" customHeight="false" outlineLevel="0" collapsed="false">
      <c r="A50" s="0" t="n">
        <v>45</v>
      </c>
      <c r="B50" s="33" t="n">
        <f aca="false">'4. Survival and stay'!$C$249*'4. Survival and stay'!C50</f>
        <v>1.19146537158486</v>
      </c>
      <c r="C50" s="17" t="n">
        <f aca="false">IF(A50&lt;'3. Assumptions'!$B$6/(52/12),'3. Assumptions'!$B$5*MIN(1,'3. Assumptions'!$B$6/(52/12)-A50),0)</f>
        <v>0</v>
      </c>
      <c r="D50" s="17" t="n">
        <f aca="false">MIN((1-C50)*(1+'4. Survival and stay'!E50),'3. Assumptions'!$B$10)</f>
        <v>1.62</v>
      </c>
      <c r="E50" s="12" t="n">
        <f aca="false">B50*'2. The tape'!$B$15*'2. The tape'!$D$11*D50/12</f>
        <v>308.509945392521</v>
      </c>
    </row>
    <row r="51" customFormat="false" ht="15" hidden="false" customHeight="false" outlineLevel="0" collapsed="false">
      <c r="A51" s="0" t="n">
        <v>46</v>
      </c>
      <c r="B51" s="33" t="n">
        <f aca="false">'4. Survival and stay'!$C$249*'4. Survival and stay'!C51</f>
        <v>1.11223292437446</v>
      </c>
      <c r="C51" s="17" t="n">
        <f aca="false">IF(A51&lt;'3. Assumptions'!$B$6/(52/12),'3. Assumptions'!$B$5*MIN(1,'3. Assumptions'!$B$6/(52/12)-A51),0)</f>
        <v>0</v>
      </c>
      <c r="D51" s="17" t="n">
        <f aca="false">MIN((1-C51)*(1+'4. Survival and stay'!E51),'3. Assumptions'!$B$10)</f>
        <v>1.62</v>
      </c>
      <c r="E51" s="12" t="n">
        <f aca="false">B51*'2. The tape'!$B$15*'2. The tape'!$D$11*D51/12</f>
        <v>287.994034023919</v>
      </c>
    </row>
    <row r="52" customFormat="false" ht="15" hidden="false" customHeight="false" outlineLevel="0" collapsed="false">
      <c r="A52" s="0" t="n">
        <v>47</v>
      </c>
      <c r="B52" s="33" t="n">
        <f aca="false">'4. Survival and stay'!$C$249*'4. Survival and stay'!C52</f>
        <v>1.03826943490356</v>
      </c>
      <c r="C52" s="17" t="n">
        <f aca="false">IF(A52&lt;'3. Assumptions'!$B$6/(52/12),'3. Assumptions'!$B$5*MIN(1,'3. Assumptions'!$B$6/(52/12)-A52),0)</f>
        <v>0</v>
      </c>
      <c r="D52" s="17" t="n">
        <f aca="false">MIN((1-C52)*(1+'4. Survival and stay'!E52),'3. Assumptions'!$B$10)</f>
        <v>1.62</v>
      </c>
      <c r="E52" s="12" t="n">
        <f aca="false">B52*'2. The tape'!$B$15*'2. The tape'!$D$11*D52/12</f>
        <v>268.842430761328</v>
      </c>
    </row>
    <row r="53" customFormat="false" ht="15" hidden="false" customHeight="false" outlineLevel="0" collapsed="false">
      <c r="A53" s="0" t="n">
        <v>48</v>
      </c>
      <c r="B53" s="33" t="n">
        <f aca="false">'4. Survival and stay'!$C$249*'4. Survival and stay'!C53</f>
        <v>0.938076434435367</v>
      </c>
      <c r="C53" s="17" t="n">
        <f aca="false">IF(A53&lt;'3. Assumptions'!$B$6/(52/12),'3. Assumptions'!$B$5*MIN(1,'3. Assumptions'!$B$6/(52/12)-A53),0)</f>
        <v>0</v>
      </c>
      <c r="D53" s="17" t="n">
        <f aca="false">MIN((1-C53)*(1+'4. Survival and stay'!E53),'3. Assumptions'!$B$10)</f>
        <v>1.62</v>
      </c>
      <c r="E53" s="12" t="n">
        <f aca="false">B53*'2. The tape'!$B$15*'2. The tape'!$D$11*D53/12</f>
        <v>242.89913619286</v>
      </c>
    </row>
    <row r="54" customFormat="false" ht="15" hidden="false" customHeight="false" outlineLevel="0" collapsed="false">
      <c r="A54" s="0" t="n">
        <v>49</v>
      </c>
      <c r="B54" s="33" t="n">
        <f aca="false">'4. Survival and stay'!$C$249*'4. Survival and stay'!C54</f>
        <v>0.875694351545415</v>
      </c>
      <c r="C54" s="17" t="n">
        <f aca="false">IF(A54&lt;'3. Assumptions'!$B$6/(52/12),'3. Assumptions'!$B$5*MIN(1,'3. Assumptions'!$B$6/(52/12)-A54),0)</f>
        <v>0</v>
      </c>
      <c r="D54" s="17" t="n">
        <f aca="false">MIN((1-C54)*(1+'4. Survival and stay'!E54),'3. Assumptions'!$B$10)</f>
        <v>1.62</v>
      </c>
      <c r="E54" s="12" t="n">
        <f aca="false">B54*'2. The tape'!$B$15*'2. The tape'!$D$11*D54/12</f>
        <v>226.746343636035</v>
      </c>
    </row>
    <row r="55" customFormat="false" ht="15" hidden="false" customHeight="false" outlineLevel="0" collapsed="false">
      <c r="A55" s="0" t="n">
        <v>50</v>
      </c>
      <c r="B55" s="33" t="n">
        <f aca="false">'4. Survival and stay'!$C$249*'4. Survival and stay'!C55</f>
        <v>0.817460677167645</v>
      </c>
      <c r="C55" s="17" t="n">
        <f aca="false">IF(A55&lt;'3. Assumptions'!$B$6/(52/12),'3. Assumptions'!$B$5*MIN(1,'3. Assumptions'!$B$6/(52/12)-A55),0)</f>
        <v>0</v>
      </c>
      <c r="D55" s="17" t="n">
        <f aca="false">MIN((1-C55)*(1+'4. Survival and stay'!E55),'3. Assumptions'!$B$10)</f>
        <v>1.62</v>
      </c>
      <c r="E55" s="12" t="n">
        <f aca="false">B55*'2. The tape'!$B$15*'2. The tape'!$D$11*D55/12</f>
        <v>211.667711784238</v>
      </c>
    </row>
    <row r="56" customFormat="false" ht="15" hidden="false" customHeight="false" outlineLevel="0" collapsed="false">
      <c r="A56" s="0" t="n">
        <v>51</v>
      </c>
      <c r="B56" s="33" t="n">
        <f aca="false">'4. Survival and stay'!$C$249*'4. Survival and stay'!C56</f>
        <v>0.763099542135996</v>
      </c>
      <c r="C56" s="17" t="n">
        <f aca="false">IF(A56&lt;'3. Assumptions'!$B$6/(52/12),'3. Assumptions'!$B$5*MIN(1,'3. Assumptions'!$B$6/(52/12)-A56),0)</f>
        <v>0</v>
      </c>
      <c r="D56" s="17" t="n">
        <f aca="false">MIN((1-C56)*(1+'4. Survival and stay'!E56),'3. Assumptions'!$B$10)</f>
        <v>1.62</v>
      </c>
      <c r="E56" s="12" t="n">
        <f aca="false">B56*'2. The tape'!$B$15*'2. The tape'!$D$11*D56/12</f>
        <v>197.591808950587</v>
      </c>
    </row>
    <row r="57" customFormat="false" ht="15" hidden="false" customHeight="false" outlineLevel="0" collapsed="false">
      <c r="A57" s="0" t="n">
        <v>52</v>
      </c>
      <c r="B57" s="33" t="n">
        <f aca="false">'4. Survival and stay'!$C$249*'4. Survival and stay'!C57</f>
        <v>0.712353422583953</v>
      </c>
      <c r="C57" s="17" t="n">
        <f aca="false">IF(A57&lt;'3. Assumptions'!$B$6/(52/12),'3. Assumptions'!$B$5*MIN(1,'3. Assumptions'!$B$6/(52/12)-A57),0)</f>
        <v>0</v>
      </c>
      <c r="D57" s="17" t="n">
        <f aca="false">MIN((1-C57)*(1+'4. Survival and stay'!E57),'3. Assumptions'!$B$10)</f>
        <v>1.62</v>
      </c>
      <c r="E57" s="12" t="n">
        <f aca="false">B57*'2. The tape'!$B$15*'2. The tape'!$D$11*D57/12</f>
        <v>184.451953655372</v>
      </c>
    </row>
    <row r="58" customFormat="false" ht="15" hidden="false" customHeight="false" outlineLevel="0" collapsed="false">
      <c r="A58" s="0" t="n">
        <v>53</v>
      </c>
      <c r="B58" s="33" t="n">
        <f aca="false">'4. Survival and stay'!$C$249*'4. Survival and stay'!C58</f>
        <v>0.66498191998212</v>
      </c>
      <c r="C58" s="17" t="n">
        <f aca="false">IF(A58&lt;'3. Assumptions'!$B$6/(52/12),'3. Assumptions'!$B$5*MIN(1,'3. Assumptions'!$B$6/(52/12)-A58),0)</f>
        <v>0</v>
      </c>
      <c r="D58" s="17" t="n">
        <f aca="false">MIN((1-C58)*(1+'4. Survival and stay'!E58),'3. Assumptions'!$B$10)</f>
        <v>1.62</v>
      </c>
      <c r="E58" s="12" t="n">
        <f aca="false">B58*'2. The tape'!$B$15*'2. The tape'!$D$11*D58/12</f>
        <v>172.18589873729</v>
      </c>
    </row>
    <row r="59" customFormat="false" ht="15" hidden="false" customHeight="false" outlineLevel="0" collapsed="false">
      <c r="A59" s="0" t="n">
        <v>54</v>
      </c>
      <c r="B59" s="33" t="n">
        <f aca="false">'4. Survival and stay'!$C$249*'4. Survival and stay'!C59</f>
        <v>0.600811164703845</v>
      </c>
      <c r="C59" s="17" t="n">
        <f aca="false">IF(A59&lt;'3. Assumptions'!$B$6/(52/12),'3. Assumptions'!$B$5*MIN(1,'3. Assumptions'!$B$6/(52/12)-A59),0)</f>
        <v>0</v>
      </c>
      <c r="D59" s="17" t="n">
        <f aca="false">MIN((1-C59)*(1+'4. Survival and stay'!E59),'3. Assumptions'!$B$10)</f>
        <v>1.62</v>
      </c>
      <c r="E59" s="12" t="n">
        <f aca="false">B59*'2. The tape'!$B$15*'2. The tape'!$D$11*D59/12</f>
        <v>155.569959509142</v>
      </c>
    </row>
    <row r="60" customFormat="false" ht="15" hidden="false" customHeight="false" outlineLevel="0" collapsed="false">
      <c r="A60" s="0" t="n">
        <v>55</v>
      </c>
      <c r="B60" s="33" t="n">
        <f aca="false">'4. Survival and stay'!$C$249*'4. Survival and stay'!C60</f>
        <v>0.560857222251039</v>
      </c>
      <c r="C60" s="17" t="n">
        <f aca="false">IF(A60&lt;'3. Assumptions'!$B$6/(52/12),'3. Assumptions'!$B$5*MIN(1,'3. Assumptions'!$B$6/(52/12)-A60),0)</f>
        <v>0</v>
      </c>
      <c r="D60" s="17" t="n">
        <f aca="false">MIN((1-C60)*(1+'4. Survival and stay'!E60),'3. Assumptions'!$B$10)</f>
        <v>1.62</v>
      </c>
      <c r="E60" s="12" t="n">
        <f aca="false">B60*'2. The tape'!$B$15*'2. The tape'!$D$11*D60/12</f>
        <v>145.224557201784</v>
      </c>
    </row>
    <row r="61" customFormat="false" ht="15" hidden="false" customHeight="false" outlineLevel="0" collapsed="false">
      <c r="A61" s="0" t="n">
        <v>56</v>
      </c>
      <c r="B61" s="33" t="n">
        <f aca="false">'4. Survival and stay'!$C$249*'4. Survival and stay'!C61</f>
        <v>0.523560216971345</v>
      </c>
      <c r="C61" s="17" t="n">
        <f aca="false">IF(A61&lt;'3. Assumptions'!$B$6/(52/12),'3. Assumptions'!$B$5*MIN(1,'3. Assumptions'!$B$6/(52/12)-A61),0)</f>
        <v>0</v>
      </c>
      <c r="D61" s="17" t="n">
        <f aca="false">MIN((1-C61)*(1+'4. Survival and stay'!E61),'3. Assumptions'!$B$10)</f>
        <v>1.62</v>
      </c>
      <c r="E61" s="12" t="n">
        <f aca="false">B61*'2. The tape'!$B$15*'2. The tape'!$D$11*D61/12</f>
        <v>135.567124147865</v>
      </c>
    </row>
    <row r="62" customFormat="false" ht="15" hidden="false" customHeight="false" outlineLevel="0" collapsed="false">
      <c r="A62" s="0" t="n">
        <v>57</v>
      </c>
      <c r="B62" s="33" t="n">
        <f aca="false">'4. Survival and stay'!$C$249*'4. Survival and stay'!C62</f>
        <v>0.488743462542751</v>
      </c>
      <c r="C62" s="17" t="n">
        <f aca="false">IF(A62&lt;'3. Assumptions'!$B$6/(52/12),'3. Assumptions'!$B$5*MIN(1,'3. Assumptions'!$B$6/(52/12)-A62),0)</f>
        <v>0</v>
      </c>
      <c r="D62" s="17" t="n">
        <f aca="false">MIN((1-C62)*(1+'4. Survival and stay'!E62),'3. Assumptions'!$B$10)</f>
        <v>1.62</v>
      </c>
      <c r="E62" s="12" t="n">
        <f aca="false">B62*'2. The tape'!$B$15*'2. The tape'!$D$11*D62/12</f>
        <v>126.551910392032</v>
      </c>
    </row>
    <row r="63" customFormat="false" ht="15" hidden="false" customHeight="false" outlineLevel="0" collapsed="false">
      <c r="A63" s="0" t="n">
        <v>58</v>
      </c>
      <c r="B63" s="33" t="n">
        <f aca="false">'4. Survival and stay'!$C$249*'4. Survival and stay'!C63</f>
        <v>0.456242022283658</v>
      </c>
      <c r="C63" s="17" t="n">
        <f aca="false">IF(A63&lt;'3. Assumptions'!$B$6/(52/12),'3. Assumptions'!$B$5*MIN(1,'3. Assumptions'!$B$6/(52/12)-A63),0)</f>
        <v>0</v>
      </c>
      <c r="D63" s="17" t="n">
        <f aca="false">MIN((1-C63)*(1+'4. Survival and stay'!E63),'3. Assumptions'!$B$10)</f>
        <v>1.62</v>
      </c>
      <c r="E63" s="12" t="n">
        <f aca="false">B63*'2. The tape'!$B$15*'2. The tape'!$D$11*D63/12</f>
        <v>118.136208350962</v>
      </c>
    </row>
    <row r="64" customFormat="false" ht="15" hidden="false" customHeight="false" outlineLevel="0" collapsed="false">
      <c r="A64" s="0" t="n">
        <v>59</v>
      </c>
      <c r="B64" s="33" t="n">
        <f aca="false">'4. Survival and stay'!$C$249*'4. Survival and stay'!C64</f>
        <v>0.425901927801795</v>
      </c>
      <c r="C64" s="17" t="n">
        <f aca="false">IF(A64&lt;'3. Assumptions'!$B$6/(52/12),'3. Assumptions'!$B$5*MIN(1,'3. Assumptions'!$B$6/(52/12)-A64),0)</f>
        <v>0</v>
      </c>
      <c r="D64" s="17" t="n">
        <f aca="false">MIN((1-C64)*(1+'4. Survival and stay'!E64),'3. Assumptions'!$B$10)</f>
        <v>1.62</v>
      </c>
      <c r="E64" s="12" t="n">
        <f aca="false">B64*'2. The tape'!$B$15*'2. The tape'!$D$11*D64/12</f>
        <v>110.280150495623</v>
      </c>
    </row>
    <row r="65" customFormat="false" ht="15" hidden="false" customHeight="false" outlineLevel="0" collapsed="false">
      <c r="A65" s="0" t="n">
        <v>60</v>
      </c>
      <c r="B65" s="33" t="n">
        <f aca="false">'4. Survival and stay'!$C$249*'4. Survival and stay'!C65</f>
        <v>0.384802391768921</v>
      </c>
      <c r="C65" s="17" t="n">
        <f aca="false">IF(A65&lt;'3. Assumptions'!$B$6/(52/12),'3. Assumptions'!$B$5*MIN(1,'3. Assumptions'!$B$6/(52/12)-A65),0)</f>
        <v>0</v>
      </c>
      <c r="D65" s="17" t="n">
        <f aca="false">MIN((1-C65)*(1+'4. Survival and stay'!E65),'3. Assumptions'!$B$10)</f>
        <v>1.62</v>
      </c>
      <c r="E65" s="12" t="n">
        <f aca="false">B65*'2. The tape'!$B$15*'2. The tape'!$D$11*D65/12</f>
        <v>99.6381159727954</v>
      </c>
    </row>
    <row r="66" customFormat="false" ht="15" hidden="false" customHeight="false" outlineLevel="0" collapsed="false">
      <c r="A66" s="0" t="n">
        <v>61</v>
      </c>
      <c r="B66" s="33" t="n">
        <f aca="false">'4. Survival and stay'!$C$249*'4. Survival and stay'!C66</f>
        <v>0.359213032716288</v>
      </c>
      <c r="C66" s="17" t="n">
        <f aca="false">IF(A66&lt;'3. Assumptions'!$B$6/(52/12),'3. Assumptions'!$B$5*MIN(1,'3. Assumptions'!$B$6/(52/12)-A66),0)</f>
        <v>0</v>
      </c>
      <c r="D66" s="17" t="n">
        <f aca="false">MIN((1-C66)*(1+'4. Survival and stay'!E66),'3. Assumptions'!$B$10)</f>
        <v>1.62</v>
      </c>
      <c r="E66" s="12" t="n">
        <f aca="false">B66*'2. The tape'!$B$15*'2. The tape'!$D$11*D66/12</f>
        <v>93.0121812606045</v>
      </c>
    </row>
    <row r="67" customFormat="false" ht="15" hidden="false" customHeight="false" outlineLevel="0" collapsed="false">
      <c r="A67" s="0" t="n">
        <v>62</v>
      </c>
      <c r="B67" s="33" t="n">
        <f aca="false">'4. Survival and stay'!$C$249*'4. Survival and stay'!C67</f>
        <v>0.335325366040655</v>
      </c>
      <c r="C67" s="17" t="n">
        <f aca="false">IF(A67&lt;'3. Assumptions'!$B$6/(52/12),'3. Assumptions'!$B$5*MIN(1,'3. Assumptions'!$B$6/(52/12)-A67),0)</f>
        <v>0</v>
      </c>
      <c r="D67" s="17" t="n">
        <f aca="false">MIN((1-C67)*(1+'4. Survival and stay'!E67),'3. Assumptions'!$B$10)</f>
        <v>1.62</v>
      </c>
      <c r="E67" s="12" t="n">
        <f aca="false">B67*'2. The tape'!$B$15*'2. The tape'!$D$11*D67/12</f>
        <v>86.8268712067743</v>
      </c>
    </row>
    <row r="68" customFormat="false" ht="15" hidden="false" customHeight="false" outlineLevel="0" collapsed="false">
      <c r="A68" s="0" t="n">
        <v>63</v>
      </c>
      <c r="B68" s="33" t="n">
        <f aca="false">'4. Survival and stay'!$C$249*'4. Survival and stay'!C68</f>
        <v>0.313026229198951</v>
      </c>
      <c r="C68" s="17" t="n">
        <f aca="false">IF(A68&lt;'3. Assumptions'!$B$6/(52/12),'3. Assumptions'!$B$5*MIN(1,'3. Assumptions'!$B$6/(52/12)-A68),0)</f>
        <v>0</v>
      </c>
      <c r="D68" s="17" t="n">
        <f aca="false">MIN((1-C68)*(1+'4. Survival and stay'!E68),'3. Assumptions'!$B$10)</f>
        <v>1.62</v>
      </c>
      <c r="E68" s="12" t="n">
        <f aca="false">B68*'2. The tape'!$B$15*'2. The tape'!$D$11*D68/12</f>
        <v>81.0528842715238</v>
      </c>
    </row>
    <row r="69" customFormat="false" ht="15" hidden="false" customHeight="false" outlineLevel="0" collapsed="false">
      <c r="A69" s="0" t="n">
        <v>64</v>
      </c>
      <c r="B69" s="33" t="n">
        <f aca="false">'4. Survival and stay'!$C$249*'4. Survival and stay'!C69</f>
        <v>0.292209984957221</v>
      </c>
      <c r="C69" s="17" t="n">
        <f aca="false">IF(A69&lt;'3. Assumptions'!$B$6/(52/12),'3. Assumptions'!$B$5*MIN(1,'3. Assumptions'!$B$6/(52/12)-A69),0)</f>
        <v>0</v>
      </c>
      <c r="D69" s="17" t="n">
        <f aca="false">MIN((1-C69)*(1+'4. Survival and stay'!E69),'3. Assumptions'!$B$10)</f>
        <v>1.62</v>
      </c>
      <c r="E69" s="12" t="n">
        <f aca="false">B69*'2. The tape'!$B$15*'2. The tape'!$D$11*D69/12</f>
        <v>75.6628674674675</v>
      </c>
    </row>
    <row r="70" customFormat="false" ht="15" hidden="false" customHeight="false" outlineLevel="0" collapsed="false">
      <c r="A70" s="0" t="n">
        <v>65</v>
      </c>
      <c r="B70" s="33" t="n">
        <f aca="false">'4. Survival and stay'!$C$249*'4. Survival and stay'!C70</f>
        <v>0.272778020957566</v>
      </c>
      <c r="C70" s="17" t="n">
        <f aca="false">IF(A70&lt;'3. Assumptions'!$B$6/(52/12),'3. Assumptions'!$B$5*MIN(1,'3. Assumptions'!$B$6/(52/12)-A70),0)</f>
        <v>0</v>
      </c>
      <c r="D70" s="17" t="n">
        <f aca="false">MIN((1-C70)*(1+'4. Survival and stay'!E70),'3. Assumptions'!$B$10)</f>
        <v>1.62</v>
      </c>
      <c r="E70" s="12" t="n">
        <f aca="false">B70*'2. The tape'!$B$15*'2. The tape'!$D$11*D70/12</f>
        <v>70.6312867808809</v>
      </c>
    </row>
    <row r="71" customFormat="false" ht="15" hidden="false" customHeight="false" outlineLevel="0" collapsed="false">
      <c r="A71" s="0" t="n">
        <v>66</v>
      </c>
      <c r="B71" s="33" t="n">
        <f aca="false">'4. Survival and stay'!$C$249*'4. Survival and stay'!C71</f>
        <v>0.246454941935161</v>
      </c>
      <c r="C71" s="17" t="n">
        <f aca="false">IF(A71&lt;'3. Assumptions'!$B$6/(52/12),'3. Assumptions'!$B$5*MIN(1,'3. Assumptions'!$B$6/(52/12)-A71),0)</f>
        <v>0</v>
      </c>
      <c r="D71" s="17" t="n">
        <f aca="false">MIN((1-C71)*(1+'4. Survival and stay'!E71),'3. Assumptions'!$B$10)</f>
        <v>1.62</v>
      </c>
      <c r="E71" s="12" t="n">
        <f aca="false">B71*'2. The tape'!$B$15*'2. The tape'!$D$11*D71/12</f>
        <v>63.8153676065259</v>
      </c>
    </row>
    <row r="72" customFormat="false" ht="15" hidden="false" customHeight="false" outlineLevel="0" collapsed="false">
      <c r="A72" s="0" t="n">
        <v>67</v>
      </c>
      <c r="B72" s="33" t="n">
        <f aca="false">'4. Survival and stay'!$C$249*'4. Survival and stay'!C72</f>
        <v>0.230065688296473</v>
      </c>
      <c r="C72" s="17" t="n">
        <f aca="false">IF(A72&lt;'3. Assumptions'!$B$6/(52/12),'3. Assumptions'!$B$5*MIN(1,'3. Assumptions'!$B$6/(52/12)-A72),0)</f>
        <v>0</v>
      </c>
      <c r="D72" s="17" t="n">
        <f aca="false">MIN((1-C72)*(1+'4. Survival and stay'!E72),'3. Assumptions'!$B$10)</f>
        <v>1.62</v>
      </c>
      <c r="E72" s="12" t="n">
        <f aca="false">B72*'2. The tape'!$B$15*'2. The tape'!$D$11*D72/12</f>
        <v>59.5716456606919</v>
      </c>
    </row>
    <row r="73" customFormat="false" ht="15" hidden="false" customHeight="false" outlineLevel="0" collapsed="false">
      <c r="A73" s="0" t="n">
        <v>68</v>
      </c>
      <c r="B73" s="33" t="n">
        <f aca="false">'4. Survival and stay'!$C$249*'4. Survival and stay'!C73</f>
        <v>0.214766320024757</v>
      </c>
      <c r="C73" s="17" t="n">
        <f aca="false">IF(A73&lt;'3. Assumptions'!$B$6/(52/12),'3. Assumptions'!$B$5*MIN(1,'3. Assumptions'!$B$6/(52/12)-A73),0)</f>
        <v>0</v>
      </c>
      <c r="D73" s="17" t="n">
        <f aca="false">MIN((1-C73)*(1+'4. Survival and stay'!E73),'3. Assumptions'!$B$10)</f>
        <v>1.62</v>
      </c>
      <c r="E73" s="12" t="n">
        <f aca="false">B73*'2. The tape'!$B$15*'2. The tape'!$D$11*D73/12</f>
        <v>55.6101312242559</v>
      </c>
    </row>
    <row r="74" customFormat="false" ht="15" hidden="false" customHeight="false" outlineLevel="0" collapsed="false">
      <c r="A74" s="0" t="n">
        <v>69</v>
      </c>
      <c r="B74" s="33" t="n">
        <f aca="false">'4. Survival and stay'!$C$249*'4. Survival and stay'!C74</f>
        <v>0.200484359743111</v>
      </c>
      <c r="C74" s="17" t="n">
        <f aca="false">IF(A74&lt;'3. Assumptions'!$B$6/(52/12),'3. Assumptions'!$B$5*MIN(1,'3. Assumptions'!$B$6/(52/12)-A74),0)</f>
        <v>0</v>
      </c>
      <c r="D74" s="17" t="n">
        <f aca="false">MIN((1-C74)*(1+'4. Survival and stay'!E74),'3. Assumptions'!$B$10)</f>
        <v>1.62</v>
      </c>
      <c r="E74" s="12" t="n">
        <f aca="false">B74*'2. The tape'!$B$15*'2. The tape'!$D$11*D74/12</f>
        <v>51.9120574978429</v>
      </c>
    </row>
    <row r="75" customFormat="false" ht="15" hidden="false" customHeight="false" outlineLevel="0" collapsed="false">
      <c r="A75" s="0" t="n">
        <v>70</v>
      </c>
      <c r="B75" s="33" t="n">
        <f aca="false">'4. Survival and stay'!$C$249*'4. Survival and stay'!C75</f>
        <v>0.187152149820194</v>
      </c>
      <c r="C75" s="17" t="n">
        <f aca="false">IF(A75&lt;'3. Assumptions'!$B$6/(52/12),'3. Assumptions'!$B$5*MIN(1,'3. Assumptions'!$B$6/(52/12)-A75),0)</f>
        <v>0</v>
      </c>
      <c r="D75" s="17" t="n">
        <f aca="false">MIN((1-C75)*(1+'4. Survival and stay'!E75),'3. Assumptions'!$B$10)</f>
        <v>1.62</v>
      </c>
      <c r="E75" s="12" t="n">
        <f aca="false">B75*'2. The tape'!$B$15*'2. The tape'!$D$11*D75/12</f>
        <v>48.4599056742363</v>
      </c>
    </row>
    <row r="76" customFormat="false" ht="15" hidden="false" customHeight="false" outlineLevel="0" collapsed="false">
      <c r="A76" s="0" t="n">
        <v>71</v>
      </c>
      <c r="B76" s="33" t="n">
        <f aca="false">'4. Survival and stay'!$C$249*'4. Survival and stay'!C76</f>
        <v>0.174706531857151</v>
      </c>
      <c r="C76" s="17" t="n">
        <f aca="false">IF(A76&lt;'3. Assumptions'!$B$6/(52/12),'3. Assumptions'!$B$5*MIN(1,'3. Assumptions'!$B$6/(52/12)-A76),0)</f>
        <v>0</v>
      </c>
      <c r="D76" s="17" t="n">
        <f aca="false">MIN((1-C76)*(1+'4. Survival and stay'!E76),'3. Assumptions'!$B$10)</f>
        <v>1.62</v>
      </c>
      <c r="E76" s="12" t="n">
        <f aca="false">B76*'2. The tape'!$B$15*'2. The tape'!$D$11*D76/12</f>
        <v>45.2373219468996</v>
      </c>
    </row>
    <row r="77" customFormat="false" ht="15" hidden="false" customHeight="false" outlineLevel="0" collapsed="false">
      <c r="A77" s="0" t="n">
        <v>72</v>
      </c>
      <c r="B77" s="33" t="n">
        <f aca="false">'4. Survival and stay'!$C$249*'4. Survival and stay'!C77</f>
        <v>0.157847351532936</v>
      </c>
      <c r="C77" s="17" t="n">
        <f aca="false">IF(A77&lt;'3. Assumptions'!$B$6/(52/12),'3. Assumptions'!$B$5*MIN(1,'3. Assumptions'!$B$6/(52/12)-A77),0)</f>
        <v>0</v>
      </c>
      <c r="D77" s="17" t="n">
        <f aca="false">MIN((1-C77)*(1+'4. Survival and stay'!E77),'3. Assumptions'!$B$10)</f>
        <v>1.62</v>
      </c>
      <c r="E77" s="12" t="n">
        <f aca="false">B77*'2. The tape'!$B$15*'2. The tape'!$D$11*D77/12</f>
        <v>40.8719203790238</v>
      </c>
    </row>
    <row r="78" customFormat="false" ht="15" hidden="false" customHeight="false" outlineLevel="0" collapsed="false">
      <c r="A78" s="0" t="n">
        <v>73</v>
      </c>
      <c r="B78" s="33" t="n">
        <f aca="false">'4. Survival and stay'!$C$249*'4. Survival and stay'!C78</f>
        <v>0.147350502655996</v>
      </c>
      <c r="C78" s="17" t="n">
        <f aca="false">IF(A78&lt;'3. Assumptions'!$B$6/(52/12),'3. Assumptions'!$B$5*MIN(1,'3. Assumptions'!$B$6/(52/12)-A78),0)</f>
        <v>0</v>
      </c>
      <c r="D78" s="17" t="n">
        <f aca="false">MIN((1-C78)*(1+'4. Survival and stay'!E78),'3. Assumptions'!$B$10)</f>
        <v>1.62</v>
      </c>
      <c r="E78" s="12" t="n">
        <f aca="false">B78*'2. The tape'!$B$15*'2. The tape'!$D$11*D78/12</f>
        <v>38.1539376738187</v>
      </c>
    </row>
    <row r="79" customFormat="false" ht="15" hidden="false" customHeight="false" outlineLevel="0" collapsed="false">
      <c r="A79" s="0" t="n">
        <v>74</v>
      </c>
      <c r="B79" s="33" t="n">
        <f aca="false">'4. Survival and stay'!$C$249*'4. Survival and stay'!C79</f>
        <v>0.137551694229372</v>
      </c>
      <c r="C79" s="17" t="n">
        <f aca="false">IF(A79&lt;'3. Assumptions'!$B$6/(52/12),'3. Assumptions'!$B$5*MIN(1,'3. Assumptions'!$B$6/(52/12)-A79),0)</f>
        <v>0</v>
      </c>
      <c r="D79" s="17" t="n">
        <f aca="false">MIN((1-C79)*(1+'4. Survival and stay'!E79),'3. Assumptions'!$B$10)</f>
        <v>1.62</v>
      </c>
      <c r="E79" s="12" t="n">
        <f aca="false">B79*'2. The tape'!$B$15*'2. The tape'!$D$11*D79/12</f>
        <v>35.6167008185098</v>
      </c>
    </row>
    <row r="80" customFormat="false" ht="15" hidden="false" customHeight="false" outlineLevel="0" collapsed="false">
      <c r="A80" s="0" t="n">
        <v>75</v>
      </c>
      <c r="B80" s="33" t="n">
        <f aca="false">'4. Survival and stay'!$C$249*'4. Survival and stay'!C80</f>
        <v>0.128404506563119</v>
      </c>
      <c r="C80" s="17" t="n">
        <f aca="false">IF(A80&lt;'3. Assumptions'!$B$6/(52/12),'3. Assumptions'!$B$5*MIN(1,'3. Assumptions'!$B$6/(52/12)-A80),0)</f>
        <v>0</v>
      </c>
      <c r="D80" s="17" t="n">
        <f aca="false">MIN((1-C80)*(1+'4. Survival and stay'!E80),'3. Assumptions'!$B$10)</f>
        <v>1.62</v>
      </c>
      <c r="E80" s="12" t="n">
        <f aca="false">B80*'2. The tape'!$B$15*'2. The tape'!$D$11*D80/12</f>
        <v>33.2481902140789</v>
      </c>
    </row>
    <row r="81" customFormat="false" ht="15" hidden="false" customHeight="false" outlineLevel="0" collapsed="false">
      <c r="A81" s="0" t="n">
        <v>76</v>
      </c>
      <c r="B81" s="33" t="n">
        <f aca="false">'4. Survival and stay'!$C$249*'4. Survival and stay'!C81</f>
        <v>0.119865606876671</v>
      </c>
      <c r="C81" s="17" t="n">
        <f aca="false">IF(A81&lt;'3. Assumptions'!$B$6/(52/12),'3. Assumptions'!$B$5*MIN(1,'3. Assumptions'!$B$6/(52/12)-A81),0)</f>
        <v>0</v>
      </c>
      <c r="D81" s="17" t="n">
        <f aca="false">MIN((1-C81)*(1+'4. Survival and stay'!E81),'3. Assumptions'!$B$10)</f>
        <v>1.62</v>
      </c>
      <c r="E81" s="12" t="n">
        <f aca="false">B81*'2. The tape'!$B$15*'2. The tape'!$D$11*D81/12</f>
        <v>31.0371855648426</v>
      </c>
    </row>
    <row r="82" customFormat="false" ht="15" hidden="false" customHeight="false" outlineLevel="0" collapsed="false">
      <c r="A82" s="0" t="n">
        <v>77</v>
      </c>
      <c r="B82" s="33" t="n">
        <f aca="false">'4. Survival and stay'!$C$249*'4. Survival and stay'!C82</f>
        <v>0.111894544019373</v>
      </c>
      <c r="C82" s="17" t="n">
        <f aca="false">IF(A82&lt;'3. Assumptions'!$B$6/(52/12),'3. Assumptions'!$B$5*MIN(1,'3. Assumptions'!$B$6/(52/12)-A82),0)</f>
        <v>0</v>
      </c>
      <c r="D82" s="17" t="n">
        <f aca="false">MIN((1-C82)*(1+'4. Survival and stay'!E82),'3. Assumptions'!$B$10)</f>
        <v>1.62</v>
      </c>
      <c r="E82" s="12" t="n">
        <f aca="false">B82*'2. The tape'!$B$15*'2. The tape'!$D$11*D82/12</f>
        <v>28.9732127247806</v>
      </c>
    </row>
    <row r="83" customFormat="false" ht="15" hidden="false" customHeight="false" outlineLevel="0" collapsed="false">
      <c r="A83" s="0" t="n">
        <v>78</v>
      </c>
      <c r="B83" s="33" t="n">
        <f aca="false">'4. Survival and stay'!$C$249*'4. Survival and stay'!C83</f>
        <v>0.101096720521503</v>
      </c>
      <c r="C83" s="17" t="n">
        <f aca="false">IF(A83&lt;'3. Assumptions'!$B$6/(52/12),'3. Assumptions'!$B$5*MIN(1,'3. Assumptions'!$B$6/(52/12)-A83),0)</f>
        <v>0</v>
      </c>
      <c r="D83" s="17" t="n">
        <f aca="false">MIN((1-C83)*(1+'4. Survival and stay'!E83),'3. Assumptions'!$B$10)</f>
        <v>1.62</v>
      </c>
      <c r="E83" s="12" t="n">
        <f aca="false">B83*'2. The tape'!$B$15*'2. The tape'!$D$11*D83/12</f>
        <v>26.1772976968393</v>
      </c>
    </row>
    <row r="84" customFormat="false" ht="15" hidden="false" customHeight="false" outlineLevel="0" collapsed="false">
      <c r="A84" s="0" t="n">
        <v>79</v>
      </c>
      <c r="B84" s="33" t="n">
        <f aca="false">'4. Survival and stay'!$C$249*'4. Survival and stay'!C84</f>
        <v>0.0943737886068233</v>
      </c>
      <c r="C84" s="17" t="n">
        <f aca="false">IF(A84&lt;'3. Assumptions'!$B$6/(52/12),'3. Assumptions'!$B$5*MIN(1,'3. Assumptions'!$B$6/(52/12)-A84),0)</f>
        <v>0</v>
      </c>
      <c r="D84" s="17" t="n">
        <f aca="false">MIN((1-C84)*(1+'4. Survival and stay'!E84),'3. Assumptions'!$B$10)</f>
        <v>1.62</v>
      </c>
      <c r="E84" s="12" t="n">
        <f aca="false">B84*'2. The tape'!$B$15*'2. The tape'!$D$11*D84/12</f>
        <v>24.4365073999995</v>
      </c>
    </row>
    <row r="85" customFormat="false" ht="15" hidden="false" customHeight="false" outlineLevel="0" collapsed="false">
      <c r="A85" s="0" t="n">
        <v>80</v>
      </c>
      <c r="B85" s="33" t="n">
        <f aca="false">'4. Survival and stay'!$C$249*'4. Survival and stay'!C85</f>
        <v>0.0880979316644696</v>
      </c>
      <c r="C85" s="17" t="n">
        <f aca="false">IF(A85&lt;'3. Assumptions'!$B$6/(52/12),'3. Assumptions'!$B$5*MIN(1,'3. Assumptions'!$B$6/(52/12)-A85),0)</f>
        <v>0</v>
      </c>
      <c r="D85" s="17" t="n">
        <f aca="false">MIN((1-C85)*(1+'4. Survival and stay'!E85),'3. Assumptions'!$B$10)</f>
        <v>1.62</v>
      </c>
      <c r="E85" s="12" t="n">
        <f aca="false">B85*'2. The tape'!$B$15*'2. The tape'!$D$11*D85/12</f>
        <v>22.8114796578995</v>
      </c>
    </row>
    <row r="86" customFormat="false" ht="15" hidden="false" customHeight="false" outlineLevel="0" collapsed="false">
      <c r="A86" s="0" t="n">
        <v>81</v>
      </c>
      <c r="B86" s="33" t="n">
        <f aca="false">'4. Survival and stay'!$C$249*'4. Survival and stay'!C86</f>
        <v>0.0822394192087824</v>
      </c>
      <c r="C86" s="17" t="n">
        <f aca="false">IF(A86&lt;'3. Assumptions'!$B$6/(52/12),'3. Assumptions'!$B$5*MIN(1,'3. Assumptions'!$B$6/(52/12)-A86),0)</f>
        <v>0</v>
      </c>
      <c r="D86" s="17" t="n">
        <f aca="false">MIN((1-C86)*(1+'4. Survival and stay'!E86),'3. Assumptions'!$B$10)</f>
        <v>1.62</v>
      </c>
      <c r="E86" s="12" t="n">
        <f aca="false">B86*'2. The tape'!$B$15*'2. The tape'!$D$11*D86/12</f>
        <v>21.2945162606492</v>
      </c>
    </row>
    <row r="87" customFormat="false" ht="15" hidden="false" customHeight="false" outlineLevel="0" collapsed="false">
      <c r="A87" s="0" t="n">
        <v>82</v>
      </c>
      <c r="B87" s="33" t="n">
        <f aca="false">'4. Survival and stay'!$C$249*'4. Survival and stay'!C87</f>
        <v>0.0767704978313983</v>
      </c>
      <c r="C87" s="17" t="n">
        <f aca="false">IF(A87&lt;'3. Assumptions'!$B$6/(52/12),'3. Assumptions'!$B$5*MIN(1,'3. Assumptions'!$B$6/(52/12)-A87),0)</f>
        <v>0</v>
      </c>
      <c r="D87" s="17" t="n">
        <f aca="false">MIN((1-C87)*(1+'4. Survival and stay'!E87),'3. Assumptions'!$B$10)</f>
        <v>1.62</v>
      </c>
      <c r="E87" s="12" t="n">
        <f aca="false">B87*'2. The tape'!$B$15*'2. The tape'!$D$11*D87/12</f>
        <v>19.878430929316</v>
      </c>
    </row>
    <row r="88" customFormat="false" ht="15" hidden="false" customHeight="false" outlineLevel="0" collapsed="false">
      <c r="A88" s="0" t="n">
        <v>83</v>
      </c>
      <c r="B88" s="33" t="n">
        <f aca="false">'4. Survival and stay'!$C$249*'4. Survival and stay'!C88</f>
        <v>0.0716652597256103</v>
      </c>
      <c r="C88" s="17" t="n">
        <f aca="false">IF(A88&lt;'3. Assumptions'!$B$6/(52/12),'3. Assumptions'!$B$5*MIN(1,'3. Assumptions'!$B$6/(52/12)-A88),0)</f>
        <v>0</v>
      </c>
      <c r="D88" s="17" t="n">
        <f aca="false">MIN((1-C88)*(1+'4. Survival and stay'!E88),'3. Assumptions'!$B$10)</f>
        <v>1.62</v>
      </c>
      <c r="E88" s="12" t="n">
        <f aca="false">B88*'2. The tape'!$B$15*'2. The tape'!$D$11*D88/12</f>
        <v>18.5565152725165</v>
      </c>
    </row>
    <row r="89" customFormat="false" ht="15" hidden="false" customHeight="false" outlineLevel="0" collapsed="false">
      <c r="A89" s="0" t="n">
        <v>84</v>
      </c>
      <c r="B89" s="33" t="n">
        <f aca="false">'4. Survival and stay'!$C$249*'4. Survival and stay'!C89</f>
        <v>0.0647495621620889</v>
      </c>
      <c r="C89" s="17" t="n">
        <f aca="false">IF(A89&lt;'3. Assumptions'!$B$6/(52/12),'3. Assumptions'!$B$5*MIN(1,'3. Assumptions'!$B$6/(52/12)-A89),0)</f>
        <v>0</v>
      </c>
      <c r="D89" s="17" t="n">
        <f aca="false">MIN((1-C89)*(1+'4. Survival and stay'!E89),'3. Assumptions'!$B$10)</f>
        <v>1.62</v>
      </c>
      <c r="E89" s="12" t="n">
        <f aca="false">B89*'2. The tape'!$B$15*'2. The tape'!$D$11*D89/12</f>
        <v>16.7658115487187</v>
      </c>
    </row>
    <row r="90" customFormat="false" ht="15" hidden="false" customHeight="false" outlineLevel="0" collapsed="false">
      <c r="A90" s="0" t="n">
        <v>85</v>
      </c>
      <c r="B90" s="33" t="n">
        <f aca="false">'4. Survival and stay'!$C$249*'4. Survival and stay'!C90</f>
        <v>0.06044371627831</v>
      </c>
      <c r="C90" s="17" t="n">
        <f aca="false">IF(A90&lt;'3. Assumptions'!$B$6/(52/12),'3. Assumptions'!$B$5*MIN(1,'3. Assumptions'!$B$6/(52/12)-A90),0)</f>
        <v>0</v>
      </c>
      <c r="D90" s="17" t="n">
        <f aca="false">MIN((1-C90)*(1+'4. Survival and stay'!E90),'3. Assumptions'!$B$10)</f>
        <v>1.62</v>
      </c>
      <c r="E90" s="12" t="n">
        <f aca="false">B90*'2. The tape'!$B$15*'2. The tape'!$D$11*D90/12</f>
        <v>15.6508850807289</v>
      </c>
    </row>
    <row r="91" customFormat="false" ht="15" hidden="false" customHeight="false" outlineLevel="0" collapsed="false">
      <c r="A91" s="0" t="n">
        <v>86</v>
      </c>
      <c r="B91" s="33" t="n">
        <f aca="false">'4. Survival and stay'!$C$249*'4. Survival and stay'!C91</f>
        <v>0.0564242091458024</v>
      </c>
      <c r="C91" s="17" t="n">
        <f aca="false">IF(A91&lt;'3. Assumptions'!$B$6/(52/12),'3. Assumptions'!$B$5*MIN(1,'3. Assumptions'!$B$6/(52/12)-A91),0)</f>
        <v>0</v>
      </c>
      <c r="D91" s="17" t="n">
        <f aca="false">MIN((1-C91)*(1+'4. Survival and stay'!E91),'3. Assumptions'!$B$10)</f>
        <v>1.62</v>
      </c>
      <c r="E91" s="12" t="n">
        <f aca="false">B91*'2. The tape'!$B$15*'2. The tape'!$D$11*D91/12</f>
        <v>14.6101012228604</v>
      </c>
    </row>
    <row r="92" customFormat="false" ht="15" hidden="false" customHeight="false" outlineLevel="0" collapsed="false">
      <c r="A92" s="0" t="n">
        <v>87</v>
      </c>
      <c r="B92" s="33" t="n">
        <f aca="false">'4. Survival and stay'!$C$249*'4. Survival and stay'!C92</f>
        <v>0.0526719992376066</v>
      </c>
      <c r="C92" s="17" t="n">
        <f aca="false">IF(A92&lt;'3. Assumptions'!$B$6/(52/12),'3. Assumptions'!$B$5*MIN(1,'3. Assumptions'!$B$6/(52/12)-A92),0)</f>
        <v>0</v>
      </c>
      <c r="D92" s="17" t="n">
        <f aca="false">MIN((1-C92)*(1+'4. Survival and stay'!E92),'3. Assumptions'!$B$10)</f>
        <v>1.62</v>
      </c>
      <c r="E92" s="12" t="n">
        <f aca="false">B92*'2. The tape'!$B$15*'2. The tape'!$D$11*D92/12</f>
        <v>13.6385294915402</v>
      </c>
    </row>
    <row r="93" customFormat="false" ht="15" hidden="false" customHeight="false" outlineLevel="0" collapsed="false">
      <c r="A93" s="0" t="n">
        <v>88</v>
      </c>
      <c r="B93" s="33" t="n">
        <f aca="false">'4. Survival and stay'!$C$249*'4. Survival and stay'!C93</f>
        <v>0.0491693112883057</v>
      </c>
      <c r="C93" s="17" t="n">
        <f aca="false">IF(A93&lt;'3. Assumptions'!$B$6/(52/12),'3. Assumptions'!$B$5*MIN(1,'3. Assumptions'!$B$6/(52/12)-A93),0)</f>
        <v>0</v>
      </c>
      <c r="D93" s="17" t="n">
        <f aca="false">MIN((1-C93)*(1+'4. Survival and stay'!E93),'3. Assumptions'!$B$10)</f>
        <v>1.62</v>
      </c>
      <c r="E93" s="12" t="n">
        <f aca="false">B93*'2. The tape'!$B$15*'2. The tape'!$D$11*D93/12</f>
        <v>12.7315672803528</v>
      </c>
    </row>
    <row r="94" customFormat="false" ht="15" hidden="false" customHeight="false" outlineLevel="0" collapsed="false">
      <c r="A94" s="0" t="n">
        <v>89</v>
      </c>
      <c r="B94" s="33" t="n">
        <f aca="false">'4. Survival and stay'!$C$249*'4. Survival and stay'!C94</f>
        <v>0.0458995520876334</v>
      </c>
      <c r="C94" s="17" t="n">
        <f aca="false">IF(A94&lt;'3. Assumptions'!$B$6/(52/12),'3. Assumptions'!$B$5*MIN(1,'3. Assumptions'!$B$6/(52/12)-A94),0)</f>
        <v>0</v>
      </c>
      <c r="D94" s="17" t="n">
        <f aca="false">MIN((1-C94)*(1+'4. Survival and stay'!E94),'3. Assumptions'!$B$10)</f>
        <v>1.62</v>
      </c>
      <c r="E94" s="12" t="n">
        <f aca="false">B94*'2. The tape'!$B$15*'2. The tape'!$D$11*D94/12</f>
        <v>11.8849180562093</v>
      </c>
    </row>
    <row r="95" customFormat="false" ht="15" hidden="false" customHeight="false" outlineLevel="0" collapsed="false">
      <c r="A95" s="0" t="n">
        <v>90</v>
      </c>
      <c r="B95" s="33" t="n">
        <f aca="false">'4. Survival and stay'!$C$249*'4. Survival and stay'!C95</f>
        <v>0.0414702453111768</v>
      </c>
      <c r="C95" s="17" t="n">
        <f aca="false">IF(A95&lt;'3. Assumptions'!$B$6/(52/12),'3. Assumptions'!$B$5*MIN(1,'3. Assumptions'!$B$6/(52/12)-A95),0)</f>
        <v>0</v>
      </c>
      <c r="D95" s="17" t="n">
        <f aca="false">MIN((1-C95)*(1+'4. Survival and stay'!E95),'3. Assumptions'!$B$10)</f>
        <v>1.62</v>
      </c>
      <c r="E95" s="12" t="n">
        <f aca="false">B95*'2. The tape'!$B$15*'2. The tape'!$D$11*D95/12</f>
        <v>10.7380234637851</v>
      </c>
    </row>
    <row r="96" customFormat="false" ht="15" hidden="false" customHeight="false" outlineLevel="0" collapsed="false">
      <c r="A96" s="0" t="n">
        <v>91</v>
      </c>
      <c r="B96" s="33" t="n">
        <f aca="false">'4. Survival and stay'!$C$249*'4. Survival and stay'!C96</f>
        <v>0.0387124739979835</v>
      </c>
      <c r="C96" s="17" t="n">
        <f aca="false">IF(A96&lt;'3. Assumptions'!$B$6/(52/12),'3. Assumptions'!$B$5*MIN(1,'3. Assumptions'!$B$6/(52/12)-A96),0)</f>
        <v>0</v>
      </c>
      <c r="D96" s="17" t="n">
        <f aca="false">MIN((1-C96)*(1+'4. Survival and stay'!E96),'3. Assumptions'!$B$10)</f>
        <v>1.62</v>
      </c>
      <c r="E96" s="12" t="n">
        <f aca="false">B96*'2. The tape'!$B$15*'2. The tape'!$D$11*D96/12</f>
        <v>10.0239449034434</v>
      </c>
    </row>
    <row r="97" customFormat="false" ht="15" hidden="false" customHeight="false" outlineLevel="0" collapsed="false">
      <c r="A97" s="0" t="n">
        <v>92</v>
      </c>
      <c r="B97" s="33" t="n">
        <f aca="false">'4. Survival and stay'!$C$249*'4. Survival and stay'!C97</f>
        <v>0.0361380944771176</v>
      </c>
      <c r="C97" s="17" t="n">
        <f aca="false">IF(A97&lt;'3. Assumptions'!$B$6/(52/12),'3. Assumptions'!$B$5*MIN(1,'3. Assumptions'!$B$6/(52/12)-A97),0)</f>
        <v>0</v>
      </c>
      <c r="D97" s="17" t="n">
        <f aca="false">MIN((1-C97)*(1+'4. Survival and stay'!E97),'3. Assumptions'!$B$10)</f>
        <v>1.62</v>
      </c>
      <c r="E97" s="12" t="n">
        <f aca="false">B97*'2. The tape'!$B$15*'2. The tape'!$D$11*D97/12</f>
        <v>9.35735256736441</v>
      </c>
    </row>
    <row r="98" customFormat="false" ht="15" hidden="false" customHeight="false" outlineLevel="0" collapsed="false">
      <c r="A98" s="0" t="n">
        <v>93</v>
      </c>
      <c r="B98" s="33" t="n">
        <f aca="false">'4. Survival and stay'!$C$249*'4. Survival and stay'!C98</f>
        <v>0.0337349111943893</v>
      </c>
      <c r="C98" s="17" t="n">
        <f aca="false">IF(A98&lt;'3. Assumptions'!$B$6/(52/12),'3. Assumptions'!$B$5*MIN(1,'3. Assumptions'!$B$6/(52/12)-A98),0)</f>
        <v>0</v>
      </c>
      <c r="D98" s="17" t="n">
        <f aca="false">MIN((1-C98)*(1+'4. Survival and stay'!E98),'3. Assumptions'!$B$10)</f>
        <v>1.62</v>
      </c>
      <c r="E98" s="12" t="n">
        <f aca="false">B98*'2. The tape'!$B$15*'2. The tape'!$D$11*D98/12</f>
        <v>8.73508862163467</v>
      </c>
    </row>
    <row r="99" customFormat="false" ht="15" hidden="false" customHeight="false" outlineLevel="0" collapsed="false">
      <c r="A99" s="0" t="n">
        <v>94</v>
      </c>
      <c r="B99" s="33" t="n">
        <f aca="false">'4. Survival and stay'!$C$249*'4. Survival and stay'!C99</f>
        <v>0.0314915395999624</v>
      </c>
      <c r="C99" s="17" t="n">
        <f aca="false">IF(A99&lt;'3. Assumptions'!$B$6/(52/12),'3. Assumptions'!$B$5*MIN(1,'3. Assumptions'!$B$6/(52/12)-A99),0)</f>
        <v>0</v>
      </c>
      <c r="D99" s="17" t="n">
        <f aca="false">MIN((1-C99)*(1+'4. Survival and stay'!E99),'3. Assumptions'!$B$10)</f>
        <v>1.62</v>
      </c>
      <c r="E99" s="12" t="n">
        <f aca="false">B99*'2. The tape'!$B$15*'2. The tape'!$D$11*D99/12</f>
        <v>8.15420522829597</v>
      </c>
    </row>
    <row r="100" customFormat="false" ht="15" hidden="false" customHeight="false" outlineLevel="0" collapsed="false">
      <c r="A100" s="0" t="n">
        <v>95</v>
      </c>
      <c r="B100" s="33" t="n">
        <f aca="false">'4. Survival and stay'!$C$249*'4. Survival and stay'!C100</f>
        <v>0.0293973522165649</v>
      </c>
      <c r="C100" s="17" t="n">
        <f aca="false">IF(A100&lt;'3. Assumptions'!$B$6/(52/12),'3. Assumptions'!$B$5*MIN(1,'3. Assumptions'!$B$6/(52/12)-A100),0)</f>
        <v>0</v>
      </c>
      <c r="D100" s="17" t="n">
        <f aca="false">MIN((1-C100)*(1+'4. Survival and stay'!E100),'3. Assumptions'!$B$10)</f>
        <v>1.62</v>
      </c>
      <c r="E100" s="12" t="n">
        <f aca="false">B100*'2. The tape'!$B$15*'2. The tape'!$D$11*D100/12</f>
        <v>7.61195058061429</v>
      </c>
    </row>
    <row r="101" customFormat="false" ht="15" hidden="false" customHeight="false" outlineLevel="0" collapsed="false">
      <c r="A101" s="0" t="n">
        <v>96</v>
      </c>
      <c r="B101" s="33" t="n">
        <f aca="false">'4. Survival and stay'!$C$249*'4. Survival and stay'!C101</f>
        <v>0.0265605077276664</v>
      </c>
      <c r="C101" s="17" t="n">
        <f aca="false">IF(A101&lt;'3. Assumptions'!$B$6/(52/12),'3. Assumptions'!$B$5*MIN(1,'3. Assumptions'!$B$6/(52/12)-A101),0)</f>
        <v>0</v>
      </c>
      <c r="D101" s="17" t="n">
        <f aca="false">MIN((1-C101)*(1+'4. Survival and stay'!E101),'3. Assumptions'!$B$10)</f>
        <v>1.62</v>
      </c>
      <c r="E101" s="12" t="n">
        <f aca="false">B101*'2. The tape'!$B$15*'2. The tape'!$D$11*D101/12</f>
        <v>6.87739734958501</v>
      </c>
    </row>
    <row r="102" customFormat="false" ht="15" hidden="false" customHeight="false" outlineLevel="0" collapsed="false">
      <c r="A102" s="0" t="n">
        <v>97</v>
      </c>
      <c r="B102" s="33" t="n">
        <f aca="false">'4. Survival and stay'!$C$249*'4. Survival and stay'!C102</f>
        <v>0.0247942339637766</v>
      </c>
      <c r="C102" s="17" t="n">
        <f aca="false">IF(A102&lt;'3. Assumptions'!$B$6/(52/12),'3. Assumptions'!$B$5*MIN(1,'3. Assumptions'!$B$6/(52/12)-A102),0)</f>
        <v>0</v>
      </c>
      <c r="D102" s="17" t="n">
        <f aca="false">MIN((1-C102)*(1+'4. Survival and stay'!E102),'3. Assumptions'!$B$10)</f>
        <v>1.62</v>
      </c>
      <c r="E102" s="12" t="n">
        <f aca="false">B102*'2. The tape'!$B$15*'2. The tape'!$D$11*D102/12</f>
        <v>6.4200504258376</v>
      </c>
    </row>
    <row r="103" customFormat="false" ht="15" hidden="false" customHeight="false" outlineLevel="0" collapsed="false">
      <c r="A103" s="0" t="n">
        <v>98</v>
      </c>
      <c r="B103" s="33" t="n">
        <f aca="false">'4. Survival and stay'!$C$249*'4. Survival and stay'!C103</f>
        <v>0.0231454174051854</v>
      </c>
      <c r="C103" s="17" t="n">
        <f aca="false">IF(A103&lt;'3. Assumptions'!$B$6/(52/12),'3. Assumptions'!$B$5*MIN(1,'3. Assumptions'!$B$6/(52/12)-A103),0)</f>
        <v>0</v>
      </c>
      <c r="D103" s="17" t="n">
        <f aca="false">MIN((1-C103)*(1+'4. Survival and stay'!E103),'3. Assumptions'!$B$10)</f>
        <v>1.62</v>
      </c>
      <c r="E103" s="12" t="n">
        <f aca="false">B103*'2. The tape'!$B$15*'2. The tape'!$D$11*D103/12</f>
        <v>5.9931170725194</v>
      </c>
    </row>
    <row r="104" customFormat="false" ht="15" hidden="false" customHeight="false" outlineLevel="0" collapsed="false">
      <c r="A104" s="0" t="n">
        <v>99</v>
      </c>
      <c r="B104" s="33" t="n">
        <f aca="false">'4. Survival and stay'!$C$249*'4. Survival and stay'!C104</f>
        <v>0.0216062471477406</v>
      </c>
      <c r="C104" s="17" t="n">
        <f aca="false">IF(A104&lt;'3. Assumptions'!$B$6/(52/12),'3. Assumptions'!$B$5*MIN(1,'3. Assumptions'!$B$6/(52/12)-A104),0)</f>
        <v>0</v>
      </c>
      <c r="D104" s="17" t="n">
        <f aca="false">MIN((1-C104)*(1+'4. Survival and stay'!E104),'3. Assumptions'!$B$10)</f>
        <v>1.62</v>
      </c>
      <c r="E104" s="12" t="n">
        <f aca="false">B104*'2. The tape'!$B$15*'2. The tape'!$D$11*D104/12</f>
        <v>5.59457478719686</v>
      </c>
    </row>
    <row r="105" customFormat="false" ht="15" hidden="false" customHeight="false" outlineLevel="0" collapsed="false">
      <c r="A105" s="0" t="n">
        <v>100</v>
      </c>
      <c r="B105" s="33" t="n">
        <f aca="false">'4. Survival and stay'!$C$249*'4. Survival and stay'!C105</f>
        <v>0.0201694317124158</v>
      </c>
      <c r="C105" s="17" t="n">
        <f aca="false">IF(A105&lt;'3. Assumptions'!$B$6/(52/12),'3. Assumptions'!$B$5*MIN(1,'3. Assumptions'!$B$6/(52/12)-A105),0)</f>
        <v>0</v>
      </c>
      <c r="D105" s="17" t="n">
        <f aca="false">MIN((1-C105)*(1+'4. Survival and stay'!E105),'3. Assumptions'!$B$10)</f>
        <v>1.62</v>
      </c>
      <c r="E105" s="12" t="n">
        <f aca="false">B105*'2. The tape'!$B$15*'2. The tape'!$D$11*D105/12</f>
        <v>5.22253556384827</v>
      </c>
    </row>
    <row r="106" customFormat="false" ht="15" hidden="false" customHeight="false" outlineLevel="0" collapsed="false">
      <c r="A106" s="0" t="n">
        <v>101</v>
      </c>
      <c r="B106" s="33" t="n">
        <f aca="false">'4. Survival and stay'!$C$249*'4. Survival and stay'!C106</f>
        <v>0.0188281645035402</v>
      </c>
      <c r="C106" s="17" t="n">
        <f aca="false">IF(A106&lt;'3. Assumptions'!$B$6/(52/12),'3. Assumptions'!$B$5*MIN(1,'3. Assumptions'!$B$6/(52/12)-A106),0)</f>
        <v>0</v>
      </c>
      <c r="D106" s="17" t="n">
        <f aca="false">MIN((1-C106)*(1+'4. Survival and stay'!E106),'3. Assumptions'!$B$10)</f>
        <v>1.62</v>
      </c>
      <c r="E106" s="12" t="n">
        <f aca="false">B106*'2. The tape'!$B$15*'2. The tape'!$D$11*D106/12</f>
        <v>4.87523694885236</v>
      </c>
    </row>
    <row r="107" customFormat="false" ht="15" hidden="false" customHeight="false" outlineLevel="0" collapsed="false">
      <c r="A107" s="0" t="n">
        <v>102</v>
      </c>
      <c r="B107" s="33" t="n">
        <f aca="false">'4. Survival and stay'!$C$249*'4. Survival and stay'!C107</f>
        <v>0.0170112466289486</v>
      </c>
      <c r="C107" s="17" t="n">
        <f aca="false">IF(A107&lt;'3. Assumptions'!$B$6/(52/12),'3. Assumptions'!$B$5*MIN(1,'3. Assumptions'!$B$6/(52/12)-A107),0)</f>
        <v>0</v>
      </c>
      <c r="D107" s="17" t="n">
        <f aca="false">MIN((1-C107)*(1+'4. Survival and stay'!E107),'3. Assumptions'!$B$10)</f>
        <v>1.62</v>
      </c>
      <c r="E107" s="12" t="n">
        <f aca="false">B107*'2. The tape'!$B$15*'2. The tape'!$D$11*D107/12</f>
        <v>4.40477658328811</v>
      </c>
    </row>
    <row r="108" customFormat="false" ht="15" hidden="false" customHeight="false" outlineLevel="0" collapsed="false">
      <c r="A108" s="0" t="n">
        <v>103</v>
      </c>
      <c r="B108" s="33" t="n">
        <f aca="false">'4. Survival and stay'!$C$249*'4. Survival and stay'!C108</f>
        <v>0.0158799987281235</v>
      </c>
      <c r="C108" s="17" t="n">
        <f aca="false">IF(A108&lt;'3. Assumptions'!$B$6/(52/12),'3. Assumptions'!$B$5*MIN(1,'3. Assumptions'!$B$6/(52/12)-A108),0)</f>
        <v>0</v>
      </c>
      <c r="D108" s="17" t="n">
        <f aca="false">MIN((1-C108)*(1+'4. Survival and stay'!E108),'3. Assumptions'!$B$10)</f>
        <v>1.62</v>
      </c>
      <c r="E108" s="12" t="n">
        <f aca="false">B108*'2. The tape'!$B$15*'2. The tape'!$D$11*D108/12</f>
        <v>4.11185894049945</v>
      </c>
    </row>
    <row r="109" customFormat="false" ht="15" hidden="false" customHeight="false" outlineLevel="0" collapsed="false">
      <c r="A109" s="0" t="n">
        <v>104</v>
      </c>
      <c r="B109" s="33" t="n">
        <f aca="false">'4. Survival and stay'!$C$249*'4. Survival and stay'!C109</f>
        <v>0.0148239788127033</v>
      </c>
      <c r="C109" s="17" t="n">
        <f aca="false">IF(A109&lt;'3. Assumptions'!$B$6/(52/12),'3. Assumptions'!$B$5*MIN(1,'3. Assumptions'!$B$6/(52/12)-A109),0)</f>
        <v>0</v>
      </c>
      <c r="D109" s="17" t="n">
        <f aca="false">MIN((1-C109)*(1+'4. Survival and stay'!E109),'3. Assumptions'!$B$10)</f>
        <v>1.62</v>
      </c>
      <c r="E109" s="12" t="n">
        <f aca="false">B109*'2. The tape'!$B$15*'2. The tape'!$D$11*D109/12</f>
        <v>3.83842032095624</v>
      </c>
    </row>
    <row r="110" customFormat="false" ht="15" hidden="false" customHeight="false" outlineLevel="0" collapsed="false">
      <c r="A110" s="0" t="n">
        <v>105</v>
      </c>
      <c r="B110" s="33" t="n">
        <f aca="false">'4. Survival and stay'!$C$249*'4. Survival and stay'!C110</f>
        <v>0.0138381842216585</v>
      </c>
      <c r="C110" s="17" t="n">
        <f aca="false">IF(A110&lt;'3. Assumptions'!$B$6/(52/12),'3. Assumptions'!$B$5*MIN(1,'3. Assumptions'!$B$6/(52/12)-A110),0)</f>
        <v>0</v>
      </c>
      <c r="D110" s="17" t="n">
        <f aca="false">MIN((1-C110)*(1+'4. Survival and stay'!E110),'3. Assumptions'!$B$10)</f>
        <v>1.62</v>
      </c>
      <c r="E110" s="12" t="n">
        <f aca="false">B110*'2. The tape'!$B$15*'2. The tape'!$D$11*D110/12</f>
        <v>3.58316536961265</v>
      </c>
    </row>
    <row r="111" customFormat="false" ht="15" hidden="false" customHeight="false" outlineLevel="0" collapsed="false">
      <c r="A111" s="0" t="n">
        <v>106</v>
      </c>
      <c r="B111" s="33" t="n">
        <f aca="false">'4. Survival and stay'!$C$249*'4. Survival and stay'!C111</f>
        <v>0.0129179449709182</v>
      </c>
      <c r="C111" s="17" t="n">
        <f aca="false">IF(A111&lt;'3. Assumptions'!$B$6/(52/12),'3. Assumptions'!$B$5*MIN(1,'3. Assumptions'!$B$6/(52/12)-A111),0)</f>
        <v>0</v>
      </c>
      <c r="D111" s="17" t="n">
        <f aca="false">MIN((1-C111)*(1+'4. Survival and stay'!E111),'3. Assumptions'!$B$10)</f>
        <v>1.62</v>
      </c>
      <c r="E111" s="12" t="n">
        <f aca="false">B111*'2. The tape'!$B$15*'2. The tape'!$D$11*D111/12</f>
        <v>3.34488487253341</v>
      </c>
    </row>
    <row r="112" customFormat="false" ht="15" hidden="false" customHeight="false" outlineLevel="0" collapsed="false">
      <c r="A112" s="0" t="n">
        <v>107</v>
      </c>
      <c r="B112" s="33" t="n">
        <f aca="false">'4. Survival and stay'!$C$249*'4. Survival and stay'!C112</f>
        <v>0.0120589016303522</v>
      </c>
      <c r="C112" s="17" t="n">
        <f aca="false">IF(A112&lt;'3. Assumptions'!$B$6/(52/12),'3. Assumptions'!$B$5*MIN(1,'3. Assumptions'!$B$6/(52/12)-A112),0)</f>
        <v>0</v>
      </c>
      <c r="D112" s="17" t="n">
        <f aca="false">MIN((1-C112)*(1+'4. Survival and stay'!E112),'3. Assumptions'!$B$10)</f>
        <v>1.62</v>
      </c>
      <c r="E112" s="12" t="n">
        <f aca="false">B112*'2. The tape'!$B$15*'2. The tape'!$D$11*D112/12</f>
        <v>3.12245002850993</v>
      </c>
    </row>
    <row r="113" customFormat="false" ht="15" hidden="false" customHeight="false" outlineLevel="0" collapsed="false">
      <c r="A113" s="0" t="n">
        <v>108</v>
      </c>
      <c r="B113" s="33" t="n">
        <f aca="false">'4. Survival and stay'!$C$249*'4. Survival and stay'!C113</f>
        <v>0.0108952176230232</v>
      </c>
      <c r="C113" s="17" t="n">
        <f aca="false">IF(A113&lt;'3. Assumptions'!$B$6/(52/12),'3. Assumptions'!$B$5*MIN(1,'3. Assumptions'!$B$6/(52/12)-A113),0)</f>
        <v>0</v>
      </c>
      <c r="D113" s="17" t="n">
        <f aca="false">MIN((1-C113)*(1+'4. Survival and stay'!E113),'3. Assumptions'!$B$10)</f>
        <v>1.62</v>
      </c>
      <c r="E113" s="12" t="n">
        <f aca="false">B113*'2. The tape'!$B$15*'2. The tape'!$D$11*D113/12</f>
        <v>2.82113360075872</v>
      </c>
    </row>
    <row r="114" customFormat="false" ht="15" hidden="false" customHeight="false" outlineLevel="0" collapsed="false">
      <c r="A114" s="0" t="n">
        <v>109</v>
      </c>
      <c r="B114" s="33" t="n">
        <f aca="false">'4. Survival and stay'!$C$249*'4. Survival and stay'!C114</f>
        <v>0.0101706856510921</v>
      </c>
      <c r="C114" s="17" t="n">
        <f aca="false">IF(A114&lt;'3. Assumptions'!$B$6/(52/12),'3. Assumptions'!$B$5*MIN(1,'3. Assumptions'!$B$6/(52/12)-A114),0)</f>
        <v>0</v>
      </c>
      <c r="D114" s="17" t="n">
        <f aca="false">MIN((1-C114)*(1+'4. Survival and stay'!E114),'3. Assumptions'!$B$10)</f>
        <v>1.62</v>
      </c>
      <c r="E114" s="12" t="n">
        <f aca="false">B114*'2. The tape'!$B$15*'2. The tape'!$D$11*D114/12</f>
        <v>2.63352821630827</v>
      </c>
    </row>
    <row r="115" customFormat="false" ht="15" hidden="false" customHeight="false" outlineLevel="0" collapsed="false">
      <c r="A115" s="0" t="n">
        <v>110</v>
      </c>
      <c r="B115" s="33" t="n">
        <f aca="false">'4. Survival and stay'!$C$249*'4. Survival and stay'!C115</f>
        <v>0.0094943350552945</v>
      </c>
      <c r="C115" s="17" t="n">
        <f aca="false">IF(A115&lt;'3. Assumptions'!$B$6/(52/12),'3. Assumptions'!$B$5*MIN(1,'3. Assumptions'!$B$6/(52/12)-A115),0)</f>
        <v>0</v>
      </c>
      <c r="D115" s="17" t="n">
        <f aca="false">MIN((1-C115)*(1+'4. Survival and stay'!E115),'3. Assumptions'!$B$10)</f>
        <v>1.62</v>
      </c>
      <c r="E115" s="12" t="n">
        <f aca="false">B115*'2. The tape'!$B$15*'2. The tape'!$D$11*D115/12</f>
        <v>2.45839858992377</v>
      </c>
    </row>
    <row r="116" customFormat="false" ht="15" hidden="false" customHeight="false" outlineLevel="0" collapsed="false">
      <c r="A116" s="0" t="n">
        <v>111</v>
      </c>
      <c r="B116" s="33" t="n">
        <f aca="false">'4. Survival and stay'!$C$249*'4. Survival and stay'!C116</f>
        <v>0.00886296177411742</v>
      </c>
      <c r="C116" s="17" t="n">
        <f aca="false">IF(A116&lt;'3. Assumptions'!$B$6/(52/12),'3. Assumptions'!$B$5*MIN(1,'3. Assumptions'!$B$6/(52/12)-A116),0)</f>
        <v>0</v>
      </c>
      <c r="D116" s="17" t="n">
        <f aca="false">MIN((1-C116)*(1+'4. Survival and stay'!E116),'3. Assumptions'!$B$10)</f>
        <v>1.62</v>
      </c>
      <c r="E116" s="12" t="n">
        <f aca="false">B116*'2. The tape'!$B$15*'2. The tape'!$D$11*D116/12</f>
        <v>2.29491508369384</v>
      </c>
    </row>
    <row r="117" customFormat="false" ht="15" hidden="false" customHeight="false" outlineLevel="0" collapsed="false">
      <c r="A117" s="0" t="n">
        <v>112</v>
      </c>
      <c r="B117" s="33" t="n">
        <f aca="false">'4. Survival and stay'!$C$249*'4. Survival and stay'!C117</f>
        <v>0.00827357481613861</v>
      </c>
      <c r="C117" s="17" t="n">
        <f aca="false">IF(A117&lt;'3. Assumptions'!$B$6/(52/12),'3. Assumptions'!$B$5*MIN(1,'3. Assumptions'!$B$6/(52/12)-A117),0)</f>
        <v>0</v>
      </c>
      <c r="D117" s="17" t="n">
        <f aca="false">MIN((1-C117)*(1+'4. Survival and stay'!E117),'3. Assumptions'!$B$10)</f>
        <v>1.62</v>
      </c>
      <c r="E117" s="12" t="n">
        <f aca="false">B117*'2. The tape'!$B$15*'2. The tape'!$D$11*D117/12</f>
        <v>2.1423032306282</v>
      </c>
    </row>
    <row r="118" customFormat="false" ht="15" hidden="false" customHeight="false" outlineLevel="0" collapsed="false">
      <c r="A118" s="0" t="n">
        <v>113</v>
      </c>
      <c r="B118" s="33" t="n">
        <f aca="false">'4. Survival and stay'!$C$249*'4. Survival and stay'!C118</f>
        <v>0.00772338209086539</v>
      </c>
      <c r="C118" s="17" t="n">
        <f aca="false">IF(A118&lt;'3. Assumptions'!$B$6/(52/12),'3. Assumptions'!$B$5*MIN(1,'3. Assumptions'!$B$6/(52/12)-A118),0)</f>
        <v>0</v>
      </c>
      <c r="D118" s="17" t="n">
        <f aca="false">MIN((1-C118)*(1+'4. Survival and stay'!E118),'3. Assumptions'!$B$10)</f>
        <v>1.62</v>
      </c>
      <c r="E118" s="12" t="n">
        <f aca="false">B118*'2. The tape'!$B$15*'2. The tape'!$D$11*D118/12</f>
        <v>1.99984006579142</v>
      </c>
    </row>
    <row r="119" customFormat="false" ht="15" hidden="false" customHeight="false" outlineLevel="0" collapsed="false">
      <c r="A119" s="0" t="n">
        <v>114</v>
      </c>
      <c r="B119" s="33" t="n">
        <f aca="false">'4. Survival and stay'!$C$249*'4. Survival and stay'!C119</f>
        <v>0.00697807571909688</v>
      </c>
      <c r="C119" s="17" t="n">
        <f aca="false">IF(A119&lt;'3. Assumptions'!$B$6/(52/12),'3. Assumptions'!$B$5*MIN(1,'3. Assumptions'!$B$6/(52/12)-A119),0)</f>
        <v>0</v>
      </c>
      <c r="D119" s="17" t="n">
        <f aca="false">MIN((1-C119)*(1+'4. Survival and stay'!E119),'3. Assumptions'!$B$10)</f>
        <v>1.62</v>
      </c>
      <c r="E119" s="12" t="n">
        <f aca="false">B119*'2. The tape'!$B$15*'2. The tape'!$D$11*D119/12</f>
        <v>1.80685549944255</v>
      </c>
    </row>
    <row r="120" customFormat="false" ht="15" hidden="false" customHeight="false" outlineLevel="0" collapsed="false">
      <c r="A120" s="0" t="n">
        <v>115</v>
      </c>
      <c r="B120" s="33" t="n">
        <f aca="false">'4. Survival and stay'!$C$249*'4. Survival and stay'!C120</f>
        <v>0.00651403368377694</v>
      </c>
      <c r="C120" s="17" t="n">
        <f aca="false">IF(A120&lt;'3. Assumptions'!$B$6/(52/12),'3. Assumptions'!$B$5*MIN(1,'3. Assumptions'!$B$6/(52/12)-A120),0)</f>
        <v>0</v>
      </c>
      <c r="D120" s="17" t="n">
        <f aca="false">MIN((1-C120)*(1+'4. Survival and stay'!E120),'3. Assumptions'!$B$10)</f>
        <v>1.62</v>
      </c>
      <c r="E120" s="12" t="n">
        <f aca="false">B120*'2. The tape'!$B$15*'2. The tape'!$D$11*D120/12</f>
        <v>1.68669960872962</v>
      </c>
    </row>
    <row r="121" customFormat="false" ht="15" hidden="false" customHeight="false" outlineLevel="0" collapsed="false">
      <c r="A121" s="0" t="n">
        <v>116</v>
      </c>
      <c r="B121" s="33" t="n">
        <f aca="false">'4. Survival and stay'!$C$249*'4. Survival and stay'!C121</f>
        <v>0.00608085044380577</v>
      </c>
      <c r="C121" s="17" t="n">
        <f aca="false">IF(A121&lt;'3. Assumptions'!$B$6/(52/12),'3. Assumptions'!$B$5*MIN(1,'3. Assumptions'!$B$6/(52/12)-A121),0)</f>
        <v>0</v>
      </c>
      <c r="D121" s="17" t="n">
        <f aca="false">MIN((1-C121)*(1+'4. Survival and stay'!E121),'3. Assumptions'!$B$10)</f>
        <v>1.62</v>
      </c>
      <c r="E121" s="12" t="n">
        <f aca="false">B121*'2. The tape'!$B$15*'2. The tape'!$D$11*D121/12</f>
        <v>1.5745340847491</v>
      </c>
    </row>
    <row r="122" customFormat="false" ht="15" hidden="false" customHeight="false" outlineLevel="0" collapsed="false">
      <c r="A122" s="0" t="n">
        <v>117</v>
      </c>
      <c r="B122" s="33" t="n">
        <f aca="false">'4. Survival and stay'!$C$249*'4. Survival and stay'!C122</f>
        <v>0.00567647388929269</v>
      </c>
      <c r="C122" s="17" t="n">
        <f aca="false">IF(A122&lt;'3. Assumptions'!$B$6/(52/12),'3. Assumptions'!$B$5*MIN(1,'3. Assumptions'!$B$6/(52/12)-A122),0)</f>
        <v>0</v>
      </c>
      <c r="D122" s="17" t="n">
        <f aca="false">MIN((1-C122)*(1+'4. Survival and stay'!E122),'3. Assumptions'!$B$10)</f>
        <v>1.62</v>
      </c>
      <c r="E122" s="12" t="n">
        <f aca="false">B122*'2. The tape'!$B$15*'2. The tape'!$D$11*D122/12</f>
        <v>1.46982756811329</v>
      </c>
    </row>
    <row r="123" customFormat="false" ht="15" hidden="false" customHeight="false" outlineLevel="0" collapsed="false">
      <c r="A123" s="0" t="n">
        <v>118</v>
      </c>
      <c r="B123" s="33" t="n">
        <f aca="false">'4. Survival and stay'!$C$249*'4. Survival and stay'!C123</f>
        <v>0.00529898837565473</v>
      </c>
      <c r="C123" s="17" t="n">
        <f aca="false">IF(A123&lt;'3. Assumptions'!$B$6/(52/12),'3. Assumptions'!$B$5*MIN(1,'3. Assumptions'!$B$6/(52/12)-A123),0)</f>
        <v>0</v>
      </c>
      <c r="D123" s="17" t="n">
        <f aca="false">MIN((1-C123)*(1+'4. Survival and stay'!E123),'3. Assumptions'!$B$10)</f>
        <v>1.62</v>
      </c>
      <c r="E123" s="12" t="n">
        <f aca="false">B123*'2. The tape'!$B$15*'2. The tape'!$D$11*D123/12</f>
        <v>1.37208403483375</v>
      </c>
    </row>
    <row r="124" customFormat="false" ht="15" hidden="false" customHeight="false" outlineLevel="0" collapsed="false">
      <c r="A124" s="0" t="n">
        <v>119</v>
      </c>
      <c r="B124" s="33" t="n">
        <f aca="false">'4. Survival and stay'!$C$249*'4. Survival and stay'!C124</f>
        <v>0.00494660564867369</v>
      </c>
      <c r="C124" s="17" t="n">
        <f aca="false">IF(A124&lt;'3. Assumptions'!$B$6/(52/12),'3. Assumptions'!$B$5*MIN(1,'3. Assumptions'!$B$6/(52/12)-A124),0)</f>
        <v>0</v>
      </c>
      <c r="D124" s="17" t="n">
        <f aca="false">MIN((1-C124)*(1+'4. Survival and stay'!E124),'3. Assumptions'!$B$10)</f>
        <v>1.62</v>
      </c>
      <c r="E124" s="12" t="n">
        <f aca="false">B124*'2. The tape'!$B$15*'2. The tape'!$D$11*D124/12</f>
        <v>1.28084044651731</v>
      </c>
    </row>
    <row r="125" customFormat="false" ht="15" hidden="false" customHeight="false" outlineLevel="0" collapsed="false">
      <c r="A125" s="0" t="n">
        <v>120</v>
      </c>
      <c r="B125" s="33" t="n">
        <f aca="false">'4. Survival and stay'!$C$249*'4. Survival and stay'!C125</f>
        <v>0.00446925820357668</v>
      </c>
      <c r="C125" s="17" t="n">
        <f aca="false">IF(A125&lt;'3. Assumptions'!$B$6/(52/12),'3. Assumptions'!$B$5*MIN(1,'3. Assumptions'!$B$6/(52/12)-A125),0)</f>
        <v>0</v>
      </c>
      <c r="D125" s="17" t="n">
        <f aca="false">MIN((1-C125)*(1+'4. Survival and stay'!E125),'3. Assumptions'!$B$10)</f>
        <v>1.62</v>
      </c>
      <c r="E125" s="12" t="n">
        <f aca="false">B125*'2. The tape'!$B$15*'2. The tape'!$D$11*D125/12</f>
        <v>1.15723934342839</v>
      </c>
    </row>
    <row r="126" customFormat="false" ht="15" hidden="false" customHeight="false" outlineLevel="0" collapsed="false">
      <c r="A126" s="0" t="n">
        <v>121</v>
      </c>
      <c r="B126" s="33" t="n">
        <f aca="false">'4. Survival and stay'!$C$249*'4. Survival and stay'!C126</f>
        <v>0.00417205253303883</v>
      </c>
      <c r="C126" s="17" t="n">
        <f aca="false">IF(A126&lt;'3. Assumptions'!$B$6/(52/12),'3. Assumptions'!$B$5*MIN(1,'3. Assumptions'!$B$6/(52/12)-A126),0)</f>
        <v>0</v>
      </c>
      <c r="D126" s="17" t="n">
        <f aca="false">MIN((1-C126)*(1+'4. Survival and stay'!E126),'3. Assumptions'!$B$10)</f>
        <v>1.62</v>
      </c>
      <c r="E126" s="12" t="n">
        <f aca="false">B126*'2. The tape'!$B$15*'2. The tape'!$D$11*D126/12</f>
        <v>1.0802829270904</v>
      </c>
    </row>
    <row r="127" customFormat="false" ht="15" hidden="false" customHeight="false" outlineLevel="0" collapsed="false">
      <c r="A127" s="0" t="n">
        <v>122</v>
      </c>
      <c r="B127" s="33" t="n">
        <f aca="false">'4. Survival and stay'!$C$249*'4. Survival and stay'!C127</f>
        <v>0.00389461103959174</v>
      </c>
      <c r="C127" s="17" t="n">
        <f aca="false">IF(A127&lt;'3. Assumptions'!$B$6/(52/12),'3. Assumptions'!$B$5*MIN(1,'3. Assumptions'!$B$6/(52/12)-A127),0)</f>
        <v>0</v>
      </c>
      <c r="D127" s="17" t="n">
        <f aca="false">MIN((1-C127)*(1+'4. Survival and stay'!E127),'3. Assumptions'!$B$10)</f>
        <v>1.62</v>
      </c>
      <c r="E127" s="12" t="n">
        <f aca="false">B127*'2. The tape'!$B$15*'2. The tape'!$D$11*D127/12</f>
        <v>1.00844411243889</v>
      </c>
    </row>
    <row r="128" customFormat="false" ht="15" hidden="false" customHeight="false" outlineLevel="0" collapsed="false">
      <c r="A128" s="0" t="n">
        <v>123</v>
      </c>
      <c r="B128" s="33" t="n">
        <f aca="false">'4. Survival and stay'!$C$249*'4. Survival and stay'!C128</f>
        <v>0.00363561940545889</v>
      </c>
      <c r="C128" s="17" t="n">
        <f aca="false">IF(A128&lt;'3. Assumptions'!$B$6/(52/12),'3. Assumptions'!$B$5*MIN(1,'3. Assumptions'!$B$6/(52/12)-A128),0)</f>
        <v>0</v>
      </c>
      <c r="D128" s="17" t="n">
        <f aca="false">MIN((1-C128)*(1+'4. Survival and stay'!E128),'3. Assumptions'!$B$10)</f>
        <v>1.62</v>
      </c>
      <c r="E128" s="12" t="n">
        <f aca="false">B128*'2. The tape'!$B$15*'2. The tape'!$D$11*D128/12</f>
        <v>0.941382578961703</v>
      </c>
    </row>
    <row r="129" customFormat="false" ht="15" hidden="false" customHeight="false" outlineLevel="0" collapsed="false">
      <c r="A129" s="0" t="n">
        <v>124</v>
      </c>
      <c r="B129" s="33" t="n">
        <f aca="false">'4. Survival and stay'!$C$249*'4. Survival and stay'!C129</f>
        <v>0.00339385071499588</v>
      </c>
      <c r="C129" s="17" t="n">
        <f aca="false">IF(A129&lt;'3. Assumptions'!$B$6/(52/12),'3. Assumptions'!$B$5*MIN(1,'3. Assumptions'!$B$6/(52/12)-A129),0)</f>
        <v>0</v>
      </c>
      <c r="D129" s="17" t="n">
        <f aca="false">MIN((1-C129)*(1+'4. Survival and stay'!E129),'3. Assumptions'!$B$10)</f>
        <v>1.62</v>
      </c>
      <c r="E129" s="12" t="n">
        <f aca="false">B129*'2. The tape'!$B$15*'2. The tape'!$D$11*D129/12</f>
        <v>0.878780637460749</v>
      </c>
    </row>
    <row r="130" customFormat="false" ht="15" hidden="false" customHeight="false" outlineLevel="0" collapsed="false">
      <c r="A130" s="0" t="n">
        <v>125</v>
      </c>
      <c r="B130" s="33" t="n">
        <f aca="false">'4. Survival and stay'!$C$249*'4. Survival and stay'!C130</f>
        <v>0.00316815964244865</v>
      </c>
      <c r="C130" s="17" t="n">
        <f aca="false">IF(A130&lt;'3. Assumptions'!$B$6/(52/12),'3. Assumptions'!$B$5*MIN(1,'3. Assumptions'!$B$6/(52/12)-A130),0)</f>
        <v>0</v>
      </c>
      <c r="D130" s="17" t="n">
        <f aca="false">MIN((1-C130)*(1+'4. Survival and stay'!E130),'3. Assumptions'!$B$10)</f>
        <v>1.62</v>
      </c>
      <c r="E130" s="12" t="n">
        <f aca="false">B130*'2. The tape'!$B$15*'2. The tape'!$D$11*D130/12</f>
        <v>0.820341725069609</v>
      </c>
    </row>
    <row r="131" customFormat="false" ht="15" hidden="false" customHeight="false" outlineLevel="0" collapsed="false">
      <c r="A131" s="0" t="n">
        <v>126</v>
      </c>
      <c r="B131" s="33" t="n">
        <f aca="false">'4. Survival and stay'!$C$249*'4. Survival and stay'!C131</f>
        <v>0.00286243223695236</v>
      </c>
      <c r="C131" s="17" t="n">
        <f aca="false">IF(A131&lt;'3. Assumptions'!$B$6/(52/12),'3. Assumptions'!$B$5*MIN(1,'3. Assumptions'!$B$6/(52/12)-A131),0)</f>
        <v>0</v>
      </c>
      <c r="D131" s="17" t="n">
        <f aca="false">MIN((1-C131)*(1+'4. Survival and stay'!E131),'3. Assumptions'!$B$10)</f>
        <v>1.62</v>
      </c>
      <c r="E131" s="12" t="n">
        <f aca="false">B131*'2. The tape'!$B$15*'2. The tape'!$D$11*D131/12</f>
        <v>0.741178748600392</v>
      </c>
    </row>
    <row r="132" customFormat="false" ht="15" hidden="false" customHeight="false" outlineLevel="0" collapsed="false">
      <c r="A132" s="0" t="n">
        <v>127</v>
      </c>
      <c r="B132" s="33" t="n">
        <f aca="false">'4. Survival and stay'!$C$249*'4. Survival and stay'!C132</f>
        <v>0.00267208049319502</v>
      </c>
      <c r="C132" s="17" t="n">
        <f aca="false">IF(A132&lt;'3. Assumptions'!$B$6/(52/12),'3. Assumptions'!$B$5*MIN(1,'3. Assumptions'!$B$6/(52/12)-A132),0)</f>
        <v>0</v>
      </c>
      <c r="D132" s="17" t="n">
        <f aca="false">MIN((1-C132)*(1+'4. Survival and stay'!E132),'3. Assumptions'!$B$10)</f>
        <v>1.62</v>
      </c>
      <c r="E132" s="12" t="n">
        <f aca="false">B132*'2. The tape'!$B$15*'2. The tape'!$D$11*D132/12</f>
        <v>0.691890361818466</v>
      </c>
    </row>
    <row r="133" customFormat="false" ht="15" hidden="false" customHeight="false" outlineLevel="0" collapsed="false">
      <c r="A133" s="0" t="n">
        <v>128</v>
      </c>
      <c r="B133" s="33" t="n">
        <f aca="false">'4. Survival and stay'!$C$249*'4. Survival and stay'!C133</f>
        <v>0.00249438714039756</v>
      </c>
      <c r="C133" s="17" t="n">
        <f aca="false">IF(A133&lt;'3. Assumptions'!$B$6/(52/12),'3. Assumptions'!$B$5*MIN(1,'3. Assumptions'!$B$6/(52/12)-A133),0)</f>
        <v>0</v>
      </c>
      <c r="D133" s="17" t="n">
        <f aca="false">MIN((1-C133)*(1+'4. Survival and stay'!E133),'3. Assumptions'!$B$10)</f>
        <v>1.62</v>
      </c>
      <c r="E133" s="12" t="n">
        <f aca="false">B133*'2. The tape'!$B$15*'2. The tape'!$D$11*D133/12</f>
        <v>0.645879652757538</v>
      </c>
    </row>
    <row r="134" customFormat="false" ht="15" hidden="false" customHeight="false" outlineLevel="0" collapsed="false">
      <c r="A134" s="0" t="n">
        <v>129</v>
      </c>
      <c r="B134" s="33" t="n">
        <f aca="false">'4. Survival and stay'!$C$249*'4. Survival and stay'!C134</f>
        <v>0.00232851039556112</v>
      </c>
      <c r="C134" s="17" t="n">
        <f aca="false">IF(A134&lt;'3. Assumptions'!$B$6/(52/12),'3. Assumptions'!$B$5*MIN(1,'3. Assumptions'!$B$6/(52/12)-A134),0)</f>
        <v>0</v>
      </c>
      <c r="D134" s="17" t="n">
        <f aca="false">MIN((1-C134)*(1+'4. Survival and stay'!E134),'3. Assumptions'!$B$10)</f>
        <v>1.62</v>
      </c>
      <c r="E134" s="12" t="n">
        <f aca="false">B134*'2. The tape'!$B$15*'2. The tape'!$D$11*D134/12</f>
        <v>0.602928655849162</v>
      </c>
    </row>
    <row r="135" customFormat="false" ht="15" hidden="false" customHeight="false" outlineLevel="0" collapsed="false">
      <c r="A135" s="0" t="n">
        <v>130</v>
      </c>
      <c r="B135" s="33" t="n">
        <f aca="false">'4. Survival and stay'!$C$249*'4. Survival and stay'!C135</f>
        <v>0.0021736644542563</v>
      </c>
      <c r="C135" s="17" t="n">
        <f aca="false">IF(A135&lt;'3. Assumptions'!$B$6/(52/12),'3. Assumptions'!$B$5*MIN(1,'3. Assumptions'!$B$6/(52/12)-A135),0)</f>
        <v>0</v>
      </c>
      <c r="D135" s="17" t="n">
        <f aca="false">MIN((1-C135)*(1+'4. Survival and stay'!E135),'3. Assumptions'!$B$10)</f>
        <v>1.62</v>
      </c>
      <c r="E135" s="12" t="n">
        <f aca="false">B135*'2. The tape'!$B$15*'2. The tape'!$D$11*D135/12</f>
        <v>0.562833900235192</v>
      </c>
    </row>
    <row r="136" customFormat="false" ht="15" hidden="false" customHeight="false" outlineLevel="0" collapsed="false">
      <c r="A136" s="0" t="n">
        <v>131</v>
      </c>
      <c r="B136" s="33" t="n">
        <f aca="false">'4. Survival and stay'!$C$249*'4. Survival and stay'!C136</f>
        <v>0.00202911576804826</v>
      </c>
      <c r="C136" s="17" t="n">
        <f aca="false">IF(A136&lt;'3. Assumptions'!$B$6/(52/12),'3. Assumptions'!$B$5*MIN(1,'3. Assumptions'!$B$6/(52/12)-A136),0)</f>
        <v>0</v>
      </c>
      <c r="D136" s="17" t="n">
        <f aca="false">MIN((1-C136)*(1+'4. Survival and stay'!E136),'3. Assumptions'!$B$10)</f>
        <v>1.62</v>
      </c>
      <c r="E136" s="12" t="n">
        <f aca="false">B136*'2. The tape'!$B$15*'2. The tape'!$D$11*D136/12</f>
        <v>0.525405445869552</v>
      </c>
    </row>
    <row r="137" customFormat="false" ht="15" hidden="false" customHeight="false" outlineLevel="0" collapsed="false">
      <c r="A137" s="0" t="n">
        <v>132</v>
      </c>
      <c r="B137" s="33" t="n">
        <f aca="false">'4. Survival and stay'!$C$249*'4. Survival and stay'!C137</f>
        <v>0.0018333060964316</v>
      </c>
      <c r="C137" s="17" t="n">
        <f aca="false">IF(A137&lt;'3. Assumptions'!$B$6/(52/12),'3. Assumptions'!$B$5*MIN(1,'3. Assumptions'!$B$6/(52/12)-A137),0)</f>
        <v>0</v>
      </c>
      <c r="D137" s="17" t="n">
        <f aca="false">MIN((1-C137)*(1+'4. Survival and stay'!E137),'3. Assumptions'!$B$10)</f>
        <v>1.62</v>
      </c>
      <c r="E137" s="12" t="n">
        <f aca="false">B137*'2. The tape'!$B$15*'2. The tape'!$D$11*D137/12</f>
        <v>0.47470382034314</v>
      </c>
    </row>
    <row r="138" customFormat="false" ht="15" hidden="false" customHeight="false" outlineLevel="0" collapsed="false">
      <c r="A138" s="0" t="n">
        <v>133</v>
      </c>
      <c r="B138" s="33" t="n">
        <f aca="false">'4. Survival and stay'!$C$249*'4. Survival and stay'!C138</f>
        <v>0.0017113912410189</v>
      </c>
      <c r="C138" s="17" t="n">
        <f aca="false">IF(A138&lt;'3. Assumptions'!$B$6/(52/12),'3. Assumptions'!$B$5*MIN(1,'3. Assumptions'!$B$6/(52/12)-A138),0)</f>
        <v>0</v>
      </c>
      <c r="D138" s="17" t="n">
        <f aca="false">MIN((1-C138)*(1+'4. Survival and stay'!E138),'3. Assumptions'!$B$10)</f>
        <v>1.62</v>
      </c>
      <c r="E138" s="12" t="n">
        <f aca="false">B138*'2. The tape'!$B$15*'2. The tape'!$D$11*D138/12</f>
        <v>0.443136016290322</v>
      </c>
    </row>
    <row r="139" customFormat="false" ht="15" hidden="false" customHeight="false" outlineLevel="0" collapsed="false">
      <c r="A139" s="0" t="n">
        <v>134</v>
      </c>
      <c r="B139" s="33" t="n">
        <f aca="false">'4. Survival and stay'!$C$249*'4. Survival and stay'!C139</f>
        <v>0.00159758372349114</v>
      </c>
      <c r="C139" s="17" t="n">
        <f aca="false">IF(A139&lt;'3. Assumptions'!$B$6/(52/12),'3. Assumptions'!$B$5*MIN(1,'3. Assumptions'!$B$6/(52/12)-A139),0)</f>
        <v>0</v>
      </c>
      <c r="D139" s="17" t="n">
        <f aca="false">MIN((1-C139)*(1+'4. Survival and stay'!E139),'3. Assumptions'!$B$10)</f>
        <v>1.62</v>
      </c>
      <c r="E139" s="12" t="n">
        <f aca="false">B139*'2. The tape'!$B$15*'2. The tape'!$D$11*D139/12</f>
        <v>0.413667471207015</v>
      </c>
    </row>
    <row r="140" customFormat="false" ht="15" hidden="false" customHeight="false" outlineLevel="0" collapsed="false">
      <c r="A140" s="0" t="n">
        <v>135</v>
      </c>
      <c r="B140" s="33" t="n">
        <f aca="false">'4. Survival and stay'!$C$249*'4. Survival and stay'!C140</f>
        <v>0.00149134440587898</v>
      </c>
      <c r="C140" s="17" t="n">
        <f aca="false">IF(A140&lt;'3. Assumptions'!$B$6/(52/12),'3. Assumptions'!$B$5*MIN(1,'3. Assumptions'!$B$6/(52/12)-A140),0)</f>
        <v>0</v>
      </c>
      <c r="D140" s="17" t="n">
        <f aca="false">MIN((1-C140)*(1+'4. Survival and stay'!E140),'3. Assumptions'!$B$10)</f>
        <v>1.62</v>
      </c>
      <c r="E140" s="12" t="n">
        <f aca="false">B140*'2. The tape'!$B$15*'2. The tape'!$D$11*D140/12</f>
        <v>0.386158584371749</v>
      </c>
    </row>
    <row r="141" customFormat="false" ht="15" hidden="false" customHeight="false" outlineLevel="0" collapsed="false">
      <c r="A141" s="0" t="n">
        <v>136</v>
      </c>
      <c r="B141" s="33" t="n">
        <f aca="false">'4. Survival and stay'!$C$249*'4. Survival and stay'!C141</f>
        <v>0.00139217000288803</v>
      </c>
      <c r="C141" s="17" t="n">
        <f aca="false">IF(A141&lt;'3. Assumptions'!$B$6/(52/12),'3. Assumptions'!$B$5*MIN(1,'3. Assumptions'!$B$6/(52/12)-A141),0)</f>
        <v>0</v>
      </c>
      <c r="D141" s="17" t="n">
        <f aca="false">MIN((1-C141)*(1+'4. Survival and stay'!E141),'3. Assumptions'!$B$10)</f>
        <v>1.62</v>
      </c>
      <c r="E141" s="12" t="n">
        <f aca="false">B141*'2. The tape'!$B$15*'2. The tape'!$D$11*D141/12</f>
        <v>0.360479038511027</v>
      </c>
    </row>
    <row r="142" customFormat="false" ht="15" hidden="false" customHeight="false" outlineLevel="0" collapsed="false">
      <c r="A142" s="0" t="n">
        <v>137</v>
      </c>
      <c r="B142" s="33" t="n">
        <f aca="false">'4. Survival and stay'!$C$249*'4. Survival and stay'!C142</f>
        <v>0.00129959069769598</v>
      </c>
      <c r="C142" s="17" t="n">
        <f aca="false">IF(A142&lt;'3. Assumptions'!$B$6/(52/12),'3. Assumptions'!$B$5*MIN(1,'3. Assumptions'!$B$6/(52/12)-A142),0)</f>
        <v>0</v>
      </c>
      <c r="D142" s="17" t="n">
        <f aca="false">MIN((1-C142)*(1+'4. Survival and stay'!E142),'3. Assumptions'!$B$10)</f>
        <v>1.62</v>
      </c>
      <c r="E142" s="12" t="n">
        <f aca="false">B142*'2. The tape'!$B$15*'2. The tape'!$D$11*D142/12</f>
        <v>0.336507182450044</v>
      </c>
    </row>
    <row r="143" customFormat="false" ht="15" hidden="false" customHeight="false" outlineLevel="0" collapsed="false">
      <c r="A143" s="0" t="n">
        <v>138</v>
      </c>
      <c r="B143" s="33" t="n">
        <f aca="false">'4. Survival and stay'!$C$249*'4. Survival and stay'!C143</f>
        <v>0.00117418019536831</v>
      </c>
      <c r="C143" s="17" t="n">
        <f aca="false">IF(A143&lt;'3. Assumptions'!$B$6/(52/12),'3. Assumptions'!$B$5*MIN(1,'3. Assumptions'!$B$6/(52/12)-A143),0)</f>
        <v>0</v>
      </c>
      <c r="D143" s="17" t="n">
        <f aca="false">MIN((1-C143)*(1+'4. Survival and stay'!E143),'3. Assumptions'!$B$10)</f>
        <v>1.62</v>
      </c>
      <c r="E143" s="12" t="n">
        <f aca="false">B143*'2. The tape'!$B$15*'2. The tape'!$D$11*D143/12</f>
        <v>0.304034239343615</v>
      </c>
    </row>
    <row r="144" customFormat="false" ht="15" hidden="false" customHeight="false" outlineLevel="0" collapsed="false">
      <c r="A144" s="0" t="n">
        <v>139</v>
      </c>
      <c r="B144" s="33" t="n">
        <f aca="false">'4. Survival and stay'!$C$249*'4. Survival and stay'!C144</f>
        <v>0.00109609721237632</v>
      </c>
      <c r="C144" s="17" t="n">
        <f aca="false">IF(A144&lt;'3. Assumptions'!$B$6/(52/12),'3. Assumptions'!$B$5*MIN(1,'3. Assumptions'!$B$6/(52/12)-A144),0)</f>
        <v>0</v>
      </c>
      <c r="D144" s="17" t="n">
        <f aca="false">MIN((1-C144)*(1+'4. Survival and stay'!E144),'3. Assumptions'!$B$10)</f>
        <v>1.62</v>
      </c>
      <c r="E144" s="12" t="n">
        <f aca="false">B144*'2. The tape'!$B$15*'2. The tape'!$D$11*D144/12</f>
        <v>0.283815962427264</v>
      </c>
    </row>
    <row r="145" customFormat="false" ht="15" hidden="false" customHeight="false" outlineLevel="0" collapsed="false">
      <c r="A145" s="0" t="n">
        <v>140</v>
      </c>
      <c r="B145" s="33" t="n">
        <f aca="false">'4. Survival and stay'!$C$249*'4. Survival and stay'!C145</f>
        <v>0.0010232067477533</v>
      </c>
      <c r="C145" s="17" t="n">
        <f aca="false">IF(A145&lt;'3. Assumptions'!$B$6/(52/12),'3. Assumptions'!$B$5*MIN(1,'3. Assumptions'!$B$6/(52/12)-A145),0)</f>
        <v>0</v>
      </c>
      <c r="D145" s="17" t="n">
        <f aca="false">MIN((1-C145)*(1+'4. Survival and stay'!E145),'3. Assumptions'!$B$10)</f>
        <v>1.62</v>
      </c>
      <c r="E145" s="12" t="n">
        <f aca="false">B145*'2. The tape'!$B$15*'2. The tape'!$D$11*D145/12</f>
        <v>0.264942200925851</v>
      </c>
    </row>
    <row r="146" customFormat="false" ht="15" hidden="false" customHeight="false" outlineLevel="0" collapsed="false">
      <c r="A146" s="0" t="n">
        <v>141</v>
      </c>
      <c r="B146" s="33" t="n">
        <f aca="false">'4. Survival and stay'!$C$249*'4. Survival and stay'!C146</f>
        <v>0.000955163499027702</v>
      </c>
      <c r="C146" s="17" t="n">
        <f aca="false">IF(A146&lt;'3. Assumptions'!$B$6/(52/12),'3. Assumptions'!$B$5*MIN(1,'3. Assumptions'!$B$6/(52/12)-A146),0)</f>
        <v>0</v>
      </c>
      <c r="D146" s="17" t="n">
        <f aca="false">MIN((1-C146)*(1+'4. Survival and stay'!E146),'3. Assumptions'!$B$10)</f>
        <v>1.62</v>
      </c>
      <c r="E146" s="12" t="n">
        <f aca="false">B146*'2. The tape'!$B$15*'2. The tape'!$D$11*D146/12</f>
        <v>0.247323544564282</v>
      </c>
    </row>
    <row r="147" customFormat="false" ht="15" hidden="false" customHeight="false" outlineLevel="0" collapsed="false">
      <c r="A147" s="0" t="n">
        <v>142</v>
      </c>
      <c r="B147" s="33" t="n">
        <f aca="false">'4. Survival and stay'!$C$249*'4. Survival and stay'!C147</f>
        <v>0.00089164512634236</v>
      </c>
      <c r="C147" s="17" t="n">
        <f aca="false">IF(A147&lt;'3. Assumptions'!$B$6/(52/12),'3. Assumptions'!$B$5*MIN(1,'3. Assumptions'!$B$6/(52/12)-A147),0)</f>
        <v>0</v>
      </c>
      <c r="D147" s="17" t="n">
        <f aca="false">MIN((1-C147)*(1+'4. Survival and stay'!E147),'3. Assumptions'!$B$10)</f>
        <v>1.62</v>
      </c>
      <c r="E147" s="12" t="n">
        <f aca="false">B147*'2. The tape'!$B$15*'2. The tape'!$D$11*D147/12</f>
        <v>0.230876528850757</v>
      </c>
    </row>
    <row r="148" customFormat="false" ht="15" hidden="false" customHeight="false" outlineLevel="0" collapsed="false">
      <c r="A148" s="0" t="n">
        <v>143</v>
      </c>
      <c r="B148" s="33" t="n">
        <f aca="false">'4. Survival and stay'!$C$249*'4. Survival and stay'!C148</f>
        <v>0.000832350725440593</v>
      </c>
      <c r="C148" s="17" t="n">
        <f aca="false">IF(A148&lt;'3. Assumptions'!$B$6/(52/12),'3. Assumptions'!$B$5*MIN(1,'3. Assumptions'!$B$6/(52/12)-A148),0)</f>
        <v>0</v>
      </c>
      <c r="D148" s="17" t="n">
        <f aca="false">MIN((1-C148)*(1+'4. Survival and stay'!E148),'3. Assumptions'!$B$10)</f>
        <v>1.62</v>
      </c>
      <c r="E148" s="12" t="n">
        <f aca="false">B148*'2. The tape'!$B$15*'2. The tape'!$D$11*D148/12</f>
        <v>0.215523239682182</v>
      </c>
    </row>
    <row r="149" customFormat="false" ht="15" hidden="false" customHeight="false" outlineLevel="0" collapsed="false">
      <c r="A149" s="0" t="n">
        <v>144</v>
      </c>
      <c r="B149" s="33" t="n">
        <f aca="false">'4. Survival and stay'!$C$249*'4. Survival and stay'!C149</f>
        <v>0.000752028880435576</v>
      </c>
      <c r="C149" s="17" t="n">
        <f aca="false">IF(A149&lt;'3. Assumptions'!$B$6/(52/12),'3. Assumptions'!$B$5*MIN(1,'3. Assumptions'!$B$6/(52/12)-A149),0)</f>
        <v>0</v>
      </c>
      <c r="D149" s="17" t="n">
        <f aca="false">MIN((1-C149)*(1+'4. Survival and stay'!E149),'3. Assumptions'!$B$10)</f>
        <v>1.62</v>
      </c>
      <c r="E149" s="12" t="n">
        <f aca="false">B149*'2. The tape'!$B$15*'2. The tape'!$D$11*D149/12</f>
        <v>0.194725247052852</v>
      </c>
    </row>
    <row r="150" customFormat="false" ht="15" hidden="false" customHeight="false" outlineLevel="0" collapsed="false">
      <c r="A150" s="0" t="n">
        <v>145</v>
      </c>
      <c r="B150" s="33" t="n">
        <f aca="false">'4. Survival and stay'!$C$249*'4. Survival and stay'!C150</f>
        <v>0.00070201895988661</v>
      </c>
      <c r="C150" s="17" t="n">
        <f aca="false">IF(A150&lt;'3. Assumptions'!$B$6/(52/12),'3. Assumptions'!$B$5*MIN(1,'3. Assumptions'!$B$6/(52/12)-A150),0)</f>
        <v>0</v>
      </c>
      <c r="D150" s="17" t="n">
        <f aca="false">MIN((1-C150)*(1+'4. Survival and stay'!E150),'3. Assumptions'!$B$10)</f>
        <v>1.62</v>
      </c>
      <c r="E150" s="12" t="n">
        <f aca="false">B150*'2. The tape'!$B$15*'2. The tape'!$D$11*D150/12</f>
        <v>0.181776018123837</v>
      </c>
    </row>
    <row r="151" customFormat="false" ht="15" hidden="false" customHeight="false" outlineLevel="0" collapsed="false">
      <c r="A151" s="0" t="n">
        <v>146</v>
      </c>
      <c r="B151" s="33" t="n">
        <f aca="false">'4. Survival and stay'!$C$249*'4. Survival and stay'!C151</f>
        <v>0.00065533469905415</v>
      </c>
      <c r="C151" s="17" t="n">
        <f aca="false">IF(A151&lt;'3. Assumptions'!$B$6/(52/12),'3. Assumptions'!$B$5*MIN(1,'3. Assumptions'!$B$6/(52/12)-A151),0)</f>
        <v>0</v>
      </c>
      <c r="D151" s="17" t="n">
        <f aca="false">MIN((1-C151)*(1+'4. Survival and stay'!E151),'3. Assumptions'!$B$10)</f>
        <v>1.62</v>
      </c>
      <c r="E151" s="12" t="n">
        <f aca="false">B151*'2. The tape'!$B$15*'2. The tape'!$D$11*D151/12</f>
        <v>0.169687912918602</v>
      </c>
    </row>
    <row r="152" customFormat="false" ht="15" hidden="false" customHeight="false" outlineLevel="0" collapsed="false">
      <c r="A152" s="0" t="n">
        <v>147</v>
      </c>
      <c r="B152" s="33" t="n">
        <f aca="false">'4. Survival and stay'!$C$249*'4. Survival and stay'!C152</f>
        <v>0.00061175494156705</v>
      </c>
      <c r="C152" s="17" t="n">
        <f aca="false">IF(A152&lt;'3. Assumptions'!$B$6/(52/12),'3. Assumptions'!$B$5*MIN(1,'3. Assumptions'!$B$6/(52/12)-A152),0)</f>
        <v>0</v>
      </c>
      <c r="D152" s="17" t="n">
        <f aca="false">MIN((1-C152)*(1+'4. Survival and stay'!E152),'3. Assumptions'!$B$10)</f>
        <v>1.62</v>
      </c>
      <c r="E152" s="12" t="n">
        <f aca="false">B152*'2. The tape'!$B$15*'2. The tape'!$D$11*D152/12</f>
        <v>0.158403666709515</v>
      </c>
    </row>
    <row r="153" customFormat="false" ht="15" hidden="false" customHeight="false" outlineLevel="0" collapsed="false">
      <c r="A153" s="0" t="n">
        <v>148</v>
      </c>
      <c r="B153" s="33" t="n">
        <f aca="false">'4. Survival and stay'!$C$249*'4. Survival and stay'!C153</f>
        <v>0.000571073237952841</v>
      </c>
      <c r="C153" s="17" t="n">
        <f aca="false">IF(A153&lt;'3. Assumptions'!$B$6/(52/12),'3. Assumptions'!$B$5*MIN(1,'3. Assumptions'!$B$6/(52/12)-A153),0)</f>
        <v>0</v>
      </c>
      <c r="D153" s="17" t="n">
        <f aca="false">MIN((1-C153)*(1+'4. Survival and stay'!E153),'3. Assumptions'!$B$10)</f>
        <v>1.62</v>
      </c>
      <c r="E153" s="12" t="n">
        <f aca="false">B153*'2. The tape'!$B$15*'2. The tape'!$D$11*D153/12</f>
        <v>0.147869822873332</v>
      </c>
    </row>
    <row r="154" customFormat="false" ht="15" hidden="false" customHeight="false" outlineLevel="0" collapsed="false">
      <c r="A154" s="0" t="n">
        <v>149</v>
      </c>
      <c r="B154" s="33" t="n">
        <f aca="false">'4. Survival and stay'!$C$249*'4. Survival and stay'!C154</f>
        <v>0.000533096867628977</v>
      </c>
      <c r="C154" s="17" t="n">
        <f aca="false">IF(A154&lt;'3. Assumptions'!$B$6/(52/12),'3. Assumptions'!$B$5*MIN(1,'3. Assumptions'!$B$6/(52/12)-A154),0)</f>
        <v>0</v>
      </c>
      <c r="D154" s="17" t="n">
        <f aca="false">MIN((1-C154)*(1+'4. Survival and stay'!E154),'3. Assumptions'!$B$10)</f>
        <v>1.62</v>
      </c>
      <c r="E154" s="12" t="n">
        <f aca="false">B154*'2. The tape'!$B$15*'2. The tape'!$D$11*D154/12</f>
        <v>0.138036479652255</v>
      </c>
    </row>
    <row r="155" customFormat="false" ht="15" hidden="false" customHeight="false" outlineLevel="0" collapsed="false">
      <c r="A155" s="0" t="n">
        <v>150</v>
      </c>
      <c r="B155" s="33" t="n">
        <f aca="false">'4. Survival and stay'!$C$249*'4. Survival and stay'!C155</f>
        <v>0.00048165301990278</v>
      </c>
      <c r="C155" s="17" t="n">
        <f aca="false">IF(A155&lt;'3. Assumptions'!$B$6/(52/12),'3. Assumptions'!$B$5*MIN(1,'3. Assumptions'!$B$6/(52/12)-A155),0)</f>
        <v>0</v>
      </c>
      <c r="D155" s="17" t="n">
        <f aca="false">MIN((1-C155)*(1+'4. Survival and stay'!E155),'3. Assumptions'!$B$10)</f>
        <v>1.62</v>
      </c>
      <c r="E155" s="12" t="n">
        <f aca="false">B155*'2. The tape'!$B$15*'2. The tape'!$D$11*D155/12</f>
        <v>0.124715959365813</v>
      </c>
    </row>
    <row r="156" customFormat="false" ht="15" hidden="false" customHeight="false" outlineLevel="0" collapsed="false">
      <c r="A156" s="0" t="n">
        <v>151</v>
      </c>
      <c r="B156" s="33" t="n">
        <f aca="false">'4. Survival and stay'!$C$249*'4. Survival and stay'!C156</f>
        <v>0.000449623094079246</v>
      </c>
      <c r="C156" s="17" t="n">
        <f aca="false">IF(A156&lt;'3. Assumptions'!$B$6/(52/12),'3. Assumptions'!$B$5*MIN(1,'3. Assumptions'!$B$6/(52/12)-A156),0)</f>
        <v>0</v>
      </c>
      <c r="D156" s="17" t="n">
        <f aca="false">MIN((1-C156)*(1+'4. Survival and stay'!E156),'3. Assumptions'!$B$10)</f>
        <v>1.62</v>
      </c>
      <c r="E156" s="12" t="n">
        <f aca="false">B156*'2. The tape'!$B$15*'2. The tape'!$D$11*D156/12</f>
        <v>0.116422348067986</v>
      </c>
    </row>
    <row r="157" customFormat="false" ht="15" hidden="false" customHeight="false" outlineLevel="0" collapsed="false">
      <c r="A157" s="0" t="n">
        <v>152</v>
      </c>
      <c r="B157" s="33" t="n">
        <f aca="false">'4. Survival and stay'!$C$249*'4. Survival and stay'!C157</f>
        <v>0.000419723158322976</v>
      </c>
      <c r="C157" s="17" t="n">
        <f aca="false">IF(A157&lt;'3. Assumptions'!$B$6/(52/12),'3. Assumptions'!$B$5*MIN(1,'3. Assumptions'!$B$6/(52/12)-A157),0)</f>
        <v>0</v>
      </c>
      <c r="D157" s="17" t="n">
        <f aca="false">MIN((1-C157)*(1+'4. Survival and stay'!E157),'3. Assumptions'!$B$10)</f>
        <v>1.62</v>
      </c>
      <c r="E157" s="12" t="n">
        <f aca="false">B157*'2. The tape'!$B$15*'2. The tape'!$D$11*D157/12</f>
        <v>0.108680261921465</v>
      </c>
    </row>
    <row r="158" customFormat="false" ht="15" hidden="false" customHeight="false" outlineLevel="0" collapsed="false">
      <c r="A158" s="0" t="n">
        <v>153</v>
      </c>
      <c r="B158" s="33" t="n">
        <f aca="false">'4. Survival and stay'!$C$249*'4. Survival and stay'!C158</f>
        <v>0.000391811568294498</v>
      </c>
      <c r="C158" s="17" t="n">
        <f aca="false">IF(A158&lt;'3. Assumptions'!$B$6/(52/12),'3. Assumptions'!$B$5*MIN(1,'3. Assumptions'!$B$6/(52/12)-A158),0)</f>
        <v>0</v>
      </c>
      <c r="D158" s="17" t="n">
        <f aca="false">MIN((1-C158)*(1+'4. Survival and stay'!E158),'3. Assumptions'!$B$10)</f>
        <v>1.62</v>
      </c>
      <c r="E158" s="12" t="n">
        <f aca="false">B158*'2. The tape'!$B$15*'2. The tape'!$D$11*D158/12</f>
        <v>0.101453024503688</v>
      </c>
    </row>
    <row r="159" customFormat="false" ht="15" hidden="false" customHeight="false" outlineLevel="0" collapsed="false">
      <c r="A159" s="0" t="n">
        <v>154</v>
      </c>
      <c r="B159" s="33" t="n">
        <f aca="false">'4. Survival and stay'!$C$249*'4. Survival and stay'!C159</f>
        <v>0.000365756099002914</v>
      </c>
      <c r="C159" s="17" t="n">
        <f aca="false">IF(A159&lt;'3. Assumptions'!$B$6/(52/12),'3. Assumptions'!$B$5*MIN(1,'3. Assumptions'!$B$6/(52/12)-A159),0)</f>
        <v>0</v>
      </c>
      <c r="D159" s="17" t="n">
        <f aca="false">MIN((1-C159)*(1+'4. Survival and stay'!E159),'3. Assumptions'!$B$10)</f>
        <v>1.62</v>
      </c>
      <c r="E159" s="12" t="n">
        <f aca="false">B159*'2. The tape'!$B$15*'2. The tape'!$D$11*D159/12</f>
        <v>0.0947063983741925</v>
      </c>
    </row>
    <row r="160" customFormat="false" ht="15" hidden="false" customHeight="false" outlineLevel="0" collapsed="false">
      <c r="A160" s="0" t="n">
        <v>155</v>
      </c>
      <c r="B160" s="33" t="n">
        <f aca="false">'4. Survival and stay'!$C$249*'4. Survival and stay'!C160</f>
        <v>0.00034143331841922</v>
      </c>
      <c r="C160" s="17" t="n">
        <f aca="false">IF(A160&lt;'3. Assumptions'!$B$6/(52/12),'3. Assumptions'!$B$5*MIN(1,'3. Assumptions'!$B$6/(52/12)-A160),0)</f>
        <v>0</v>
      </c>
      <c r="D160" s="17" t="n">
        <f aca="false">MIN((1-C160)*(1+'4. Survival and stay'!E160),'3. Assumptions'!$B$10)</f>
        <v>1.62</v>
      </c>
      <c r="E160" s="12" t="n">
        <f aca="false">B160*'2. The tape'!$B$15*'2. The tape'!$D$11*D160/12</f>
        <v>0.0884084228823087</v>
      </c>
    </row>
    <row r="161" customFormat="false" ht="15" hidden="false" customHeight="false" outlineLevel="0" collapsed="false">
      <c r="A161" s="0" t="n">
        <v>156</v>
      </c>
      <c r="B161" s="33" t="n">
        <f aca="false">'4. Survival and stay'!$C$249*'4. Survival and stay'!C161</f>
        <v>0.000308485003191765</v>
      </c>
      <c r="C161" s="17" t="n">
        <f aca="false">IF(A161&lt;'3. Assumptions'!$B$6/(52/12),'3. Assumptions'!$B$5*MIN(1,'3. Assumptions'!$B$6/(52/12)-A161),0)</f>
        <v>0</v>
      </c>
      <c r="D161" s="17" t="n">
        <f aca="false">MIN((1-C161)*(1+'4. Survival and stay'!E161),'3. Assumptions'!$B$10)</f>
        <v>1.62</v>
      </c>
      <c r="E161" s="12" t="n">
        <f aca="false">B161*'2. The tape'!$B$15*'2. The tape'!$D$11*D161/12</f>
        <v>0.0798770100741659</v>
      </c>
    </row>
    <row r="162" customFormat="false" ht="15" hidden="false" customHeight="false" outlineLevel="0" collapsed="false">
      <c r="A162" s="0" t="n">
        <v>157</v>
      </c>
      <c r="B162" s="33" t="n">
        <f aca="false">'4. Survival and stay'!$C$249*'4. Survival and stay'!C162</f>
        <v>0.000287970750479513</v>
      </c>
      <c r="C162" s="17" t="n">
        <f aca="false">IF(A162&lt;'3. Assumptions'!$B$6/(52/12),'3. Assumptions'!$B$5*MIN(1,'3. Assumptions'!$B$6/(52/12)-A162),0)</f>
        <v>0</v>
      </c>
      <c r="D162" s="17" t="n">
        <f aca="false">MIN((1-C162)*(1+'4. Survival and stay'!E162),'3. Assumptions'!$B$10)</f>
        <v>1.62</v>
      </c>
      <c r="E162" s="12" t="n">
        <f aca="false">B162*'2. The tape'!$B$15*'2. The tape'!$D$11*D162/12</f>
        <v>0.0745651889042339</v>
      </c>
    </row>
    <row r="163" customFormat="false" ht="15" hidden="false" customHeight="false" outlineLevel="0" collapsed="false">
      <c r="A163" s="0" t="n">
        <v>158</v>
      </c>
      <c r="B163" s="33" t="n">
        <f aca="false">'4. Survival and stay'!$C$249*'4. Survival and stay'!C163</f>
        <v>0.000268820695572625</v>
      </c>
      <c r="C163" s="17" t="n">
        <f aca="false">IF(A163&lt;'3. Assumptions'!$B$6/(52/12),'3. Assumptions'!$B$5*MIN(1,'3. Assumptions'!$B$6/(52/12)-A163),0)</f>
        <v>0</v>
      </c>
      <c r="D163" s="17" t="n">
        <f aca="false">MIN((1-C163)*(1+'4. Survival and stay'!E163),'3. Assumptions'!$B$10)</f>
        <v>1.62</v>
      </c>
      <c r="E163" s="12" t="n">
        <f aca="false">B163*'2. The tape'!$B$15*'2. The tape'!$D$11*D163/12</f>
        <v>0.0696066038421023</v>
      </c>
    </row>
    <row r="164" customFormat="false" ht="15" hidden="false" customHeight="false" outlineLevel="0" collapsed="false">
      <c r="A164" s="0" t="n">
        <v>159</v>
      </c>
      <c r="B164" s="33" t="n">
        <f aca="false">'4. Survival and stay'!$C$249*'4. Survival and stay'!C164</f>
        <v>0.000250944119317046</v>
      </c>
      <c r="C164" s="17" t="n">
        <f aca="false">IF(A164&lt;'3. Assumptions'!$B$6/(52/12),'3. Assumptions'!$B$5*MIN(1,'3. Assumptions'!$B$6/(52/12)-A164),0)</f>
        <v>0</v>
      </c>
      <c r="D164" s="17" t="n">
        <f aca="false">MIN((1-C164)*(1+'4. Survival and stay'!E164),'3. Assumptions'!$B$10)</f>
        <v>1.62</v>
      </c>
      <c r="E164" s="12" t="n">
        <f aca="false">B164*'2. The tape'!$B$15*'2. The tape'!$D$11*D164/12</f>
        <v>0.0649777646866025</v>
      </c>
    </row>
    <row r="165" customFormat="false" ht="15" hidden="false" customHeight="false" outlineLevel="0" collapsed="false">
      <c r="A165" s="0" t="n">
        <v>160</v>
      </c>
      <c r="B165" s="33" t="n">
        <f aca="false">'4. Survival and stay'!$C$249*'4. Survival and stay'!C165</f>
        <v>0.000234256335382462</v>
      </c>
      <c r="C165" s="17" t="n">
        <f aca="false">IF(A165&lt;'3. Assumptions'!$B$6/(52/12),'3. Assumptions'!$B$5*MIN(1,'3. Assumptions'!$B$6/(52/12)-A165),0)</f>
        <v>0</v>
      </c>
      <c r="D165" s="17" t="n">
        <f aca="false">MIN((1-C165)*(1+'4. Survival and stay'!E165),'3. Assumptions'!$B$10)</f>
        <v>1.62</v>
      </c>
      <c r="E165" s="12" t="n">
        <f aca="false">B165*'2. The tape'!$B$15*'2. The tape'!$D$11*D165/12</f>
        <v>0.0606567433349434</v>
      </c>
    </row>
    <row r="166" customFormat="false" ht="15" hidden="false" customHeight="false" outlineLevel="0" collapsed="false">
      <c r="A166" s="0" t="n">
        <v>161</v>
      </c>
      <c r="B166" s="33" t="n">
        <f aca="false">'4. Survival and stay'!$C$249*'4. Survival and stay'!C166</f>
        <v>0.000218678289079528</v>
      </c>
      <c r="C166" s="17" t="n">
        <f aca="false">IF(A166&lt;'3. Assumptions'!$B$6/(52/12),'3. Assumptions'!$B$5*MIN(1,'3. Assumptions'!$B$6/(52/12)-A166),0)</f>
        <v>0</v>
      </c>
      <c r="D166" s="17" t="n">
        <f aca="false">MIN((1-C166)*(1+'4. Survival and stay'!E166),'3. Assumptions'!$B$10)</f>
        <v>1.62</v>
      </c>
      <c r="E166" s="12" t="n">
        <f aca="false">B166*'2. The tape'!$B$15*'2. The tape'!$D$11*D166/12</f>
        <v>0.0566230699031697</v>
      </c>
    </row>
    <row r="167" customFormat="false" ht="15" hidden="false" customHeight="false" outlineLevel="0" collapsed="false">
      <c r="A167" s="0" t="n">
        <v>162</v>
      </c>
      <c r="B167" s="33" t="n">
        <f aca="false">'4. Survival and stay'!$C$249*'4. Survival and stay'!C167</f>
        <v>0.000197575834183354</v>
      </c>
      <c r="C167" s="17" t="n">
        <f aca="false">IF(A167&lt;'3. Assumptions'!$B$6/(52/12),'3. Assumptions'!$B$5*MIN(1,'3. Assumptions'!$B$6/(52/12)-A167),0)</f>
        <v>0</v>
      </c>
      <c r="D167" s="17" t="n">
        <f aca="false">MIN((1-C167)*(1+'4. Survival and stay'!E167),'3. Assumptions'!$B$10)</f>
        <v>1.62</v>
      </c>
      <c r="E167" s="12" t="n">
        <f aca="false">B167*'2. The tape'!$B$15*'2. The tape'!$D$11*D167/12</f>
        <v>0.0511589436575138</v>
      </c>
    </row>
    <row r="168" customFormat="false" ht="15" hidden="false" customHeight="false" outlineLevel="0" collapsed="false">
      <c r="A168" s="0" t="n">
        <v>163</v>
      </c>
      <c r="B168" s="33" t="n">
        <f aca="false">'4. Survival and stay'!$C$249*'4. Survival and stay'!C168</f>
        <v>0.000184437041210161</v>
      </c>
      <c r="C168" s="17" t="n">
        <f aca="false">IF(A168&lt;'3. Assumptions'!$B$6/(52/12),'3. Assumptions'!$B$5*MIN(1,'3. Assumptions'!$B$6/(52/12)-A168),0)</f>
        <v>0</v>
      </c>
      <c r="D168" s="17" t="n">
        <f aca="false">MIN((1-C168)*(1+'4. Survival and stay'!E168),'3. Assumptions'!$B$10)</f>
        <v>1.62</v>
      </c>
      <c r="E168" s="12" t="n">
        <f aca="false">B168*'2. The tape'!$B$15*'2. The tape'!$D$11*D168/12</f>
        <v>0.0477568739042891</v>
      </c>
    </row>
    <row r="169" customFormat="false" ht="15" hidden="false" customHeight="false" outlineLevel="0" collapsed="false">
      <c r="A169" s="0" t="n">
        <v>164</v>
      </c>
      <c r="B169" s="33" t="n">
        <f aca="false">'4. Survival and stay'!$C$249*'4. Survival and stay'!C169</f>
        <v>0.000172171977969685</v>
      </c>
      <c r="C169" s="17" t="n">
        <f aca="false">IF(A169&lt;'3. Assumptions'!$B$6/(52/12),'3. Assumptions'!$B$5*MIN(1,'3. Assumptions'!$B$6/(52/12)-A169),0)</f>
        <v>0</v>
      </c>
      <c r="D169" s="17" t="n">
        <f aca="false">MIN((1-C169)*(1+'4. Survival and stay'!E169),'3. Assumptions'!$B$10)</f>
        <v>1.62</v>
      </c>
      <c r="E169" s="12" t="n">
        <f aca="false">B169*'2. The tape'!$B$15*'2. The tape'!$D$11*D169/12</f>
        <v>0.0445810417896539</v>
      </c>
    </row>
    <row r="170" customFormat="false" ht="15" hidden="false" customHeight="false" outlineLevel="0" collapsed="false">
      <c r="A170" s="0" t="n">
        <v>165</v>
      </c>
      <c r="B170" s="33" t="n">
        <f aca="false">'4. Survival and stay'!$C$249*'4. Survival and stay'!C170</f>
        <v>0.000160722541434701</v>
      </c>
      <c r="C170" s="17" t="n">
        <f aca="false">IF(A170&lt;'3. Assumptions'!$B$6/(52/12),'3. Assumptions'!$B$5*MIN(1,'3. Assumptions'!$B$6/(52/12)-A170),0)</f>
        <v>0</v>
      </c>
      <c r="D170" s="17" t="n">
        <f aca="false">MIN((1-C170)*(1+'4. Survival and stay'!E170),'3. Assumptions'!$B$10)</f>
        <v>1.62</v>
      </c>
      <c r="E170" s="12" t="n">
        <f aca="false">B170*'2. The tape'!$B$15*'2. The tape'!$D$11*D170/12</f>
        <v>0.0416164025106419</v>
      </c>
    </row>
    <row r="171" customFormat="false" ht="15" hidden="false" customHeight="false" outlineLevel="0" collapsed="false">
      <c r="A171" s="0" t="n">
        <v>166</v>
      </c>
      <c r="B171" s="33" t="n">
        <f aca="false">'4. Survival and stay'!$C$249*'4. Survival and stay'!C171</f>
        <v>0.000150034492429293</v>
      </c>
      <c r="C171" s="17" t="n">
        <f aca="false">IF(A171&lt;'3. Assumptions'!$B$6/(52/12),'3. Assumptions'!$B$5*MIN(1,'3. Assumptions'!$B$6/(52/12)-A171),0)</f>
        <v>0</v>
      </c>
      <c r="D171" s="17" t="n">
        <f aca="false">MIN((1-C171)*(1+'4. Survival and stay'!E171),'3. Assumptions'!$B$10)</f>
        <v>1.62</v>
      </c>
      <c r="E171" s="12" t="n">
        <f aca="false">B171*'2. The tape'!$B$15*'2. The tape'!$D$11*D171/12</f>
        <v>0.0388489117436842</v>
      </c>
    </row>
    <row r="172" customFormat="false" ht="15" hidden="false" customHeight="false" outlineLevel="0" collapsed="false">
      <c r="A172" s="0" t="n">
        <v>167</v>
      </c>
      <c r="B172" s="33" t="n">
        <f aca="false">'4. Survival and stay'!$C$249*'4. Survival and stay'!C172</f>
        <v>0.000140057198682745</v>
      </c>
      <c r="C172" s="17" t="n">
        <f aca="false">IF(A172&lt;'3. Assumptions'!$B$6/(52/12),'3. Assumptions'!$B$5*MIN(1,'3. Assumptions'!$B$6/(52/12)-A172),0)</f>
        <v>0</v>
      </c>
      <c r="D172" s="17" t="n">
        <f aca="false">MIN((1-C172)*(1+'4. Survival and stay'!E172),'3. Assumptions'!$B$10)</f>
        <v>1.62</v>
      </c>
      <c r="E172" s="12" t="n">
        <f aca="false">B172*'2. The tape'!$B$15*'2. The tape'!$D$11*D172/12</f>
        <v>0.0362654591127292</v>
      </c>
    </row>
    <row r="173" customFormat="false" ht="15" hidden="false" customHeight="false" outlineLevel="0" collapsed="false">
      <c r="A173" s="0" t="n">
        <v>168</v>
      </c>
      <c r="B173" s="33" t="n">
        <f aca="false">'4. Survival and stay'!$C$249*'4. Survival and stay'!C173</f>
        <v>0.000126541679009861</v>
      </c>
      <c r="C173" s="17" t="n">
        <f aca="false">IF(A173&lt;'3. Assumptions'!$B$6/(52/12),'3. Assumptions'!$B$5*MIN(1,'3. Assumptions'!$B$6/(52/12)-A173),0)</f>
        <v>0</v>
      </c>
      <c r="D173" s="17" t="n">
        <f aca="false">MIN((1-C173)*(1+'4. Survival and stay'!E173),'3. Assumptions'!$B$10)</f>
        <v>1.62</v>
      </c>
      <c r="E173" s="12" t="n">
        <f aca="false">B173*'2. The tape'!$B$15*'2. The tape'!$D$11*D173/12</f>
        <v>0.0327658423083509</v>
      </c>
    </row>
    <row r="174" customFormat="false" ht="15" hidden="false" customHeight="false" outlineLevel="0" collapsed="false">
      <c r="A174" s="0" t="n">
        <v>169</v>
      </c>
      <c r="B174" s="33" t="n">
        <f aca="false">'4. Survival and stay'!$C$249*'4. Survival and stay'!C174</f>
        <v>0.000118126657355705</v>
      </c>
      <c r="C174" s="17" t="n">
        <f aca="false">IF(A174&lt;'3. Assumptions'!$B$6/(52/12),'3. Assumptions'!$B$5*MIN(1,'3. Assumptions'!$B$6/(52/12)-A174),0)</f>
        <v>0</v>
      </c>
      <c r="D174" s="17" t="n">
        <f aca="false">MIN((1-C174)*(1+'4. Survival and stay'!E174),'3. Assumptions'!$B$10)</f>
        <v>1.62</v>
      </c>
      <c r="E174" s="12" t="n">
        <f aca="false">B174*'2. The tape'!$B$15*'2. The tape'!$D$11*D174/12</f>
        <v>0.0305869137948455</v>
      </c>
    </row>
    <row r="175" customFormat="false" ht="15" hidden="false" customHeight="false" outlineLevel="0" collapsed="false">
      <c r="A175" s="0" t="n">
        <v>170</v>
      </c>
      <c r="B175" s="33" t="n">
        <f aca="false">'4. Survival and stay'!$C$249*'4. Survival and stay'!C175</f>
        <v>0.00011027123464155</v>
      </c>
      <c r="C175" s="17" t="n">
        <f aca="false">IF(A175&lt;'3. Assumptions'!$B$6/(52/12),'3. Assumptions'!$B$5*MIN(1,'3. Assumptions'!$B$6/(52/12)-A175),0)</f>
        <v>0</v>
      </c>
      <c r="D175" s="17" t="n">
        <f aca="false">MIN((1-C175)*(1+'4. Survival and stay'!E175),'3. Assumptions'!$B$10)</f>
        <v>1.62</v>
      </c>
      <c r="E175" s="12" t="n">
        <f aca="false">B175*'2. The tape'!$B$15*'2. The tape'!$D$11*D175/12</f>
        <v>0.0285528840274883</v>
      </c>
    </row>
    <row r="176" customFormat="false" ht="15" hidden="false" customHeight="false" outlineLevel="0" collapsed="false">
      <c r="A176" s="0" t="n">
        <v>171</v>
      </c>
      <c r="B176" s="33" t="n">
        <f aca="false">'4. Survival and stay'!$C$249*'4. Survival and stay'!C176</f>
        <v>0.000102938197537887</v>
      </c>
      <c r="C176" s="17" t="n">
        <f aca="false">IF(A176&lt;'3. Assumptions'!$B$6/(52/12),'3. Assumptions'!$B$5*MIN(1,'3. Assumptions'!$B$6/(52/12)-A176),0)</f>
        <v>0</v>
      </c>
      <c r="D176" s="17" t="n">
        <f aca="false">MIN((1-C176)*(1+'4. Survival and stay'!E176),'3. Assumptions'!$B$10)</f>
        <v>1.62</v>
      </c>
      <c r="E176" s="12" t="n">
        <f aca="false">B176*'2. The tape'!$B$15*'2. The tape'!$D$11*D176/12</f>
        <v>0.0266541172396603</v>
      </c>
    </row>
    <row r="177" customFormat="false" ht="15" hidden="false" customHeight="false" outlineLevel="0" collapsed="false">
      <c r="A177" s="0" t="n">
        <v>172</v>
      </c>
      <c r="B177" s="33" t="n">
        <f aca="false">'4. Survival and stay'!$C$249*'4. Survival and stay'!C177</f>
        <v>9.60928074016178E-005</v>
      </c>
      <c r="C177" s="17" t="n">
        <f aca="false">IF(A177&lt;'3. Assumptions'!$B$6/(52/12),'3. Assumptions'!$B$5*MIN(1,'3. Assumptions'!$B$6/(52/12)-A177),0)</f>
        <v>0</v>
      </c>
      <c r="D177" s="17" t="n">
        <f aca="false">MIN((1-C177)*(1+'4. Survival and stay'!E177),'3. Assumptions'!$B$10)</f>
        <v>1.62</v>
      </c>
      <c r="E177" s="12" t="n">
        <f aca="false">B177*'2. The tape'!$B$15*'2. The tape'!$D$11*D177/12</f>
        <v>0.0248816184432229</v>
      </c>
    </row>
    <row r="178" customFormat="false" ht="15" hidden="false" customHeight="false" outlineLevel="0" collapsed="false">
      <c r="A178" s="0" t="n">
        <v>173</v>
      </c>
      <c r="B178" s="33" t="n">
        <f aca="false">'4. Survival and stay'!$C$249*'4. Survival and stay'!C178</f>
        <v>8.97026357094102E-005</v>
      </c>
      <c r="C178" s="17" t="n">
        <f aca="false">IF(A178&lt;'3. Assumptions'!$B$6/(52/12),'3. Assumptions'!$B$5*MIN(1,'3. Assumptions'!$B$6/(52/12)-A178),0)</f>
        <v>0</v>
      </c>
      <c r="D178" s="17" t="n">
        <f aca="false">MIN((1-C178)*(1+'4. Survival and stay'!E178),'3. Assumptions'!$B$10)</f>
        <v>1.62</v>
      </c>
      <c r="E178" s="12" t="n">
        <f aca="false">B178*'2. The tape'!$B$15*'2. The tape'!$D$11*D178/12</f>
        <v>0.0232269908167486</v>
      </c>
    </row>
    <row r="179" customFormat="false" ht="15" hidden="false" customHeight="false" outlineLevel="0" collapsed="false">
      <c r="A179" s="0" t="n">
        <v>174</v>
      </c>
      <c r="B179" s="33" t="n">
        <f aca="false">'4. Survival and stay'!$C$249*'4. Survival and stay'!C179</f>
        <v>8.10463313634521E-005</v>
      </c>
      <c r="C179" s="17" t="n">
        <f aca="false">IF(A179&lt;'3. Assumptions'!$B$6/(52/12),'3. Assumptions'!$B$5*MIN(1,'3. Assumptions'!$B$6/(52/12)-A179),0)</f>
        <v>0</v>
      </c>
      <c r="D179" s="17" t="n">
        <f aca="false">MIN((1-C179)*(1+'4. Survival and stay'!E179),'3. Assumptions'!$B$10)</f>
        <v>1.62</v>
      </c>
      <c r="E179" s="12" t="n">
        <f aca="false">B179*'2. The tape'!$B$15*'2. The tape'!$D$11*D179/12</f>
        <v>0.0209855862029324</v>
      </c>
    </row>
    <row r="180" customFormat="false" ht="15" hidden="false" customHeight="false" outlineLevel="0" collapsed="false">
      <c r="A180" s="0" t="n">
        <v>175</v>
      </c>
      <c r="B180" s="33" t="n">
        <f aca="false">'4. Survival and stay'!$C$249*'4. Survival and stay'!C180</f>
        <v>7.56567503277826E-005</v>
      </c>
      <c r="C180" s="17" t="n">
        <f aca="false">IF(A180&lt;'3. Assumptions'!$B$6/(52/12),'3. Assumptions'!$B$5*MIN(1,'3. Assumptions'!$B$6/(52/12)-A180),0)</f>
        <v>0</v>
      </c>
      <c r="D180" s="17" t="n">
        <f aca="false">MIN((1-C180)*(1+'4. Survival and stay'!E180),'3. Assumptions'!$B$10)</f>
        <v>1.62</v>
      </c>
      <c r="E180" s="12" t="n">
        <f aca="false">B180*'2. The tape'!$B$15*'2. The tape'!$D$11*D180/12</f>
        <v>0.0195900447204374</v>
      </c>
    </row>
    <row r="181" customFormat="false" ht="15" hidden="false" customHeight="false" outlineLevel="0" collapsed="false">
      <c r="A181" s="0" t="n">
        <v>176</v>
      </c>
      <c r="B181" s="33" t="n">
        <f aca="false">'4. Survival and stay'!$C$249*'4. Survival and stay'!C181</f>
        <v>7.0625576430985E-005</v>
      </c>
      <c r="C181" s="17" t="n">
        <f aca="false">IF(A181&lt;'3. Assumptions'!$B$6/(52/12),'3. Assumptions'!$B$5*MIN(1,'3. Assumptions'!$B$6/(52/12)-A181),0)</f>
        <v>0</v>
      </c>
      <c r="D181" s="17" t="n">
        <f aca="false">MIN((1-C181)*(1+'4. Survival and stay'!E181),'3. Assumptions'!$B$10)</f>
        <v>1.62</v>
      </c>
      <c r="E181" s="12" t="n">
        <f aca="false">B181*'2. The tape'!$B$15*'2. The tape'!$D$11*D181/12</f>
        <v>0.0182873067465283</v>
      </c>
    </row>
    <row r="182" customFormat="false" ht="15" hidden="false" customHeight="false" outlineLevel="0" collapsed="false">
      <c r="A182" s="0" t="n">
        <v>177</v>
      </c>
      <c r="B182" s="33" t="n">
        <f aca="false">'4. Survival and stay'!$C$249*'4. Survival and stay'!C182</f>
        <v>6.59289755983245E-005</v>
      </c>
      <c r="C182" s="17" t="n">
        <f aca="false">IF(A182&lt;'3. Assumptions'!$B$6/(52/12),'3. Assumptions'!$B$5*MIN(1,'3. Assumptions'!$B$6/(52/12)-A182),0)</f>
        <v>0</v>
      </c>
      <c r="D182" s="17" t="n">
        <f aca="false">MIN((1-C182)*(1+'4. Survival and stay'!E182),'3. Assumptions'!$B$10)</f>
        <v>1.62</v>
      </c>
      <c r="E182" s="12" t="n">
        <f aca="false">B182*'2. The tape'!$B$15*'2. The tape'!$D$11*D182/12</f>
        <v>0.0170712008478841</v>
      </c>
    </row>
    <row r="183" customFormat="false" ht="15" hidden="false" customHeight="false" outlineLevel="0" collapsed="false">
      <c r="A183" s="0" t="n">
        <v>178</v>
      </c>
      <c r="B183" s="33" t="n">
        <f aca="false">'4. Survival and stay'!$C$249*'4. Survival and stay'!C183</f>
        <v>6.15446987210359E-005</v>
      </c>
      <c r="C183" s="17" t="n">
        <f aca="false">IF(A183&lt;'3. Assumptions'!$B$6/(52/12),'3. Assumptions'!$B$5*MIN(1,'3. Assumptions'!$B$6/(52/12)-A183),0)</f>
        <v>0</v>
      </c>
      <c r="D183" s="17" t="n">
        <f aca="false">MIN((1-C183)*(1+'4. Survival and stay'!E183),'3. Assumptions'!$B$10)</f>
        <v>1.62</v>
      </c>
      <c r="E183" s="12" t="n">
        <f aca="false">B183*'2. The tape'!$B$15*'2. The tape'!$D$11*D183/12</f>
        <v>0.0159359659914998</v>
      </c>
    </row>
    <row r="184" customFormat="false" ht="15" hidden="false" customHeight="false" outlineLevel="0" collapsed="false">
      <c r="A184" s="0" t="n">
        <v>179</v>
      </c>
      <c r="B184" s="33" t="n">
        <f aca="false">'4. Survival and stay'!$C$249*'4. Survival and stay'!C184</f>
        <v>5.7451976256087E-005</v>
      </c>
      <c r="C184" s="17" t="n">
        <f aca="false">IF(A184&lt;'3. Assumptions'!$B$6/(52/12),'3. Assumptions'!$B$5*MIN(1,'3. Assumptions'!$B$6/(52/12)-A184),0)</f>
        <v>0</v>
      </c>
      <c r="D184" s="17" t="n">
        <f aca="false">MIN((1-C184)*(1+'4. Survival and stay'!E184),'3. Assumptions'!$B$10)</f>
        <v>1.62</v>
      </c>
      <c r="E184" s="12" t="n">
        <f aca="false">B184*'2. The tape'!$B$15*'2. The tape'!$D$11*D184/12</f>
        <v>0.0148762242530651</v>
      </c>
    </row>
    <row r="185" customFormat="false" ht="15" hidden="false" customHeight="false" outlineLevel="0" collapsed="false">
      <c r="A185" s="0" t="n">
        <v>180</v>
      </c>
      <c r="B185" s="33" t="n">
        <f aca="false">'4. Survival and stay'!$C$249*'4. Survival and stay'!C185</f>
        <v>5.19078605473746E-005</v>
      </c>
      <c r="C185" s="17" t="n">
        <f aca="false">IF(A185&lt;'3. Assumptions'!$B$6/(52/12),'3. Assumptions'!$B$5*MIN(1,'3. Assumptions'!$B$6/(52/12)-A185),0)</f>
        <v>0</v>
      </c>
      <c r="D185" s="17" t="n">
        <f aca="false">MIN((1-C185)*(1+'4. Survival and stay'!E185),'3. Assumptions'!$B$10)</f>
        <v>1.62</v>
      </c>
      <c r="E185" s="12" t="n">
        <f aca="false">B185*'2. The tape'!$B$15*'2. The tape'!$D$11*D185/12</f>
        <v>0.0134406686126443</v>
      </c>
    </row>
    <row r="186" customFormat="false" ht="15" hidden="false" customHeight="false" outlineLevel="0" collapsed="false">
      <c r="A186" s="0" t="n">
        <v>181</v>
      </c>
      <c r="B186" s="33" t="n">
        <f aca="false">'4. Survival and stay'!$C$249*'4. Survival and stay'!C186</f>
        <v>4.84559878209742E-005</v>
      </c>
      <c r="C186" s="17" t="n">
        <f aca="false">IF(A186&lt;'3. Assumptions'!$B$6/(52/12),'3. Assumptions'!$B$5*MIN(1,'3. Assumptions'!$B$6/(52/12)-A186),0)</f>
        <v>0</v>
      </c>
      <c r="D186" s="17" t="n">
        <f aca="false">MIN((1-C186)*(1+'4. Survival and stay'!E186),'3. Assumptions'!$B$10)</f>
        <v>1.62</v>
      </c>
      <c r="E186" s="12" t="n">
        <f aca="false">B186*'2. The tape'!$B$15*'2. The tape'!$D$11*D186/12</f>
        <v>0.0125468641499035</v>
      </c>
    </row>
    <row r="187" customFormat="false" ht="15" hidden="false" customHeight="false" outlineLevel="0" collapsed="false">
      <c r="A187" s="0" t="n">
        <v>182</v>
      </c>
      <c r="B187" s="33" t="n">
        <f aca="false">'4. Survival and stay'!$C$249*'4. Survival and stay'!C187</f>
        <v>4.52336646308794E-005</v>
      </c>
      <c r="C187" s="17" t="n">
        <f aca="false">IF(A187&lt;'3. Assumptions'!$B$6/(52/12),'3. Assumptions'!$B$5*MIN(1,'3. Assumptions'!$B$6/(52/12)-A187),0)</f>
        <v>0</v>
      </c>
      <c r="D187" s="17" t="n">
        <f aca="false">MIN((1-C187)*(1+'4. Survival and stay'!E187),'3. Assumptions'!$B$10)</f>
        <v>1.62</v>
      </c>
      <c r="E187" s="12" t="n">
        <f aca="false">B187*'2. The tape'!$B$15*'2. The tape'!$D$11*D187/12</f>
        <v>0.0117124976839349</v>
      </c>
    </row>
    <row r="188" customFormat="false" ht="15" hidden="false" customHeight="false" outlineLevel="0" collapsed="false">
      <c r="A188" s="0" t="n">
        <v>183</v>
      </c>
      <c r="B188" s="33" t="n">
        <f aca="false">'4. Survival and stay'!$C$249*'4. Survival and stay'!C188</f>
        <v>4.2225625932926E-005</v>
      </c>
      <c r="C188" s="17" t="n">
        <f aca="false">IF(A188&lt;'3. Assumptions'!$B$6/(52/12),'3. Assumptions'!$B$5*MIN(1,'3. Assumptions'!$B$6/(52/12)-A188),0)</f>
        <v>0</v>
      </c>
      <c r="D188" s="17" t="n">
        <f aca="false">MIN((1-C188)*(1+'4. Survival and stay'!E188),'3. Assumptions'!$B$10)</f>
        <v>1.62</v>
      </c>
      <c r="E188" s="12" t="n">
        <f aca="false">B188*'2. The tape'!$B$15*'2. The tape'!$D$11*D188/12</f>
        <v>0.0109336165879532</v>
      </c>
    </row>
    <row r="189" customFormat="false" ht="15" hidden="false" customHeight="false" outlineLevel="0" collapsed="false">
      <c r="A189" s="0" t="n">
        <v>184</v>
      </c>
      <c r="B189" s="33" t="n">
        <f aca="false">'4. Survival and stay'!$C$249*'4. Survival and stay'!C189</f>
        <v>3.94176218083864E-005</v>
      </c>
      <c r="C189" s="17" t="n">
        <f aca="false">IF(A189&lt;'3. Assumptions'!$B$6/(52/12),'3. Assumptions'!$B$5*MIN(1,'3. Assumptions'!$B$6/(52/12)-A189),0)</f>
        <v>0</v>
      </c>
      <c r="D189" s="17" t="n">
        <f aca="false">MIN((1-C189)*(1+'4. Survival and stay'!E189),'3. Assumptions'!$B$10)</f>
        <v>1.62</v>
      </c>
      <c r="E189" s="12" t="n">
        <f aca="false">B189*'2. The tape'!$B$15*'2. The tape'!$D$11*D189/12</f>
        <v>0.0102065310848543</v>
      </c>
    </row>
    <row r="190" customFormat="false" ht="15" hidden="false" customHeight="false" outlineLevel="0" collapsed="false">
      <c r="A190" s="0" t="n">
        <v>185</v>
      </c>
      <c r="B190" s="33" t="n">
        <f aca="false">'4. Survival and stay'!$C$249*'4. Survival and stay'!C190</f>
        <v>3.67963499581287E-005</v>
      </c>
      <c r="C190" s="17" t="n">
        <f aca="false">IF(A190&lt;'3. Assumptions'!$B$6/(52/12),'3. Assumptions'!$B$5*MIN(1,'3. Assumptions'!$B$6/(52/12)-A190),0)</f>
        <v>0</v>
      </c>
      <c r="D190" s="17" t="n">
        <f aca="false">MIN((1-C190)*(1+'4. Survival and stay'!E190),'3. Assumptions'!$B$10)</f>
        <v>1.62</v>
      </c>
      <c r="E190" s="12" t="n">
        <f aca="false">B190*'2. The tape'!$B$15*'2. The tape'!$D$11*D190/12</f>
        <v>0.00952779676771152</v>
      </c>
    </row>
    <row r="191" customFormat="false" ht="15" hidden="false" customHeight="false" outlineLevel="0" collapsed="false">
      <c r="A191" s="0" t="n">
        <v>186</v>
      </c>
      <c r="B191" s="33" t="n">
        <f aca="false">'4. Survival and stay'!$C$249*'4. Survival and stay'!C191</f>
        <v>3.32455021871693E-005</v>
      </c>
      <c r="C191" s="17" t="n">
        <f aca="false">IF(A191&lt;'3. Assumptions'!$B$6/(52/12),'3. Assumptions'!$B$5*MIN(1,'3. Assumptions'!$B$6/(52/12)-A191),0)</f>
        <v>0</v>
      </c>
      <c r="D191" s="17" t="n">
        <f aca="false">MIN((1-C191)*(1+'4. Survival and stay'!E191),'3. Assumptions'!$B$10)</f>
        <v>1.62</v>
      </c>
      <c r="E191" s="12" t="n">
        <f aca="false">B191*'2. The tape'!$B$15*'2. The tape'!$D$11*D191/12</f>
        <v>0.00860836437962736</v>
      </c>
    </row>
    <row r="192" customFormat="false" ht="15" hidden="false" customHeight="false" outlineLevel="0" collapsed="false">
      <c r="A192" s="0" t="n">
        <v>187</v>
      </c>
      <c r="B192" s="33" t="n">
        <f aca="false">'4. Survival and stay'!$C$249*'4. Survival and stay'!C192</f>
        <v>3.10346762917225E-005</v>
      </c>
      <c r="C192" s="17" t="n">
        <f aca="false">IF(A192&lt;'3. Assumptions'!$B$6/(52/12),'3. Assumptions'!$B$5*MIN(1,'3. Assumptions'!$B$6/(52/12)-A192),0)</f>
        <v>0</v>
      </c>
      <c r="D192" s="17" t="n">
        <f aca="false">MIN((1-C192)*(1+'4. Survival and stay'!E192),'3. Assumptions'!$B$10)</f>
        <v>1.62</v>
      </c>
      <c r="E192" s="12" t="n">
        <f aca="false">B192*'2. The tape'!$B$15*'2. The tape'!$D$11*D192/12</f>
        <v>0.00803590814838214</v>
      </c>
    </row>
    <row r="193" customFormat="false" ht="15" hidden="false" customHeight="false" outlineLevel="0" collapsed="false">
      <c r="A193" s="0" t="n">
        <v>188</v>
      </c>
      <c r="B193" s="33" t="n">
        <f aca="false">'4. Survival and stay'!$C$249*'4. Survival and stay'!C193</f>
        <v>2.8970870318323E-005</v>
      </c>
      <c r="C193" s="17" t="n">
        <f aca="false">IF(A193&lt;'3. Assumptions'!$B$6/(52/12),'3. Assumptions'!$B$5*MIN(1,'3. Assumptions'!$B$6/(52/12)-A193),0)</f>
        <v>0</v>
      </c>
      <c r="D193" s="17" t="n">
        <f aca="false">MIN((1-C193)*(1+'4. Survival and stay'!E193),'3. Assumptions'!$B$10)</f>
        <v>1.62</v>
      </c>
      <c r="E193" s="12" t="n">
        <f aca="false">B193*'2. The tape'!$B$15*'2. The tape'!$D$11*D193/12</f>
        <v>0.00750152025651473</v>
      </c>
    </row>
    <row r="194" customFormat="false" ht="15" hidden="false" customHeight="false" outlineLevel="0" collapsed="false">
      <c r="A194" s="0" t="n">
        <v>189</v>
      </c>
      <c r="B194" s="33" t="n">
        <f aca="false">'4. Survival and stay'!$C$249*'4. Survival and stay'!C194</f>
        <v>2.70443074421545E-005</v>
      </c>
      <c r="C194" s="17" t="n">
        <f aca="false">IF(A194&lt;'3. Assumptions'!$B$6/(52/12),'3. Assumptions'!$B$5*MIN(1,'3. Assumptions'!$B$6/(52/12)-A194),0)</f>
        <v>0</v>
      </c>
      <c r="D194" s="17" t="n">
        <f aca="false">MIN((1-C194)*(1+'4. Survival and stay'!E194),'3. Assumptions'!$B$10)</f>
        <v>1.62</v>
      </c>
      <c r="E194" s="12" t="n">
        <f aca="false">B194*'2. The tape'!$B$15*'2. The tape'!$D$11*D194/12</f>
        <v>0.0070026691594565</v>
      </c>
    </row>
    <row r="195" customFormat="false" ht="15" hidden="false" customHeight="false" outlineLevel="0" collapsed="false">
      <c r="A195" s="0" t="n">
        <v>190</v>
      </c>
      <c r="B195" s="33" t="n">
        <f aca="false">'4. Survival and stay'!$C$249*'4. Survival and stay'!C195</f>
        <v>2.52458609972512E-005</v>
      </c>
      <c r="C195" s="17" t="n">
        <f aca="false">IF(A195&lt;'3. Assumptions'!$B$6/(52/12),'3. Assumptions'!$B$5*MIN(1,'3. Assumptions'!$B$6/(52/12)-A195),0)</f>
        <v>0</v>
      </c>
      <c r="D195" s="17" t="n">
        <f aca="false">MIN((1-C195)*(1+'4. Survival and stay'!E195),'3. Assumptions'!$B$10)</f>
        <v>1.62</v>
      </c>
      <c r="E195" s="12" t="n">
        <f aca="false">B195*'2. The tape'!$B$15*'2. The tape'!$D$11*D195/12</f>
        <v>0.00653699166035264</v>
      </c>
    </row>
    <row r="196" customFormat="false" ht="15" hidden="false" customHeight="false" outlineLevel="0" collapsed="false">
      <c r="A196" s="0" t="n">
        <v>191</v>
      </c>
      <c r="B196" s="33" t="n">
        <f aca="false">'4. Survival and stay'!$C$249*'4. Survival and stay'!C196</f>
        <v>2.3567011240934E-005</v>
      </c>
      <c r="C196" s="17" t="n">
        <f aca="false">IF(A196&lt;'3. Assumptions'!$B$6/(52/12),'3. Assumptions'!$B$5*MIN(1,'3. Assumptions'!$B$6/(52/12)-A196),0)</f>
        <v>0</v>
      </c>
      <c r="D196" s="17" t="n">
        <f aca="false">MIN((1-C196)*(1+'4. Survival and stay'!E196),'3. Assumptions'!$B$10)</f>
        <v>1.62</v>
      </c>
      <c r="E196" s="12" t="n">
        <f aca="false">B196*'2. The tape'!$B$15*'2. The tape'!$D$11*D196/12</f>
        <v>0.00610228171493919</v>
      </c>
    </row>
    <row r="197" customFormat="false" ht="15" hidden="false" customHeight="false" outlineLevel="0" collapsed="false">
      <c r="A197" s="0" t="n">
        <v>192</v>
      </c>
      <c r="B197" s="33" t="n">
        <f aca="false">'4. Survival and stay'!$C$249*'4. Survival and stay'!C197</f>
        <v>2.12927946561839E-005</v>
      </c>
      <c r="C197" s="17" t="n">
        <f aca="false">IF(A197&lt;'3. Assumptions'!$B$6/(52/12),'3. Assumptions'!$B$5*MIN(1,'3. Assumptions'!$B$6/(52/12)-A197),0)</f>
        <v>0</v>
      </c>
      <c r="D197" s="17" t="n">
        <f aca="false">MIN((1-C197)*(1+'4. Survival and stay'!E197),'3. Assumptions'!$B$10)</f>
        <v>1.62</v>
      </c>
      <c r="E197" s="12" t="n">
        <f aca="false">B197*'2. The tape'!$B$15*'2. The tape'!$D$11*D197/12</f>
        <v>0.00551341152944756</v>
      </c>
    </row>
    <row r="198" customFormat="false" ht="15" hidden="false" customHeight="false" outlineLevel="0" collapsed="false">
      <c r="A198" s="0" t="n">
        <v>193</v>
      </c>
      <c r="B198" s="33" t="n">
        <f aca="false">'4. Survival and stay'!$C$249*'4. Survival and stay'!C198</f>
        <v>1.98768238115476E-005</v>
      </c>
      <c r="C198" s="17" t="n">
        <f aca="false">IF(A198&lt;'3. Assumptions'!$B$6/(52/12),'3. Assumptions'!$B$5*MIN(1,'3. Assumptions'!$B$6/(52/12)-A198),0)</f>
        <v>0</v>
      </c>
      <c r="D198" s="17" t="n">
        <f aca="false">MIN((1-C198)*(1+'4. Survival and stay'!E198),'3. Assumptions'!$B$10)</f>
        <v>1.62</v>
      </c>
      <c r="E198" s="12" t="n">
        <f aca="false">B198*'2. The tape'!$B$15*'2. The tape'!$D$11*D198/12</f>
        <v>0.00514676966273929</v>
      </c>
    </row>
    <row r="199" customFormat="false" ht="15" hidden="false" customHeight="false" outlineLevel="0" collapsed="false">
      <c r="A199" s="0" t="n">
        <v>194</v>
      </c>
      <c r="B199" s="33" t="n">
        <f aca="false">'4. Survival and stay'!$C$249*'4. Survival and stay'!C199</f>
        <v>1.85550150280797E-005</v>
      </c>
      <c r="C199" s="17" t="n">
        <f aca="false">IF(A199&lt;'3. Assumptions'!$B$6/(52/12),'3. Assumptions'!$B$5*MIN(1,'3. Assumptions'!$B$6/(52/12)-A199),0)</f>
        <v>0</v>
      </c>
      <c r="D199" s="17" t="n">
        <f aca="false">MIN((1-C199)*(1+'4. Survival and stay'!E199),'3. Assumptions'!$B$10)</f>
        <v>1.62</v>
      </c>
      <c r="E199" s="12" t="n">
        <f aca="false">B199*'2. The tape'!$B$15*'2. The tape'!$D$11*D199/12</f>
        <v>0.00480450948016713</v>
      </c>
    </row>
    <row r="200" customFormat="false" ht="15" hidden="false" customHeight="false" outlineLevel="0" collapsed="false">
      <c r="A200" s="0" t="n">
        <v>195</v>
      </c>
      <c r="B200" s="33" t="n">
        <f aca="false">'4. Survival and stay'!$C$249*'4. Survival and stay'!C200</f>
        <v>1.73211065287124E-005</v>
      </c>
      <c r="C200" s="17" t="n">
        <f aca="false">IF(A200&lt;'3. Assumptions'!$B$6/(52/12),'3. Assumptions'!$B$5*MIN(1,'3. Assumptions'!$B$6/(52/12)-A200),0)</f>
        <v>0</v>
      </c>
      <c r="D200" s="17" t="n">
        <f aca="false">MIN((1-C200)*(1+'4. Survival and stay'!E200),'3. Assumptions'!$B$10)</f>
        <v>1.62</v>
      </c>
      <c r="E200" s="12" t="n">
        <f aca="false">B200*'2. The tape'!$B$15*'2. The tape'!$D$11*D200/12</f>
        <v>0.00448500959973602</v>
      </c>
    </row>
    <row r="201" customFormat="false" ht="15" hidden="false" customHeight="false" outlineLevel="0" collapsed="false">
      <c r="A201" s="0" t="n">
        <v>196</v>
      </c>
      <c r="B201" s="33" t="n">
        <f aca="false">'4. Survival and stay'!$C$249*'4. Survival and stay'!C201</f>
        <v>1.61692529445531E-005</v>
      </c>
      <c r="C201" s="17" t="n">
        <f aca="false">IF(A201&lt;'3. Assumptions'!$B$6/(52/12),'3. Assumptions'!$B$5*MIN(1,'3. Assumptions'!$B$6/(52/12)-A201),0)</f>
        <v>0</v>
      </c>
      <c r="D201" s="17" t="n">
        <f aca="false">MIN((1-C201)*(1+'4. Survival and stay'!E201),'3. Assumptions'!$B$10)</f>
        <v>1.62</v>
      </c>
      <c r="E201" s="12" t="n">
        <f aca="false">B201*'2. The tape'!$B$15*'2. The tape'!$D$11*D201/12</f>
        <v>0.00418675646135357</v>
      </c>
    </row>
    <row r="202" customFormat="false" ht="15" hidden="false" customHeight="false" outlineLevel="0" collapsed="false">
      <c r="A202" s="0" t="n">
        <v>197</v>
      </c>
      <c r="B202" s="33" t="n">
        <f aca="false">'4. Survival and stay'!$C$249*'4. Survival and stay'!C202</f>
        <v>1.50939976237403E-005</v>
      </c>
      <c r="C202" s="17" t="n">
        <f aca="false">IF(A202&lt;'3. Assumptions'!$B$6/(52/12),'3. Assumptions'!$B$5*MIN(1,'3. Assumptions'!$B$6/(52/12)-A202),0)</f>
        <v>0</v>
      </c>
      <c r="D202" s="17" t="n">
        <f aca="false">MIN((1-C202)*(1+'4. Survival and stay'!E202),'3. Assumptions'!$B$10)</f>
        <v>1.62</v>
      </c>
      <c r="E202" s="12" t="n">
        <f aca="false">B202*'2. The tape'!$B$15*'2. The tape'!$D$11*D202/12</f>
        <v>0.00390833715667356</v>
      </c>
    </row>
    <row r="203" customFormat="false" ht="15" hidden="false" customHeight="false" outlineLevel="0" collapsed="false">
      <c r="A203" s="0" t="n">
        <v>198</v>
      </c>
      <c r="B203" s="33" t="n">
        <f aca="false">'4. Survival and stay'!$C$249*'4. Survival and stay'!C203</f>
        <v>1.36374268530493E-005</v>
      </c>
      <c r="C203" s="17" t="n">
        <f aca="false">IF(A203&lt;'3. Assumptions'!$B$6/(52/12),'3. Assumptions'!$B$5*MIN(1,'3. Assumptions'!$B$6/(52/12)-A203),0)</f>
        <v>0</v>
      </c>
      <c r="D203" s="17" t="n">
        <f aca="false">MIN((1-C203)*(1+'4. Survival and stay'!E203),'3. Assumptions'!$B$10)</f>
        <v>1.62</v>
      </c>
      <c r="E203" s="12" t="n">
        <f aca="false">B203*'2. The tape'!$B$15*'2. The tape'!$D$11*D203/12</f>
        <v>0.00353118262105456</v>
      </c>
    </row>
    <row r="204" customFormat="false" ht="15" hidden="false" customHeight="false" outlineLevel="0" collapsed="false">
      <c r="A204" s="0" t="n">
        <v>199</v>
      </c>
      <c r="B204" s="33" t="n">
        <f aca="false">'4. Survival and stay'!$C$249*'4. Survival and stay'!C204</f>
        <v>1.27305379673216E-005</v>
      </c>
      <c r="C204" s="17" t="n">
        <f aca="false">IF(A204&lt;'3. Assumptions'!$B$6/(52/12),'3. Assumptions'!$B$5*MIN(1,'3. Assumptions'!$B$6/(52/12)-A204),0)</f>
        <v>0</v>
      </c>
      <c r="D204" s="17" t="n">
        <f aca="false">MIN((1-C204)*(1+'4. Survival and stay'!E204),'3. Assumptions'!$B$10)</f>
        <v>1.62</v>
      </c>
      <c r="E204" s="12" t="n">
        <f aca="false">B204*'2. The tape'!$B$15*'2. The tape'!$D$11*D204/12</f>
        <v>0.00329635897675443</v>
      </c>
    </row>
    <row r="205" customFormat="false" ht="15" hidden="false" customHeight="false" outlineLevel="0" collapsed="false">
      <c r="A205" s="0" t="n">
        <v>200</v>
      </c>
      <c r="B205" s="33" t="n">
        <f aca="false">'4. Survival and stay'!$C$249*'4. Survival and stay'!C205</f>
        <v>1.18839571924947E-005</v>
      </c>
      <c r="C205" s="17" t="n">
        <f aca="false">IF(A205&lt;'3. Assumptions'!$B$6/(52/12),'3. Assumptions'!$B$5*MIN(1,'3. Assumptions'!$B$6/(52/12)-A205),0)</f>
        <v>0</v>
      </c>
      <c r="D205" s="17" t="n">
        <f aca="false">MIN((1-C205)*(1+'4. Survival and stay'!E205),'3. Assumptions'!$B$10)</f>
        <v>1.62</v>
      </c>
      <c r="E205" s="12" t="n">
        <f aca="false">B205*'2. The tape'!$B$15*'2. The tape'!$D$11*D205/12</f>
        <v>0.00307715110480026</v>
      </c>
    </row>
    <row r="206" customFormat="false" ht="15" hidden="false" customHeight="false" outlineLevel="0" collapsed="false">
      <c r="A206" s="0" t="n">
        <v>201</v>
      </c>
      <c r="B206" s="33" t="n">
        <f aca="false">'4. Survival and stay'!$C$249*'4. Survival and stay'!C206</f>
        <v>1.10936740391938E-005</v>
      </c>
      <c r="C206" s="17" t="n">
        <f aca="false">IF(A206&lt;'3. Assumptions'!$B$6/(52/12),'3. Assumptions'!$B$5*MIN(1,'3. Assumptions'!$B$6/(52/12)-A206),0)</f>
        <v>0</v>
      </c>
      <c r="D206" s="17" t="n">
        <f aca="false">MIN((1-C206)*(1+'4. Survival and stay'!E206),'3. Assumptions'!$B$10)</f>
        <v>1.62</v>
      </c>
      <c r="E206" s="12" t="n">
        <f aca="false">B206*'2. The tape'!$B$15*'2. The tape'!$D$11*D206/12</f>
        <v>0.00287252055633105</v>
      </c>
    </row>
    <row r="207" customFormat="false" ht="15" hidden="false" customHeight="false" outlineLevel="0" collapsed="false">
      <c r="A207" s="0" t="n">
        <v>202</v>
      </c>
      <c r="B207" s="33" t="n">
        <f aca="false">'4. Survival and stay'!$C$249*'4. Survival and stay'!C207</f>
        <v>1.03559447155874E-005</v>
      </c>
      <c r="C207" s="17" t="n">
        <f aca="false">IF(A207&lt;'3. Assumptions'!$B$6/(52/12),'3. Assumptions'!$B$5*MIN(1,'3. Assumptions'!$B$6/(52/12)-A207),0)</f>
        <v>0</v>
      </c>
      <c r="D207" s="17" t="n">
        <f aca="false">MIN((1-C207)*(1+'4. Survival and stay'!E207),'3. Assumptions'!$B$10)</f>
        <v>1.62</v>
      </c>
      <c r="E207" s="12" t="n">
        <f aca="false">B207*'2. The tape'!$B$15*'2. The tape'!$D$11*D207/12</f>
        <v>0.00268149793933503</v>
      </c>
    </row>
    <row r="208" customFormat="false" ht="15" hidden="false" customHeight="false" outlineLevel="0" collapsed="false">
      <c r="A208" s="0" t="n">
        <v>203</v>
      </c>
      <c r="B208" s="33" t="n">
        <f aca="false">'4. Survival and stay'!$C$249*'4. Survival and stay'!C208</f>
        <v>9.66727439200083E-006</v>
      </c>
      <c r="C208" s="17" t="n">
        <f aca="false">IF(A208&lt;'3. Assumptions'!$B$6/(52/12),'3. Assumptions'!$B$5*MIN(1,'3. Assumptions'!$B$6/(52/12)-A208),0)</f>
        <v>0</v>
      </c>
      <c r="D208" s="17" t="n">
        <f aca="false">MIN((1-C208)*(1+'4. Survival and stay'!E208),'3. Assumptions'!$B$10)</f>
        <v>1.62</v>
      </c>
      <c r="E208" s="12" t="n">
        <f aca="false">B208*'2. The tape'!$B$15*'2. The tape'!$D$11*D208/12</f>
        <v>0.00250317832636925</v>
      </c>
    </row>
    <row r="209" customFormat="false" ht="15" hidden="false" customHeight="false" outlineLevel="0" collapsed="false">
      <c r="A209" s="0" t="n">
        <v>204</v>
      </c>
      <c r="B209" s="33" t="n">
        <f aca="false">'4. Survival and stay'!$C$249*'4. Survival and stay'!C209</f>
        <v>8.73438241317275E-006</v>
      </c>
      <c r="C209" s="17" t="n">
        <f aca="false">IF(A209&lt;'3. Assumptions'!$B$6/(52/12),'3. Assumptions'!$B$5*MIN(1,'3. Assumptions'!$B$6/(52/12)-A209),0)</f>
        <v>0</v>
      </c>
      <c r="D209" s="17" t="n">
        <f aca="false">MIN((1-C209)*(1+'4. Survival and stay'!E209),'3. Assumptions'!$B$10)</f>
        <v>1.62</v>
      </c>
      <c r="E209" s="12" t="n">
        <f aca="false">B209*'2. The tape'!$B$15*'2. The tape'!$D$11*D209/12</f>
        <v>0.00226162161787462</v>
      </c>
    </row>
    <row r="210" customFormat="false" ht="15" hidden="false" customHeight="false" outlineLevel="0" collapsed="false">
      <c r="A210" s="0" t="n">
        <v>205</v>
      </c>
      <c r="B210" s="33" t="n">
        <f aca="false">'4. Survival and stay'!$C$249*'4. Survival and stay'!C210</f>
        <v>8.15354598269676E-006</v>
      </c>
      <c r="C210" s="17" t="n">
        <f aca="false">IF(A210&lt;'3. Assumptions'!$B$6/(52/12),'3. Assumptions'!$B$5*MIN(1,'3. Assumptions'!$B$6/(52/12)-A210),0)</f>
        <v>0</v>
      </c>
      <c r="D210" s="17" t="n">
        <f aca="false">MIN((1-C210)*(1+'4. Survival and stay'!E210),'3. Assumptions'!$B$10)</f>
        <v>1.62</v>
      </c>
      <c r="E210" s="12" t="n">
        <f aca="false">B210*'2. The tape'!$B$15*'2. The tape'!$D$11*D210/12</f>
        <v>0.00211122378028596</v>
      </c>
    </row>
    <row r="211" customFormat="false" ht="15" hidden="false" customHeight="false" outlineLevel="0" collapsed="false">
      <c r="A211" s="0" t="n">
        <v>206</v>
      </c>
      <c r="B211" s="33" t="n">
        <f aca="false">'4. Survival and stay'!$C$249*'4. Survival and stay'!C211</f>
        <v>7.61133517484743E-006</v>
      </c>
      <c r="C211" s="17" t="n">
        <f aca="false">IF(A211&lt;'3. Assumptions'!$B$6/(52/12),'3. Assumptions'!$B$5*MIN(1,'3. Assumptions'!$B$6/(52/12)-A211),0)</f>
        <v>0</v>
      </c>
      <c r="D211" s="17" t="n">
        <f aca="false">MIN((1-C211)*(1+'4. Survival and stay'!E211),'3. Assumptions'!$B$10)</f>
        <v>1.62</v>
      </c>
      <c r="E211" s="12" t="n">
        <f aca="false">B211*'2. The tape'!$B$15*'2. The tape'!$D$11*D211/12</f>
        <v>0.00197082739889694</v>
      </c>
    </row>
    <row r="212" customFormat="false" ht="15" hidden="false" customHeight="false" outlineLevel="0" collapsed="false">
      <c r="A212" s="0" t="n">
        <v>207</v>
      </c>
      <c r="B212" s="33" t="n">
        <f aca="false">'4. Survival and stay'!$C$249*'4. Survival and stay'!C212</f>
        <v>7.10518138572007E-006</v>
      </c>
      <c r="C212" s="17" t="n">
        <f aca="false">IF(A212&lt;'3. Assumptions'!$B$6/(52/12),'3. Assumptions'!$B$5*MIN(1,'3. Assumptions'!$B$6/(52/12)-A212),0)</f>
        <v>0</v>
      </c>
      <c r="D212" s="17" t="n">
        <f aca="false">MIN((1-C212)*(1+'4. Survival and stay'!E212),'3. Assumptions'!$B$10)</f>
        <v>1.62</v>
      </c>
      <c r="E212" s="12" t="n">
        <f aca="false">B212*'2. The tape'!$B$15*'2. The tape'!$D$11*D212/12</f>
        <v>0.00183976737687029</v>
      </c>
    </row>
    <row r="213" customFormat="false" ht="15" hidden="false" customHeight="false" outlineLevel="0" collapsed="false">
      <c r="A213" s="0" t="n">
        <v>208</v>
      </c>
      <c r="B213" s="33" t="n">
        <f aca="false">'4. Survival and stay'!$C$249*'4. Survival and stay'!C213</f>
        <v>6.63268682356969E-006</v>
      </c>
      <c r="C213" s="17" t="n">
        <f aca="false">IF(A213&lt;'3. Assumptions'!$B$6/(52/12),'3. Assumptions'!$B$5*MIN(1,'3. Assumptions'!$B$6/(52/12)-A213),0)</f>
        <v>0</v>
      </c>
      <c r="D213" s="17" t="n">
        <f aca="false">MIN((1-C213)*(1+'4. Survival and stay'!E213),'3. Assumptions'!$B$10)</f>
        <v>1.62</v>
      </c>
      <c r="E213" s="12" t="n">
        <f aca="false">B213*'2. The tape'!$B$15*'2. The tape'!$D$11*D213/12</f>
        <v>0.00171742284630842</v>
      </c>
    </row>
    <row r="214" customFormat="false" ht="15" hidden="false" customHeight="false" outlineLevel="0" collapsed="false">
      <c r="A214" s="0" t="n">
        <v>209</v>
      </c>
      <c r="B214" s="33" t="n">
        <f aca="false">'4. Survival and stay'!$C$249*'4. Survival and stay'!C214</f>
        <v>6.1916131498023E-006</v>
      </c>
      <c r="C214" s="17" t="n">
        <f aca="false">IF(A214&lt;'3. Assumptions'!$B$6/(52/12),'3. Assumptions'!$B$5*MIN(1,'3. Assumptions'!$B$6/(52/12)-A214),0)</f>
        <v>0</v>
      </c>
      <c r="D214" s="17" t="n">
        <f aca="false">MIN((1-C214)*(1+'4. Survival and stay'!E214),'3. Assumptions'!$B$10)</f>
        <v>1.62</v>
      </c>
      <c r="E214" s="12" t="n">
        <f aca="false">B214*'2. The tape'!$B$15*'2. The tape'!$D$11*D214/12</f>
        <v>0.00160321422702891</v>
      </c>
    </row>
    <row r="215" customFormat="false" ht="15" hidden="false" customHeight="false" outlineLevel="0" collapsed="false">
      <c r="A215" s="0" t="n">
        <v>210</v>
      </c>
      <c r="B215" s="33" t="n">
        <f aca="false">'4. Survival and stay'!$C$249*'4. Survival and stay'!C215</f>
        <v>5.59412248084638E-006</v>
      </c>
      <c r="C215" s="17" t="n">
        <f aca="false">IF(A215&lt;'3. Assumptions'!$B$6/(52/12),'3. Assumptions'!$B$5*MIN(1,'3. Assumptions'!$B$6/(52/12)-A215),0)</f>
        <v>0</v>
      </c>
      <c r="D215" s="17" t="n">
        <f aca="false">MIN((1-C215)*(1+'4. Survival and stay'!E215),'3. Assumptions'!$B$10)</f>
        <v>1.62</v>
      </c>
      <c r="E215" s="12" t="n">
        <f aca="false">B215*'2. The tape'!$B$15*'2. The tape'!$D$11*D215/12</f>
        <v>0.00144850405412062</v>
      </c>
    </row>
    <row r="216" customFormat="false" ht="15" hidden="false" customHeight="false" outlineLevel="0" collapsed="false">
      <c r="A216" s="0" t="n">
        <v>211</v>
      </c>
      <c r="B216" s="33" t="n">
        <f aca="false">'4. Survival and stay'!$C$249*'4. Survival and stay'!C216</f>
        <v>5.2221133358701E-006</v>
      </c>
      <c r="C216" s="17" t="n">
        <f aca="false">IF(A216&lt;'3. Assumptions'!$B$6/(52/12),'3. Assumptions'!$B$5*MIN(1,'3. Assumptions'!$B$6/(52/12)-A216),0)</f>
        <v>0</v>
      </c>
      <c r="D216" s="17" t="n">
        <f aca="false">MIN((1-C216)*(1+'4. Survival and stay'!E216),'3. Assumptions'!$B$10)</f>
        <v>1.62</v>
      </c>
      <c r="E216" s="12" t="n">
        <f aca="false">B216*'2. The tape'!$B$15*'2. The tape'!$D$11*D216/12</f>
        <v>0.0013521785345216</v>
      </c>
    </row>
    <row r="217" customFormat="false" ht="15" hidden="false" customHeight="false" outlineLevel="0" collapsed="false">
      <c r="A217" s="0" t="n">
        <v>212</v>
      </c>
      <c r="B217" s="33" t="n">
        <f aca="false">'4. Survival and stay'!$C$249*'4. Survival and stay'!C217</f>
        <v>4.87484279903474E-006</v>
      </c>
      <c r="C217" s="17" t="n">
        <f aca="false">IF(A217&lt;'3. Assumptions'!$B$6/(52/12),'3. Assumptions'!$B$5*MIN(1,'3. Assumptions'!$B$6/(52/12)-A217),0)</f>
        <v>0</v>
      </c>
      <c r="D217" s="17" t="n">
        <f aca="false">MIN((1-C217)*(1+'4. Survival and stay'!E217),'3. Assumptions'!$B$10)</f>
        <v>1.62</v>
      </c>
      <c r="E217" s="12" t="n">
        <f aca="false">B217*'2. The tape'!$B$15*'2. The tape'!$D$11*D217/12</f>
        <v>0.00126225866197591</v>
      </c>
    </row>
    <row r="218" customFormat="false" ht="15" hidden="false" customHeight="false" outlineLevel="0" collapsed="false">
      <c r="A218" s="0" t="n">
        <v>213</v>
      </c>
      <c r="B218" s="33" t="n">
        <f aca="false">'4. Survival and stay'!$C$249*'4. Survival and stay'!C218</f>
        <v>4.55066575289893E-006</v>
      </c>
      <c r="C218" s="17" t="n">
        <f aca="false">IF(A218&lt;'3. Assumptions'!$B$6/(52/12),'3. Assumptions'!$B$5*MIN(1,'3. Assumptions'!$B$6/(52/12)-A218),0)</f>
        <v>0</v>
      </c>
      <c r="D218" s="17" t="n">
        <f aca="false">MIN((1-C218)*(1+'4. Survival and stay'!E218),'3. Assumptions'!$B$10)</f>
        <v>1.62</v>
      </c>
      <c r="E218" s="12" t="n">
        <f aca="false">B218*'2. The tape'!$B$15*'2. The tape'!$D$11*D218/12</f>
        <v>0.00117831846095451</v>
      </c>
    </row>
    <row r="219" customFormat="false" ht="15" hidden="false" customHeight="false" outlineLevel="0" collapsed="false">
      <c r="A219" s="0" t="n">
        <v>214</v>
      </c>
      <c r="B219" s="33" t="n">
        <f aca="false">'4. Survival and stay'!$C$249*'4. Survival and stay'!C219</f>
        <v>4.24804648033115E-006</v>
      </c>
      <c r="C219" s="17" t="n">
        <f aca="false">IF(A219&lt;'3. Assumptions'!$B$6/(52/12),'3. Assumptions'!$B$5*MIN(1,'3. Assumptions'!$B$6/(52/12)-A219),0)</f>
        <v>0</v>
      </c>
      <c r="D219" s="17" t="n">
        <f aca="false">MIN((1-C219)*(1+'4. Survival and stay'!E219),'3. Assumptions'!$B$10)</f>
        <v>1.62</v>
      </c>
      <c r="E219" s="12" t="n">
        <f aca="false">B219*'2. The tape'!$B$15*'2. The tape'!$D$11*D219/12</f>
        <v>0.00109996028330104</v>
      </c>
    </row>
    <row r="220" customFormat="false" ht="15" hidden="false" customHeight="false" outlineLevel="0" collapsed="false">
      <c r="A220" s="0" t="n">
        <v>215</v>
      </c>
      <c r="B220" s="33" t="n">
        <f aca="false">'4. Survival and stay'!$C$249*'4. Survival and stay'!C220</f>
        <v>3.96555138938913E-006</v>
      </c>
      <c r="C220" s="17" t="n">
        <f aca="false">IF(A220&lt;'3. Assumptions'!$B$6/(52/12),'3. Assumptions'!$B$5*MIN(1,'3. Assumptions'!$B$6/(52/12)-A220),0)</f>
        <v>0</v>
      </c>
      <c r="D220" s="17" t="n">
        <f aca="false">MIN((1-C220)*(1+'4. Survival and stay'!E220),'3. Assumptions'!$B$10)</f>
        <v>1.62</v>
      </c>
      <c r="E220" s="12" t="n">
        <f aca="false">B220*'2. The tape'!$B$15*'2. The tape'!$D$11*D220/12</f>
        <v>0.00102681292446152</v>
      </c>
    </row>
    <row r="221" customFormat="false" ht="15" hidden="false" customHeight="false" outlineLevel="0" collapsed="false">
      <c r="A221" s="0" t="n">
        <v>216</v>
      </c>
      <c r="B221" s="33" t="n">
        <f aca="false">'4. Survival and stay'!$C$249*'4. Survival and stay'!C221</f>
        <v>3.58287568031308E-006</v>
      </c>
      <c r="C221" s="17" t="n">
        <f aca="false">IF(A221&lt;'3. Assumptions'!$B$6/(52/12),'3. Assumptions'!$B$5*MIN(1,'3. Assumptions'!$B$6/(52/12)-A221),0)</f>
        <v>0</v>
      </c>
      <c r="D221" s="17" t="n">
        <f aca="false">MIN((1-C221)*(1+'4. Survival and stay'!E221),'3. Assumptions'!$B$10)</f>
        <v>1.62</v>
      </c>
      <c r="E221" s="12" t="n">
        <f aca="false">B221*'2. The tape'!$B$15*'2. The tape'!$D$11*D221/12</f>
        <v>0.000927725477250983</v>
      </c>
    </row>
    <row r="222" customFormat="false" ht="15" hidden="false" customHeight="false" outlineLevel="0" collapsed="false">
      <c r="A222" s="0" t="n">
        <v>217</v>
      </c>
      <c r="B222" s="33" t="n">
        <f aca="false">'4. Survival and stay'!$C$249*'4. Survival and stay'!C222</f>
        <v>3.34461444757226E-006</v>
      </c>
      <c r="C222" s="17" t="n">
        <f aca="false">IF(A222&lt;'3. Assumptions'!$B$6/(52/12),'3. Assumptions'!$B$5*MIN(1,'3. Assumptions'!$B$6/(52/12)-A222),0)</f>
        <v>0</v>
      </c>
      <c r="D222" s="17" t="n">
        <f aca="false">MIN((1-C222)*(1+'4. Survival and stay'!E222),'3. Assumptions'!$B$10)</f>
        <v>1.62</v>
      </c>
      <c r="E222" s="12" t="n">
        <f aca="false">B222*'2. The tape'!$B$15*'2. The tape'!$D$11*D222/12</f>
        <v>0.000866031733013793</v>
      </c>
    </row>
    <row r="223" customFormat="false" ht="15" hidden="false" customHeight="false" outlineLevel="0" collapsed="false">
      <c r="A223" s="0" t="n">
        <v>218</v>
      </c>
      <c r="B223" s="33" t="n">
        <f aca="false">'4. Survival and stay'!$C$249*'4. Survival and stay'!C223</f>
        <v>3.1221975868087E-006</v>
      </c>
      <c r="C223" s="17" t="n">
        <f aca="false">IF(A223&lt;'3. Assumptions'!$B$6/(52/12),'3. Assumptions'!$B$5*MIN(1,'3. Assumptions'!$B$6/(52/12)-A223),0)</f>
        <v>0</v>
      </c>
      <c r="D223" s="17" t="n">
        <f aca="false">MIN((1-C223)*(1+'4. Survival and stay'!E223),'3. Assumptions'!$B$10)</f>
        <v>1.62</v>
      </c>
      <c r="E223" s="12" t="n">
        <f aca="false">B223*'2. The tape'!$B$15*'2. The tape'!$D$11*D223/12</f>
        <v>0.000808440622768376</v>
      </c>
    </row>
    <row r="224" customFormat="false" ht="15" hidden="false" customHeight="false" outlineLevel="0" collapsed="false">
      <c r="A224" s="0" t="n">
        <v>219</v>
      </c>
      <c r="B224" s="33" t="n">
        <f aca="false">'4. Survival and stay'!$C$249*'4. Survival and stay'!C224</f>
        <v>2.91457144728592E-006</v>
      </c>
      <c r="C224" s="17" t="n">
        <f aca="false">IF(A224&lt;'3. Assumptions'!$B$6/(52/12),'3. Assumptions'!$B$5*MIN(1,'3. Assumptions'!$B$6/(52/12)-A224),0)</f>
        <v>0</v>
      </c>
      <c r="D224" s="17" t="n">
        <f aca="false">MIN((1-C224)*(1+'4. Survival and stay'!E224),'3. Assumptions'!$B$10)</f>
        <v>1.62</v>
      </c>
      <c r="E224" s="12" t="n">
        <f aca="false">B224*'2. The tape'!$B$15*'2. The tape'!$D$11*D224/12</f>
        <v>0.000754679321354278</v>
      </c>
    </row>
    <row r="225" customFormat="false" ht="15" hidden="false" customHeight="false" outlineLevel="0" collapsed="false">
      <c r="A225" s="0" t="n">
        <v>220</v>
      </c>
      <c r="B225" s="33" t="n">
        <f aca="false">'4. Survival and stay'!$C$249*'4. Survival and stay'!C225</f>
        <v>2.72075244604141E-006</v>
      </c>
      <c r="C225" s="17" t="n">
        <f aca="false">IF(A225&lt;'3. Assumptions'!$B$6/(52/12),'3. Assumptions'!$B$5*MIN(1,'3. Assumptions'!$B$6/(52/12)-A225),0)</f>
        <v>0</v>
      </c>
      <c r="D225" s="17" t="n">
        <f aca="false">MIN((1-C225)*(1+'4. Survival and stay'!E225),'3. Assumptions'!$B$10)</f>
        <v>1.62</v>
      </c>
      <c r="E225" s="12" t="n">
        <f aca="false">B225*'2. The tape'!$B$15*'2. The tape'!$D$11*D225/12</f>
        <v>0.000704493146484219</v>
      </c>
    </row>
    <row r="226" customFormat="false" ht="15" hidden="false" customHeight="false" outlineLevel="0" collapsed="false">
      <c r="A226" s="0" t="n">
        <v>221</v>
      </c>
      <c r="B226" s="33" t="n">
        <f aca="false">'4. Survival and stay'!$C$249*'4. Survival and stay'!C226</f>
        <v>2.53982240837965E-006</v>
      </c>
      <c r="C226" s="17" t="n">
        <f aca="false">IF(A226&lt;'3. Assumptions'!$B$6/(52/12),'3. Assumptions'!$B$5*MIN(1,'3. Assumptions'!$B$6/(52/12)-A226),0)</f>
        <v>0</v>
      </c>
      <c r="D226" s="17" t="n">
        <f aca="false">MIN((1-C226)*(1+'4. Survival and stay'!E226),'3. Assumptions'!$B$10)</f>
        <v>1.62</v>
      </c>
      <c r="E226" s="12" t="n">
        <f aca="false">B226*'2. The tape'!$B$15*'2. The tape'!$D$11*D226/12</f>
        <v>0.000657644352243018</v>
      </c>
    </row>
    <row r="227" customFormat="false" ht="15" hidden="false" customHeight="false" outlineLevel="0" collapsed="false">
      <c r="A227" s="0" t="n">
        <v>222</v>
      </c>
      <c r="B227" s="33" t="n">
        <f aca="false">'4. Survival and stay'!$C$249*'4. Survival and stay'!C227</f>
        <v>2.29472954597102E-006</v>
      </c>
      <c r="C227" s="17" t="n">
        <f aca="false">IF(A227&lt;'3. Assumptions'!$B$6/(52/12),'3. Assumptions'!$B$5*MIN(1,'3. Assumptions'!$B$6/(52/12)-A227),0)</f>
        <v>0</v>
      </c>
      <c r="D227" s="17" t="n">
        <f aca="false">MIN((1-C227)*(1+'4. Survival and stay'!E227),'3. Assumptions'!$B$10)</f>
        <v>1.62</v>
      </c>
      <c r="E227" s="12" t="n">
        <f aca="false">B227*'2. The tape'!$B$15*'2. The tape'!$D$11*D227/12</f>
        <v>0.000594181672251567</v>
      </c>
    </row>
    <row r="228" customFormat="false" ht="15" hidden="false" customHeight="false" outlineLevel="0" collapsed="false">
      <c r="A228" s="0" t="n">
        <v>223</v>
      </c>
      <c r="B228" s="33" t="n">
        <f aca="false">'4. Survival and stay'!$C$249*'4. Survival and stay'!C228</f>
        <v>2.14213003116395E-006</v>
      </c>
      <c r="C228" s="17" t="n">
        <f aca="false">IF(A228&lt;'3. Assumptions'!$B$6/(52/12),'3. Assumptions'!$B$5*MIN(1,'3. Assumptions'!$B$6/(52/12)-A228),0)</f>
        <v>0</v>
      </c>
      <c r="D228" s="17" t="n">
        <f aca="false">MIN((1-C228)*(1+'4. Survival and stay'!E228),'3. Assumptions'!$B$10)</f>
        <v>1.62</v>
      </c>
      <c r="E228" s="12" t="n">
        <f aca="false">B228*'2. The tape'!$B$15*'2. The tape'!$D$11*D228/12</f>
        <v>0.000554668591046838</v>
      </c>
    </row>
    <row r="229" customFormat="false" ht="15" hidden="false" customHeight="false" outlineLevel="0" collapsed="false">
      <c r="A229" s="0" t="n">
        <v>224</v>
      </c>
      <c r="B229" s="33" t="n">
        <f aca="false">'4. Survival and stay'!$C$249*'4. Survival and stay'!C229</f>
        <v>1.99967838409154E-006</v>
      </c>
      <c r="C229" s="17" t="n">
        <f aca="false">IF(A229&lt;'3. Assumptions'!$B$6/(52/12),'3. Assumptions'!$B$5*MIN(1,'3. Assumptions'!$B$6/(52/12)-A229),0)</f>
        <v>0</v>
      </c>
      <c r="D229" s="17" t="n">
        <f aca="false">MIN((1-C229)*(1+'4. Survival and stay'!E229),'3. Assumptions'!$B$10)</f>
        <v>1.62</v>
      </c>
      <c r="E229" s="12" t="n">
        <f aca="false">B229*'2. The tape'!$B$15*'2. The tape'!$D$11*D229/12</f>
        <v>0.000517783129742223</v>
      </c>
    </row>
    <row r="230" customFormat="false" ht="15" hidden="false" customHeight="false" outlineLevel="0" collapsed="false">
      <c r="A230" s="0" t="n">
        <v>225</v>
      </c>
      <c r="B230" s="33" t="n">
        <f aca="false">'4. Survival and stay'!$C$249*'4. Survival and stay'!C230</f>
        <v>1.86669977154946E-006</v>
      </c>
      <c r="C230" s="17" t="n">
        <f aca="false">IF(A230&lt;'3. Assumptions'!$B$6/(52/12),'3. Assumptions'!$B$5*MIN(1,'3. Assumptions'!$B$6/(52/12)-A230),0)</f>
        <v>0</v>
      </c>
      <c r="D230" s="17" t="n">
        <f aca="false">MIN((1-C230)*(1+'4. Survival and stay'!E230),'3. Assumptions'!$B$10)</f>
        <v>1.62</v>
      </c>
      <c r="E230" s="12" t="n">
        <f aca="false">B230*'2. The tape'!$B$15*'2. The tape'!$D$11*D230/12</f>
        <v>0.000483350551614365</v>
      </c>
    </row>
    <row r="231" customFormat="false" ht="15" hidden="false" customHeight="false" outlineLevel="0" collapsed="false">
      <c r="A231" s="0" t="n">
        <v>226</v>
      </c>
      <c r="B231" s="33" t="n">
        <f aca="false">'4. Survival and stay'!$C$249*'4. Survival and stay'!C231</f>
        <v>1.74256423674142E-006</v>
      </c>
      <c r="C231" s="17" t="n">
        <f aca="false">IF(A231&lt;'3. Assumptions'!$B$6/(52/12),'3. Assumptions'!$B$5*MIN(1,'3. Assumptions'!$B$6/(52/12)-A231),0)</f>
        <v>0</v>
      </c>
      <c r="D231" s="17" t="n">
        <f aca="false">MIN((1-C231)*(1+'4. Survival and stay'!E231),'3. Assumptions'!$B$10)</f>
        <v>1.62</v>
      </c>
      <c r="E231" s="12" t="n">
        <f aca="false">B231*'2. The tape'!$B$15*'2. The tape'!$D$11*D231/12</f>
        <v>0.00045120773993201</v>
      </c>
    </row>
    <row r="232" customFormat="false" ht="15" hidden="false" customHeight="false" outlineLevel="0" collapsed="false">
      <c r="A232" s="0" t="n">
        <v>227</v>
      </c>
      <c r="B232" s="33" t="n">
        <f aca="false">'4. Survival and stay'!$C$249*'4. Survival and stay'!C232</f>
        <v>1.62668371499811E-006</v>
      </c>
      <c r="C232" s="17" t="n">
        <f aca="false">IF(A232&lt;'3. Assumptions'!$B$6/(52/12),'3. Assumptions'!$B$5*MIN(1,'3. Assumptions'!$B$6/(52/12)-A232),0)</f>
        <v>0</v>
      </c>
      <c r="D232" s="17" t="n">
        <f aca="false">MIN((1-C232)*(1+'4. Survival and stay'!E232),'3. Assumptions'!$B$10)</f>
        <v>1.62</v>
      </c>
      <c r="E232" s="12" t="n">
        <f aca="false">B232*'2. The tape'!$B$15*'2. The tape'!$D$11*D232/12</f>
        <v>0.000421202425226531</v>
      </c>
    </row>
    <row r="233" customFormat="false" ht="15" hidden="false" customHeight="false" outlineLevel="0" collapsed="false">
      <c r="A233" s="0" t="n">
        <v>228</v>
      </c>
      <c r="B233" s="33" t="n">
        <f aca="false">'4. Survival and stay'!$C$249*'4. Survival and stay'!C233</f>
        <v>1.46970873650079E-006</v>
      </c>
      <c r="C233" s="17" t="n">
        <f aca="false">IF(A233&lt;'3. Assumptions'!$B$6/(52/12),'3. Assumptions'!$B$5*MIN(1,'3. Assumptions'!$B$6/(52/12)-A233),0)</f>
        <v>0</v>
      </c>
      <c r="D233" s="17" t="n">
        <f aca="false">MIN((1-C233)*(1+'4. Survival and stay'!E233),'3. Assumptions'!$B$10)</f>
        <v>1.62</v>
      </c>
      <c r="E233" s="12" t="n">
        <f aca="false">B233*'2. The tape'!$B$15*'2. The tape'!$D$11*D233/12</f>
        <v>0.000380556391192171</v>
      </c>
    </row>
    <row r="234" customFormat="false" ht="15" hidden="false" customHeight="false" outlineLevel="0" collapsed="false">
      <c r="A234" s="0" t="n">
        <v>229</v>
      </c>
      <c r="B234" s="33" t="n">
        <f aca="false">'4. Survival and stay'!$C$249*'4. Survival and stay'!C234</f>
        <v>1.37197310552349E-006</v>
      </c>
      <c r="C234" s="17" t="n">
        <f aca="false">IF(A234&lt;'3. Assumptions'!$B$6/(52/12),'3. Assumptions'!$B$5*MIN(1,'3. Assumptions'!$B$6/(52/12)-A234),0)</f>
        <v>0</v>
      </c>
      <c r="D234" s="17" t="n">
        <f aca="false">MIN((1-C234)*(1+'4. Survival and stay'!E234),'3. Assumptions'!$B$10)</f>
        <v>1.62</v>
      </c>
      <c r="E234" s="12" t="n">
        <f aca="false">B234*'2. The tape'!$B$15*'2. The tape'!$D$11*D234/12</f>
        <v>0.000355249391177892</v>
      </c>
    </row>
    <row r="235" customFormat="false" ht="15" hidden="false" customHeight="false" outlineLevel="0" collapsed="false">
      <c r="A235" s="0" t="n">
        <v>230</v>
      </c>
      <c r="B235" s="33" t="n">
        <f aca="false">'4. Survival and stay'!$C$249*'4. Survival and stay'!C235</f>
        <v>1.28073689400618E-006</v>
      </c>
      <c r="C235" s="17" t="n">
        <f aca="false">IF(A235&lt;'3. Assumptions'!$B$6/(52/12),'3. Assumptions'!$B$5*MIN(1,'3. Assumptions'!$B$6/(52/12)-A235),0)</f>
        <v>0</v>
      </c>
      <c r="D235" s="17" t="n">
        <f aca="false">MIN((1-C235)*(1+'4. Survival and stay'!E235),'3. Assumptions'!$B$10)</f>
        <v>1.62</v>
      </c>
      <c r="E235" s="12" t="n">
        <f aca="false">B235*'2. The tape'!$B$15*'2. The tape'!$D$11*D235/12</f>
        <v>0.000331625306664562</v>
      </c>
    </row>
    <row r="236" customFormat="false" ht="15" hidden="false" customHeight="false" outlineLevel="0" collapsed="false">
      <c r="A236" s="0" t="n">
        <v>231</v>
      </c>
      <c r="B236" s="33" t="n">
        <f aca="false">'4. Survival and stay'!$C$249*'4. Survival and stay'!C236</f>
        <v>1.19556789055477E-006</v>
      </c>
      <c r="C236" s="17" t="n">
        <f aca="false">IF(A236&lt;'3. Assumptions'!$B$6/(52/12),'3. Assumptions'!$B$5*MIN(1,'3. Assumptions'!$B$6/(52/12)-A236),0)</f>
        <v>0</v>
      </c>
      <c r="D236" s="17" t="n">
        <f aca="false">MIN((1-C236)*(1+'4. Survival and stay'!E236),'3. Assumptions'!$B$10)</f>
        <v>1.62</v>
      </c>
      <c r="E236" s="12" t="n">
        <f aca="false">B236*'2. The tape'!$B$15*'2. The tape'!$D$11*D236/12</f>
        <v>0.000309572223771369</v>
      </c>
    </row>
    <row r="237" customFormat="false" ht="15" hidden="false" customHeight="false" outlineLevel="0" collapsed="false">
      <c r="A237" s="0" t="n">
        <v>232</v>
      </c>
      <c r="B237" s="33" t="n">
        <f aca="false">'4. Survival and stay'!$C$249*'4. Survival and stay'!C237</f>
        <v>1.11606262583288E-006</v>
      </c>
      <c r="C237" s="17" t="n">
        <f aca="false">IF(A237&lt;'3. Assumptions'!$B$6/(52/12),'3. Assumptions'!$B$5*MIN(1,'3. Assumptions'!$B$6/(52/12)-A237),0)</f>
        <v>0</v>
      </c>
      <c r="D237" s="17" t="n">
        <f aca="false">MIN((1-C237)*(1+'4. Survival and stay'!E237),'3. Assumptions'!$B$10)</f>
        <v>1.62</v>
      </c>
      <c r="E237" s="12" t="n">
        <f aca="false">B237*'2. The tape'!$B$15*'2. The tape'!$D$11*D237/12</f>
        <v>0.000288985670890573</v>
      </c>
    </row>
    <row r="238" customFormat="false" ht="15" hidden="false" customHeight="false" outlineLevel="0" collapsed="false">
      <c r="A238" s="0" t="n">
        <v>233</v>
      </c>
      <c r="B238" s="33" t="n">
        <f aca="false">'4. Survival and stay'!$C$249*'4. Survival and stay'!C238</f>
        <v>1.04184446121499E-006</v>
      </c>
      <c r="C238" s="17" t="n">
        <f aca="false">IF(A238&lt;'3. Assumptions'!$B$6/(52/12),'3. Assumptions'!$B$5*MIN(1,'3. Assumptions'!$B$6/(52/12)-A238),0)</f>
        <v>0</v>
      </c>
      <c r="D238" s="17" t="n">
        <f aca="false">MIN((1-C238)*(1+'4. Survival and stay'!E238),'3. Assumptions'!$B$10)</f>
        <v>1.62</v>
      </c>
      <c r="E238" s="12" t="n">
        <f aca="false">B238*'2. The tape'!$B$15*'2. The tape'!$D$11*D238/12</f>
        <v>0.000269768123776349</v>
      </c>
    </row>
    <row r="239" customFormat="false" ht="15" hidden="false" customHeight="false" outlineLevel="0" collapsed="false">
      <c r="A239" s="0" t="n">
        <v>234</v>
      </c>
      <c r="B239" s="33" t="n">
        <f aca="false">'4. Survival and stay'!$C$249*'4. Survival and stay'!C239</f>
        <v>9.41306470707744E-007</v>
      </c>
      <c r="C239" s="17" t="n">
        <f aca="false">IF(A239&lt;'3. Assumptions'!$B$6/(52/12),'3. Assumptions'!$B$5*MIN(1,'3. Assumptions'!$B$6/(52/12)-A239),0)</f>
        <v>0</v>
      </c>
      <c r="D239" s="17" t="n">
        <f aca="false">MIN((1-C239)*(1+'4. Survival and stay'!E239),'3. Assumptions'!$B$10)</f>
        <v>1.62</v>
      </c>
      <c r="E239" s="12" t="n">
        <f aca="false">B239*'2. The tape'!$B$15*'2. The tape'!$D$11*D239/12</f>
        <v>0.000243735499831932</v>
      </c>
    </row>
    <row r="240" customFormat="false" ht="15" hidden="false" customHeight="false" outlineLevel="0" collapsed="false">
      <c r="A240" s="0" t="n">
        <v>235</v>
      </c>
      <c r="B240" s="33" t="n">
        <f aca="false">'4. Survival and stay'!$C$249*'4. Survival and stay'!C240</f>
        <v>8.78709590405679E-007</v>
      </c>
      <c r="C240" s="17" t="n">
        <f aca="false">IF(A240&lt;'3. Assumptions'!$B$6/(52/12),'3. Assumptions'!$B$5*MIN(1,'3. Assumptions'!$B$6/(52/12)-A240),0)</f>
        <v>0</v>
      </c>
      <c r="D240" s="17" t="n">
        <f aca="false">MIN((1-C240)*(1+'4. Survival and stay'!E240),'3. Assumptions'!$B$10)</f>
        <v>1.62</v>
      </c>
      <c r="E240" s="12" t="n">
        <f aca="false">B240*'2. The tape'!$B$15*'2. The tape'!$D$11*D240/12</f>
        <v>0.000227527089093108</v>
      </c>
    </row>
    <row r="241" customFormat="false" ht="15" hidden="false" customHeight="false" outlineLevel="0" collapsed="false">
      <c r="A241" s="0" t="n">
        <v>236</v>
      </c>
      <c r="B241" s="33" t="n">
        <f aca="false">'4. Survival and stay'!$C$249*'4. Survival and stay'!C241</f>
        <v>8.20275402643701E-007</v>
      </c>
      <c r="C241" s="17" t="n">
        <f aca="false">IF(A241&lt;'3. Assumptions'!$B$6/(52/12),'3. Assumptions'!$B$5*MIN(1,'3. Assumptions'!$B$6/(52/12)-A241),0)</f>
        <v>0</v>
      </c>
      <c r="D241" s="17" t="n">
        <f aca="false">MIN((1-C241)*(1+'4. Survival and stay'!E241),'3. Assumptions'!$B$10)</f>
        <v>1.62</v>
      </c>
      <c r="E241" s="12" t="n">
        <f aca="false">B241*'2. The tape'!$B$15*'2. The tape'!$D$11*D241/12</f>
        <v>0.000212396537668417</v>
      </c>
    </row>
    <row r="242" customFormat="false" ht="15" hidden="false" customHeight="false" outlineLevel="0" collapsed="false">
      <c r="A242" s="0" t="n">
        <v>237</v>
      </c>
      <c r="B242" s="33" t="n">
        <f aca="false">'4. Survival and stay'!$C$249*'4. Survival and stay'!C242</f>
        <v>7.65727088367895E-007</v>
      </c>
      <c r="C242" s="17" t="n">
        <f aca="false">IF(A242&lt;'3. Assumptions'!$B$6/(52/12),'3. Assumptions'!$B$5*MIN(1,'3. Assumptions'!$B$6/(52/12)-A242),0)</f>
        <v>0</v>
      </c>
      <c r="D242" s="17" t="n">
        <f aca="false">MIN((1-C242)*(1+'4. Survival and stay'!E242),'3. Assumptions'!$B$10)</f>
        <v>1.62</v>
      </c>
      <c r="E242" s="12" t="n">
        <f aca="false">B242*'2. The tape'!$B$15*'2. The tape'!$D$11*D242/12</f>
        <v>0.000198272167913467</v>
      </c>
    </row>
    <row r="243" customFormat="false" ht="15" hidden="false" customHeight="false" outlineLevel="0" collapsed="false">
      <c r="A243" s="0" t="n">
        <v>238</v>
      </c>
      <c r="B243" s="33" t="n">
        <f aca="false">'4. Survival and stay'!$C$249*'4. Survival and stay'!C243</f>
        <v>7.1480623699143E-007</v>
      </c>
      <c r="C243" s="17" t="n">
        <f aca="false">IF(A243&lt;'3. Assumptions'!$B$6/(52/12),'3. Assumptions'!$B$5*MIN(1,'3. Assumptions'!$B$6/(52/12)-A243),0)</f>
        <v>0</v>
      </c>
      <c r="D243" s="17" t="n">
        <f aca="false">MIN((1-C243)*(1+'4. Survival and stay'!E243),'3. Assumptions'!$B$10)</f>
        <v>1.62</v>
      </c>
      <c r="E243" s="12" t="n">
        <f aca="false">B243*'2. The tape'!$B$15*'2. The tape'!$D$11*D243/12</f>
        <v>0.000185087068747221</v>
      </c>
    </row>
    <row r="244" customFormat="false" ht="15" hidden="false" customHeight="false" outlineLevel="0" collapsed="false">
      <c r="A244" s="0" t="n">
        <v>239</v>
      </c>
      <c r="B244" s="33" t="n">
        <f aca="false">'4. Survival and stay'!$C$249*'4. Survival and stay'!C244</f>
        <v>6.672716222315E-007</v>
      </c>
      <c r="C244" s="17" t="n">
        <f aca="false">IF(A244&lt;'3. Assumptions'!$B$6/(52/12),'3. Assumptions'!$B$5*MIN(1,'3. Assumptions'!$B$6/(52/12)-A244),0)</f>
        <v>0</v>
      </c>
      <c r="D244" s="17" t="n">
        <f aca="false">MIN((1-C244)*(1+'4. Survival and stay'!E244),'3. Assumptions'!$B$10)</f>
        <v>1.62</v>
      </c>
      <c r="E244" s="12" t="n">
        <f aca="false">B244*'2. The tape'!$B$15*'2. The tape'!$D$11*D244/12</f>
        <v>0.000172778778675531</v>
      </c>
    </row>
    <row r="246" customFormat="false" ht="15" hidden="false" customHeight="false" outlineLevel="0" collapsed="false">
      <c r="A246" s="34" t="s">
        <v>134</v>
      </c>
      <c r="C246" s="18" t="n">
        <f aca="false">SUM(B5:B244)</f>
        <v>469.64</v>
      </c>
    </row>
    <row r="247" customFormat="false" ht="15" hidden="false" customHeight="false" outlineLevel="0" collapsed="false">
      <c r="A247" s="34" t="s">
        <v>135</v>
      </c>
      <c r="C247" s="17" t="n">
        <f aca="false">C246/'2. The tape'!B11</f>
        <v>0.796</v>
      </c>
    </row>
    <row r="248" customFormat="false" ht="15" hidden="false" customHeight="false" outlineLevel="0" collapsed="false">
      <c r="A248" s="34" t="s">
        <v>136</v>
      </c>
      <c r="C248" s="35" t="n">
        <f aca="false">C246*'2. The tape'!B15</f>
        <v>27589.36</v>
      </c>
    </row>
    <row r="249" customFormat="false" ht="15" hidden="false" customHeight="false" outlineLevel="0" collapsed="false">
      <c r="A249" s="14" t="s">
        <v>137</v>
      </c>
      <c r="C249" s="16" t="n">
        <f aca="false">SUM(E5:E244)*12</f>
        <v>991178.230273791</v>
      </c>
    </row>
    <row r="250" customFormat="false" ht="15" hidden="false" customHeight="false" outlineLevel="0" collapsed="false">
      <c r="A250" s="34" t="s">
        <v>138</v>
      </c>
      <c r="C250" s="15" t="n">
        <f aca="false">'2. The tape'!D11</f>
        <v>32.6495672244662</v>
      </c>
    </row>
    <row r="251" customFormat="false" ht="15" hidden="false" customHeight="false" outlineLevel="0" collapsed="false">
      <c r="A251" s="14" t="s">
        <v>139</v>
      </c>
      <c r="C251" s="36" t="n">
        <f aca="false">C249/C248</f>
        <v>35.9261044936813</v>
      </c>
    </row>
    <row r="252" customFormat="false" ht="15" hidden="false" customHeight="false" outlineLevel="0" collapsed="false">
      <c r="A252" s="14" t="s">
        <v>140</v>
      </c>
      <c r="C252" s="37" t="n">
        <f aca="false">C251/C250-1</f>
        <v>0.100354692198179</v>
      </c>
    </row>
    <row r="253" customFormat="false" ht="15" hidden="false" customHeight="false" outlineLevel="0" collapsed="false">
      <c r="A253" s="34" t="s">
        <v>141</v>
      </c>
      <c r="C253" s="15" t="n">
        <f aca="false">C250*AVERAGE(D5:D6)</f>
        <v>17.5805361977895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3" min="3" style="0" width="54"/>
  </cols>
  <sheetData>
    <row r="1" customFormat="false" ht="16.15" hidden="false" customHeight="false" outlineLevel="0" collapsed="false">
      <c r="A1" s="5" t="s">
        <v>142</v>
      </c>
    </row>
    <row r="2" customFormat="false" ht="22.35" hidden="false" customHeight="false" outlineLevel="0" collapsed="false">
      <c r="A2" s="6" t="s">
        <v>143</v>
      </c>
    </row>
    <row r="4" customFormat="false" ht="15" hidden="false" customHeight="false" outlineLevel="0" collapsed="false">
      <c r="A4" s="34" t="s">
        <v>144</v>
      </c>
      <c r="B4" s="12" t="n">
        <f aca="false">'5. The rent roll'!$C$249</f>
        <v>991178.230273791</v>
      </c>
    </row>
    <row r="5" customFormat="false" ht="15" hidden="false" customHeight="false" outlineLevel="0" collapsed="false">
      <c r="A5" s="34" t="s">
        <v>145</v>
      </c>
      <c r="B5" s="12" t="n">
        <f aca="false">B4*'3. Assumptions'!$B$19</f>
        <v>71364.832579713</v>
      </c>
    </row>
    <row r="6" customFormat="false" ht="15" hidden="false" customHeight="false" outlineLevel="0" collapsed="false">
      <c r="A6" s="34" t="s">
        <v>146</v>
      </c>
      <c r="B6" s="12" t="n">
        <f aca="false">B4*'3. Assumptions'!$B$20</f>
        <v>20814.7428357496</v>
      </c>
    </row>
    <row r="7" customFormat="false" ht="15" hidden="false" customHeight="false" outlineLevel="0" collapsed="false">
      <c r="A7" s="34" t="s">
        <v>147</v>
      </c>
      <c r="B7" s="12" t="n">
        <f aca="false">B4*'3. Assumptions'!$B$22</f>
        <v>12885.3169935593</v>
      </c>
    </row>
    <row r="8" customFormat="false" ht="15" hidden="false" customHeight="false" outlineLevel="0" collapsed="false">
      <c r="A8" s="14" t="s">
        <v>148</v>
      </c>
      <c r="B8" s="16" t="n">
        <f aca="false">SUM(B4:B7)</f>
        <v>1096243.12268281</v>
      </c>
    </row>
    <row r="9" customFormat="false" ht="15" hidden="false" customHeight="false" outlineLevel="0" collapsed="false">
      <c r="A9" s="34" t="s">
        <v>149</v>
      </c>
      <c r="B9" s="17" t="n">
        <f aca="false">SUM(B5:B7)/B8</f>
        <v>0.0958408679927667</v>
      </c>
    </row>
    <row r="11" customFormat="false" ht="15" hidden="false" customHeight="false" outlineLevel="0" collapsed="false">
      <c r="A11" s="34" t="s">
        <v>150</v>
      </c>
      <c r="B11" s="12" t="n">
        <f aca="false">'3. Assumptions'!$B$23*'2. The tape'!B13</f>
        <v>171000</v>
      </c>
    </row>
    <row r="12" customFormat="false" ht="15" hidden="false" customHeight="false" outlineLevel="0" collapsed="false">
      <c r="A12" s="34" t="s">
        <v>151</v>
      </c>
      <c r="B12" s="12" t="n">
        <f aca="false">'3. Assumptions'!$B$24</f>
        <v>102000</v>
      </c>
    </row>
    <row r="13" customFormat="false" ht="15" hidden="false" customHeight="false" outlineLevel="0" collapsed="false">
      <c r="A13" s="34" t="s">
        <v>152</v>
      </c>
      <c r="B13" s="12" t="n">
        <f aca="false">'3. Assumptions'!$B$27*'2. The tape'!B13</f>
        <v>67000</v>
      </c>
    </row>
    <row r="14" customFormat="false" ht="15" hidden="false" customHeight="false" outlineLevel="0" collapsed="false">
      <c r="A14" s="34" t="s">
        <v>153</v>
      </c>
      <c r="B14" s="12" t="n">
        <f aca="false">'3. Assumptions'!$B$28*'2. The tape'!B13</f>
        <v>35500</v>
      </c>
    </row>
    <row r="15" customFormat="false" ht="15" hidden="false" customHeight="false" outlineLevel="0" collapsed="false">
      <c r="A15" s="34" t="s">
        <v>154</v>
      </c>
      <c r="B15" s="12" t="n">
        <f aca="false">'3. Assumptions'!$B$29*'2. The tape'!B13</f>
        <v>15500</v>
      </c>
    </row>
    <row r="16" customFormat="false" ht="15" hidden="false" customHeight="false" outlineLevel="0" collapsed="false">
      <c r="A16" s="34" t="s">
        <v>155</v>
      </c>
      <c r="B16" s="12" t="n">
        <f aca="false">'3. Assumptions'!$B$31*'4. Survival and stay'!$C$249*12</f>
        <v>51541.2693502439</v>
      </c>
    </row>
    <row r="17" customFormat="false" ht="15" hidden="false" customHeight="false" outlineLevel="0" collapsed="false">
      <c r="A17" s="34" t="s">
        <v>156</v>
      </c>
      <c r="B17" s="12" t="n">
        <f aca="false">B6*(1-'3. Assumptions'!$B$21)</f>
        <v>11656.2559880198</v>
      </c>
    </row>
    <row r="18" customFormat="false" ht="15" hidden="false" customHeight="false" outlineLevel="0" collapsed="false">
      <c r="A18" s="34" t="s">
        <v>157</v>
      </c>
      <c r="B18" s="12" t="n">
        <f aca="false">B4*'3. Assumptions'!$B$33</f>
        <v>18832.386375202</v>
      </c>
    </row>
    <row r="19" customFormat="false" ht="15" hidden="false" customHeight="false" outlineLevel="0" collapsed="false">
      <c r="A19" s="34" t="s">
        <v>158</v>
      </c>
      <c r="B19" s="12" t="n">
        <f aca="false">'3. Assumptions'!$B$30*'2. The tape'!B13</f>
        <v>27500</v>
      </c>
    </row>
    <row r="20" customFormat="false" ht="15" hidden="false" customHeight="false" outlineLevel="0" collapsed="false">
      <c r="A20" s="34" t="s">
        <v>159</v>
      </c>
      <c r="B20" s="12" t="n">
        <f aca="false">B8*'3. Assumptions'!$B$26</f>
        <v>15895.5252789008</v>
      </c>
    </row>
    <row r="21" customFormat="false" ht="15" hidden="false" customHeight="false" outlineLevel="0" collapsed="false">
      <c r="A21" s="34" t="s">
        <v>160</v>
      </c>
      <c r="B21" s="12" t="n">
        <f aca="false">'3. Assumptions'!$B$25</f>
        <v>9400</v>
      </c>
    </row>
    <row r="22" customFormat="false" ht="15" hidden="false" customHeight="false" outlineLevel="0" collapsed="false">
      <c r="A22" s="34" t="s">
        <v>161</v>
      </c>
      <c r="B22" s="12" t="n">
        <f aca="false">B8*'3. Assumptions'!$B$32</f>
        <v>60293.3717475547</v>
      </c>
    </row>
    <row r="23" customFormat="false" ht="15" hidden="false" customHeight="false" outlineLevel="0" collapsed="false">
      <c r="A23" s="14" t="s">
        <v>162</v>
      </c>
      <c r="B23" s="16" t="n">
        <f aca="false">SUM(B11:B22)</f>
        <v>586118.808739921</v>
      </c>
    </row>
    <row r="25" customFormat="false" ht="15" hidden="false" customHeight="false" outlineLevel="0" collapsed="false">
      <c r="A25" s="14" t="s">
        <v>163</v>
      </c>
      <c r="B25" s="16" t="n">
        <f aca="false">'6. Income and costs'!$B$8-'6. Income and costs'!$B$23</f>
        <v>510124.313942892</v>
      </c>
    </row>
    <row r="26" customFormat="false" ht="15" hidden="false" customHeight="false" outlineLevel="0" collapsed="false">
      <c r="A26" s="34" t="s">
        <v>107</v>
      </c>
      <c r="B26" s="17" t="n">
        <f aca="false">'6. Income and costs'!$B$25/'6. Income and costs'!$B$8</f>
        <v>0.465338667479596</v>
      </c>
    </row>
    <row r="27" customFormat="false" ht="15" hidden="false" customHeight="false" outlineLevel="0" collapsed="false">
      <c r="A27" s="34" t="s">
        <v>164</v>
      </c>
      <c r="B27" s="15" t="n">
        <f aca="false">'6. Income and costs'!$B$8/'2. The tape'!B13</f>
        <v>21.9248624536563</v>
      </c>
      <c r="C27" s="2" t="s">
        <v>165</v>
      </c>
    </row>
    <row r="28" customFormat="false" ht="15" hidden="false" customHeight="false" outlineLevel="0" collapsed="false">
      <c r="A28" s="34" t="s">
        <v>166</v>
      </c>
      <c r="B28" s="15" t="n">
        <f aca="false">'6. Income and costs'!$B$8/'2. The tape'!E11</f>
        <v>31.6284801697292</v>
      </c>
    </row>
    <row r="29" customFormat="false" ht="15" hidden="false" customHeight="false" outlineLevel="0" collapsed="false">
      <c r="A29" s="34" t="s">
        <v>167</v>
      </c>
      <c r="B29" s="15" t="n">
        <f aca="false">'6. Income and costs'!$B$8/'5. The rent roll'!$C$248</f>
        <v>39.7342715700115</v>
      </c>
    </row>
    <row r="31" customFormat="false" ht="15" hidden="false" customHeight="false" outlineLevel="0" collapsed="false">
      <c r="A31" s="34" t="s">
        <v>168</v>
      </c>
      <c r="B31" s="12" t="n">
        <f aca="false">'3. Assumptions'!$B$34*'2. The tape'!B13</f>
        <v>21000</v>
      </c>
    </row>
    <row r="32" customFormat="false" ht="15" hidden="false" customHeight="false" outlineLevel="0" collapsed="false">
      <c r="A32" s="34" t="s">
        <v>169</v>
      </c>
      <c r="B32" s="12" t="n">
        <f aca="false">'3. Assumptions'!$B$36*'2. The tape'!B13/'3. Assumptions'!$B$35</f>
        <v>28333.3333333333</v>
      </c>
    </row>
    <row r="33" customFormat="false" ht="15" hidden="false" customHeight="false" outlineLevel="0" collapsed="false">
      <c r="A33" s="14" t="s">
        <v>170</v>
      </c>
      <c r="B33" s="16" t="n">
        <f aca="false">'6. Income and costs'!$B$25-'6. Income and costs'!$B$31-'6. Income and costs'!$B$32</f>
        <v>460790.980609558</v>
      </c>
    </row>
    <row r="35" customFormat="false" ht="15" hidden="false" customHeight="false" outlineLevel="0" collapsed="false">
      <c r="A35" s="14" t="s">
        <v>171</v>
      </c>
      <c r="B35" s="16" t="n">
        <f aca="false">'6. Income and costs'!$B$25/'3. Assumptions'!$B$38</f>
        <v>8431806.84203127</v>
      </c>
    </row>
    <row r="36" customFormat="false" ht="15" hidden="false" customHeight="false" outlineLevel="0" collapsed="false">
      <c r="A36" s="34" t="s">
        <v>172</v>
      </c>
      <c r="B36" s="38" t="n">
        <f aca="false">'6. Income and costs'!$B$25/'6. Income and costs'!$B$35</f>
        <v>0.0605</v>
      </c>
    </row>
    <row r="37" customFormat="false" ht="15" hidden="false" customHeight="false" outlineLevel="0" collapsed="false">
      <c r="A37" s="34" t="s">
        <v>173</v>
      </c>
      <c r="B37" s="38" t="n">
        <f aca="false">'6. Income and costs'!$B$33/'6. Income and costs'!$B$35</f>
        <v>0.0546491385823245</v>
      </c>
      <c r="C37" s="2" t="s">
        <v>174</v>
      </c>
    </row>
    <row r="39" customFormat="false" ht="15" hidden="false" customHeight="false" outlineLevel="0" collapsed="false">
      <c r="A39" s="34" t="s">
        <v>175</v>
      </c>
      <c r="B39" s="31" t="n">
        <f aca="false">B11+B12+B13+B14+B15+B19+B21</f>
        <v>427900</v>
      </c>
    </row>
    <row r="40" customFormat="false" ht="15" hidden="false" customHeight="false" outlineLevel="0" collapsed="false">
      <c r="A40" s="14" t="s">
        <v>176</v>
      </c>
      <c r="B40" s="37" t="n">
        <f aca="false">'3. Assumptions'!$B$17*B39/(B25+B39)</f>
        <v>0.363112549362699</v>
      </c>
      <c r="C40" s="2" t="s">
        <v>177</v>
      </c>
    </row>
    <row r="41" customFormat="false" ht="15" hidden="false" customHeight="false" outlineLevel="0" collapsed="false">
      <c r="A41" s="34" t="s">
        <v>178</v>
      </c>
      <c r="B41" s="31" t="n">
        <f aca="false">(B25+B39)/('3. Assumptions'!$B$17*100)</f>
        <v>11784.2250495338</v>
      </c>
    </row>
    <row r="42" customFormat="false" ht="15" hidden="false" customHeight="false" outlineLevel="0" collapsed="false">
      <c r="A42" s="34" t="s">
        <v>179</v>
      </c>
      <c r="B42" s="39" t="n">
        <f aca="false">B39/B23</f>
        <v>0.730056762586973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6.15" hidden="false" customHeight="false" outlineLevel="0" collapsed="false">
      <c r="A1" s="5" t="s">
        <v>180</v>
      </c>
    </row>
    <row r="2" customFormat="false" ht="22.35" hidden="false" customHeight="false" outlineLevel="0" collapsed="false">
      <c r="A2" s="6" t="s">
        <v>181</v>
      </c>
    </row>
    <row r="4" customFormat="false" ht="15" hidden="false" customHeight="false" outlineLevel="0" collapsed="false">
      <c r="A4" s="34" t="s">
        <v>182</v>
      </c>
      <c r="B4" s="15" t="n">
        <f aca="false">'2. The tape'!B15*'2. The tape'!D11/12</f>
        <v>159.835310734463</v>
      </c>
    </row>
    <row r="5" customFormat="false" ht="15" hidden="false" customHeight="false" outlineLevel="0" collapsed="false">
      <c r="A5" s="34" t="s">
        <v>183</v>
      </c>
      <c r="B5" s="33" t="n">
        <f aca="false">'4. Survival and stay'!$C$246</f>
        <v>13.8030340961292</v>
      </c>
    </row>
    <row r="6" customFormat="false" ht="15" hidden="false" customHeight="false" outlineLevel="0" collapsed="false">
      <c r="A6" s="34" t="s">
        <v>184</v>
      </c>
      <c r="B6" s="40" t="n">
        <f aca="false">(1+'3. Assumptions'!$B$40)^(1/12)-1</f>
        <v>0.00678282077724091</v>
      </c>
    </row>
    <row r="7" customFormat="false" ht="15" hidden="false" customHeight="false" outlineLevel="0" collapsed="false">
      <c r="A7" s="34" t="s">
        <v>185</v>
      </c>
      <c r="B7" s="12" t="n">
        <f aca="false">SUMPRODUCT('5. The rent roll'!D5:D244,'4. Survival and stay'!C5:C244)*B4</f>
        <v>2427.61599448693</v>
      </c>
    </row>
    <row r="8" customFormat="false" ht="15" hidden="false" customHeight="false" outlineLevel="0" collapsed="false">
      <c r="A8" s="34" t="s">
        <v>186</v>
      </c>
      <c r="B8" s="12" t="n">
        <f aca="false">SUMPRODUCT('5. The rent roll'!D5:D244,'4. Survival and stay'!C5:C244,1/(1+B6)^'4. Survival and stay'!A5:A244)*B4</f>
        <v>2191.76108795753</v>
      </c>
    </row>
    <row r="9" customFormat="false" ht="15" hidden="false" customHeight="false" outlineLevel="0" collapsed="false">
      <c r="A9" s="34" t="s">
        <v>187</v>
      </c>
      <c r="B9" s="17" t="n">
        <f aca="false">1+'3. Assumptions'!$B$19+'3. Assumptions'!$B$20+'3. Assumptions'!$B$22</f>
        <v>1.106</v>
      </c>
    </row>
    <row r="10" customFormat="false" ht="15" hidden="false" customHeight="false" outlineLevel="0" collapsed="false">
      <c r="A10" s="34" t="s">
        <v>188</v>
      </c>
      <c r="B10" s="17" t="n">
        <f aca="false">'3. Assumptions'!$B$33+'3. Assumptions'!$B$20*(1-'3. Assumptions'!$B$21)+B9*'3. Assumptions'!$B$32+B9*'3. Assumptions'!$B$26</f>
        <v>0.107627</v>
      </c>
    </row>
    <row r="11" customFormat="false" ht="15" hidden="false" customHeight="false" outlineLevel="0" collapsed="false">
      <c r="A11" s="34" t="s">
        <v>189</v>
      </c>
      <c r="B11" s="17" t="n">
        <f aca="false">B9-B10</f>
        <v>0.998373</v>
      </c>
    </row>
    <row r="12" customFormat="false" ht="15" hidden="false" customHeight="false" outlineLevel="0" collapsed="false">
      <c r="A12" s="14" t="s">
        <v>190</v>
      </c>
      <c r="B12" s="16" t="n">
        <f aca="false">B8*B11</f>
        <v>2188.19509266742</v>
      </c>
    </row>
    <row r="13" customFormat="false" ht="15" hidden="false" customHeight="false" outlineLevel="0" collapsed="false">
      <c r="A13" s="34" t="s">
        <v>191</v>
      </c>
      <c r="B13" s="12" t="n">
        <f aca="false">SUMPRODUCT('5. The rent roll'!C5:C244,'4. Survival and stay'!C5:C244)*B4/(1+B6)^0.5</f>
        <v>140.909552857689</v>
      </c>
    </row>
    <row r="14" customFormat="false" ht="15" hidden="false" customHeight="false" outlineLevel="0" collapsed="false">
      <c r="A14" s="34" t="s">
        <v>192</v>
      </c>
      <c r="B14" s="18" t="n">
        <f aca="false">'4. Survival and stay'!$C$249*12</f>
        <v>408.292840599476</v>
      </c>
    </row>
    <row r="15" customFormat="false" ht="15" hidden="false" customHeight="false" outlineLevel="0" collapsed="false">
      <c r="A15" s="34" t="s">
        <v>193</v>
      </c>
      <c r="B15" s="12" t="n">
        <f aca="false">'3. Assumptions'!$B$31</f>
        <v>126.236035083467</v>
      </c>
    </row>
    <row r="16" customFormat="false" ht="15" hidden="false" customHeight="false" outlineLevel="0" collapsed="false">
      <c r="A16" s="14" t="s">
        <v>194</v>
      </c>
      <c r="B16" s="16" t="n">
        <f aca="false">B13+B15</f>
        <v>267.145587941156</v>
      </c>
    </row>
    <row r="17" customFormat="false" ht="15" hidden="false" customHeight="false" outlineLevel="0" collapsed="false">
      <c r="A17" s="14" t="s">
        <v>195</v>
      </c>
      <c r="B17" s="32" t="n">
        <f aca="false">B12/B16</f>
        <v>8.19102089437993</v>
      </c>
    </row>
    <row r="18" customFormat="false" ht="15" hidden="false" customHeight="false" outlineLevel="0" collapsed="false">
      <c r="A18" s="14" t="s">
        <v>196</v>
      </c>
      <c r="B18" s="16" t="n">
        <f aca="false">B16*B14</f>
        <v>109073.630954112</v>
      </c>
    </row>
    <row r="19" customFormat="false" ht="15" hidden="false" customHeight="false" outlineLevel="0" collapsed="false">
      <c r="A19" s="34" t="s">
        <v>197</v>
      </c>
      <c r="B19" s="17" t="n">
        <f aca="false">B18/'6. Income and costs'!B4</f>
        <v>0.11004441746464</v>
      </c>
    </row>
    <row r="21" customFormat="false" ht="15" hidden="false" customHeight="false" outlineLevel="0" collapsed="false">
      <c r="A21" s="14" t="s">
        <v>198</v>
      </c>
      <c r="B21" s="16" t="n">
        <f aca="false">SUMPRODUCT('4. Survival and stay'!C5:C244,'4. Survival and stay'!F5:F244)/SUM('4. Survival and stay'!C5:C244)</f>
        <v>2690.67538718946</v>
      </c>
      <c r="C21" s="2" t="s">
        <v>199</v>
      </c>
    </row>
    <row r="22" customFormat="false" ht="15" hidden="false" customHeight="false" outlineLevel="0" collapsed="false">
      <c r="A22" s="34" t="s">
        <v>200</v>
      </c>
      <c r="B22" s="31" t="n">
        <f aca="false">B12/2</f>
        <v>1094.09754633371</v>
      </c>
    </row>
    <row r="23" customFormat="false" ht="15" hidden="false" customHeight="false" outlineLevel="0" collapsed="false">
      <c r="A23" s="34" t="s">
        <v>201</v>
      </c>
      <c r="B23" s="41" t="n">
        <f aca="false">B21/B22</f>
        <v>2.4592646206052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5" t="s">
        <v>202</v>
      </c>
    </row>
    <row r="2" customFormat="false" ht="15" hidden="false" customHeight="false" outlineLevel="0" collapsed="false">
      <c r="A2" s="2" t="s">
        <v>203</v>
      </c>
    </row>
    <row r="3" customFormat="false" ht="15" hidden="false" customHeight="false" outlineLevel="0" collapsed="false">
      <c r="A3" s="2" t="s">
        <v>204</v>
      </c>
    </row>
    <row r="5" customFormat="false" ht="15" hidden="false" customHeight="false" outlineLevel="0" collapsed="false">
      <c r="A5" s="7" t="s">
        <v>205</v>
      </c>
      <c r="B5" s="7" t="s">
        <v>206</v>
      </c>
      <c r="C5" s="7" t="s">
        <v>207</v>
      </c>
      <c r="D5" s="7" t="s">
        <v>208</v>
      </c>
      <c r="E5" s="7" t="s">
        <v>209</v>
      </c>
      <c r="F5" s="7" t="s">
        <v>210</v>
      </c>
      <c r="H5" s="14" t="s">
        <v>211</v>
      </c>
    </row>
    <row r="6" customFormat="false" ht="82.05" hidden="false" customHeight="false" outlineLevel="0" collapsed="false">
      <c r="A6" s="0" t="s">
        <v>212</v>
      </c>
      <c r="B6" s="4" t="s">
        <v>213</v>
      </c>
      <c r="C6" s="0" t="n">
        <v>34660</v>
      </c>
      <c r="D6" s="11" t="n">
        <f aca="false">'2. The tape'!E11</f>
        <v>34660</v>
      </c>
      <c r="E6" s="11" t="n">
        <f aca="false">D6-C6</f>
        <v>0</v>
      </c>
      <c r="F6" s="0" t="str">
        <f aca="false">IF(ABS(E6)&lt;=1,"reproduced",IF(ABS(E6)&lt;=1*3,"rounding","to check"))</f>
        <v>reproduced</v>
      </c>
      <c r="H6" s="4" t="s">
        <v>214</v>
      </c>
    </row>
    <row r="7" customFormat="false" ht="15" hidden="false" customHeight="false" outlineLevel="0" collapsed="false">
      <c r="A7" s="0" t="s">
        <v>212</v>
      </c>
      <c r="B7" s="4" t="s">
        <v>28</v>
      </c>
      <c r="C7" s="0" t="n">
        <v>590</v>
      </c>
      <c r="D7" s="11" t="n">
        <f aca="false">'2. The tape'!B11</f>
        <v>590</v>
      </c>
      <c r="E7" s="11" t="n">
        <f aca="false">D7-C7</f>
        <v>0</v>
      </c>
      <c r="F7" s="0" t="str">
        <f aca="false">IF(ABS(E7)&lt;=0.5,"reproduced",IF(ABS(E7)&lt;=0.5*3,"rounding","to check"))</f>
        <v>reproduced</v>
      </c>
    </row>
    <row r="8" customFormat="false" ht="15" hidden="false" customHeight="false" outlineLevel="0" collapsed="false">
      <c r="A8" s="0" t="s">
        <v>212</v>
      </c>
      <c r="B8" s="4" t="s">
        <v>215</v>
      </c>
      <c r="C8" s="0" t="n">
        <v>32.6495672244663</v>
      </c>
      <c r="D8" s="15" t="n">
        <f aca="false">'2. The tape'!D11</f>
        <v>32.6495672244662</v>
      </c>
      <c r="E8" s="11" t="n">
        <f aca="false">D8-C8</f>
        <v>0</v>
      </c>
      <c r="F8" s="0" t="str">
        <f aca="false">IF(ABS(E8)&lt;=0.005,"reproduced",IF(ABS(E8)&lt;=0.005*3,"rounding","to check"))</f>
        <v>reproduced</v>
      </c>
    </row>
    <row r="9" customFormat="false" ht="15" hidden="false" customHeight="false" outlineLevel="0" collapsed="false">
      <c r="A9" s="0" t="s">
        <v>212</v>
      </c>
      <c r="B9" s="4" t="s">
        <v>216</v>
      </c>
      <c r="C9" s="0" t="n">
        <v>40.7403389830509</v>
      </c>
      <c r="D9" s="15" t="n">
        <f aca="false">'2. The tape'!B16</f>
        <v>40.7403389830509</v>
      </c>
      <c r="E9" s="11" t="n">
        <f aca="false">D9-C9</f>
        <v>0</v>
      </c>
      <c r="F9" s="0" t="str">
        <f aca="false">IF(ABS(E9)&lt;=0.005,"reproduced",IF(ABS(E9)&lt;=0.005*3,"rounding","to check"))</f>
        <v>reproduced</v>
      </c>
    </row>
    <row r="10" customFormat="false" ht="15" hidden="false" customHeight="false" outlineLevel="0" collapsed="false">
      <c r="A10" s="0" t="s">
        <v>217</v>
      </c>
      <c r="B10" s="4" t="s">
        <v>123</v>
      </c>
      <c r="C10" s="0" t="n">
        <v>13.8030343468202</v>
      </c>
      <c r="D10" s="33" t="n">
        <f aca="false">'4. Survival and stay'!$C$246</f>
        <v>13.8030340961292</v>
      </c>
      <c r="E10" s="11" t="n">
        <f aca="false">D10-C10</f>
        <v>-2.5069098974484E-007</v>
      </c>
      <c r="F10" s="0" t="str">
        <f aca="false">IF(ABS(E10)&lt;=0.05,"reproduced",IF(ABS(E10)&lt;=0.05*3,"rounding","to check"))</f>
        <v>reproduced</v>
      </c>
    </row>
    <row r="11" customFormat="false" ht="15" hidden="false" customHeight="false" outlineLevel="0" collapsed="false">
      <c r="A11" s="0" t="s">
        <v>217</v>
      </c>
      <c r="B11" s="4" t="s">
        <v>124</v>
      </c>
      <c r="C11" s="0" t="n">
        <v>0.869374059245494</v>
      </c>
      <c r="D11" s="17" t="n">
        <f aca="false">'4. Survival and stay'!C247</f>
        <v>0.869374075035083</v>
      </c>
      <c r="E11" s="38" t="n">
        <f aca="false">D11-C11</f>
        <v>1.57895894137283E-008</v>
      </c>
      <c r="F11" s="0" t="str">
        <f aca="false">IF(ABS(E11)&lt;=0.005,"reproduced",IF(ABS(E11)&lt;=0.005*3,"rounding","to check"))</f>
        <v>reproduced</v>
      </c>
    </row>
    <row r="12" customFormat="false" ht="15" hidden="false" customHeight="false" outlineLevel="0" collapsed="false">
      <c r="A12" s="0" t="s">
        <v>217</v>
      </c>
      <c r="B12" s="4" t="s">
        <v>218</v>
      </c>
      <c r="C12" s="0" t="n">
        <v>34.0244027653378</v>
      </c>
      <c r="D12" s="18" t="n">
        <f aca="false">'4. Survival and stay'!$C$249</f>
        <v>34.0244033832897</v>
      </c>
      <c r="E12" s="11" t="n">
        <f aca="false">D12-C12</f>
        <v>6.17951897652347E-007</v>
      </c>
      <c r="F12" s="0" t="str">
        <f aca="false">IF(ABS(E12)&lt;=0.05,"reproduced",IF(ABS(E12)&lt;=0.05*3,"rounding","to check"))</f>
        <v>reproduced</v>
      </c>
    </row>
    <row r="13" customFormat="false" ht="15" hidden="false" customHeight="false" outlineLevel="0" collapsed="false">
      <c r="A13" s="0" t="s">
        <v>219</v>
      </c>
      <c r="B13" s="4" t="s">
        <v>137</v>
      </c>
      <c r="C13" s="0" t="n">
        <v>991178.238733661</v>
      </c>
      <c r="D13" s="12" t="n">
        <f aca="false">'5. The rent roll'!$C$249</f>
        <v>991178.230273791</v>
      </c>
      <c r="E13" s="11" t="n">
        <f aca="false">D13-C13</f>
        <v>-0.00845986977219582</v>
      </c>
      <c r="F13" s="0" t="str">
        <f aca="false">IF(ABS(E13)&lt;=500,"reproduced",IF(ABS(E13)&lt;=500*3,"rounding","to check"))</f>
        <v>reproduced</v>
      </c>
    </row>
    <row r="14" customFormat="false" ht="15" hidden="false" customHeight="false" outlineLevel="0" collapsed="false">
      <c r="A14" s="0" t="s">
        <v>219</v>
      </c>
      <c r="B14" s="4" t="s">
        <v>139</v>
      </c>
      <c r="C14" s="0" t="n">
        <v>35.9261048013389</v>
      </c>
      <c r="D14" s="15" t="n">
        <f aca="false">'5. The rent roll'!$C$251</f>
        <v>35.9261044936813</v>
      </c>
      <c r="E14" s="11" t="n">
        <f aca="false">D14-C14</f>
        <v>-3.07657579412535E-007</v>
      </c>
      <c r="F14" s="0" t="str">
        <f aca="false">IF(ABS(E14)&lt;=0.02,"reproduced",IF(ABS(E14)&lt;=0.02*3,"rounding","to check"))</f>
        <v>reproduced</v>
      </c>
    </row>
    <row r="15" customFormat="false" ht="15" hidden="false" customHeight="false" outlineLevel="0" collapsed="false">
      <c r="A15" s="0" t="s">
        <v>219</v>
      </c>
      <c r="B15" s="4" t="s">
        <v>140</v>
      </c>
      <c r="C15" s="0" t="n">
        <v>0.100354701621201</v>
      </c>
      <c r="D15" s="17" t="n">
        <f aca="false">'5. The rent roll'!$C$252</f>
        <v>0.100354692198179</v>
      </c>
      <c r="E15" s="38" t="n">
        <f aca="false">D15-C15</f>
        <v>-9.42302144646412E-009</v>
      </c>
      <c r="F15" s="0" t="str">
        <f aca="false">IF(ABS(E15)&lt;=0.001,"reproduced",IF(ABS(E15)&lt;=0.001*3,"rounding","to check"))</f>
        <v>reproduced</v>
      </c>
    </row>
    <row r="16" customFormat="false" ht="15" hidden="false" customHeight="false" outlineLevel="0" collapsed="false">
      <c r="A16" s="0" t="s">
        <v>220</v>
      </c>
      <c r="B16" s="4" t="s">
        <v>148</v>
      </c>
      <c r="C16" s="0" t="n">
        <v>1096243.13203943</v>
      </c>
      <c r="D16" s="12" t="n">
        <f aca="false">'6. Income and costs'!$B$8</f>
        <v>1096243.12268281</v>
      </c>
      <c r="E16" s="11" t="n">
        <f aca="false">D16-C16</f>
        <v>-0.00935661583207548</v>
      </c>
      <c r="F16" s="0" t="str">
        <f aca="false">IF(ABS(E16)&lt;=600,"reproduced",IF(ABS(E16)&lt;=600*3,"rounding","to check"))</f>
        <v>reproduced</v>
      </c>
    </row>
    <row r="17" customFormat="false" ht="15" hidden="false" customHeight="false" outlineLevel="0" collapsed="false">
      <c r="A17" s="0" t="s">
        <v>221</v>
      </c>
      <c r="B17" s="4" t="s">
        <v>162</v>
      </c>
      <c r="C17" s="0" t="n">
        <v>586118.808714338</v>
      </c>
      <c r="D17" s="12" t="n">
        <f aca="false">'6. Income and costs'!$B$23</f>
        <v>586118.808739921</v>
      </c>
      <c r="E17" s="11" t="n">
        <f aca="false">D17-C17</f>
        <v>2.55830818787217E-005</v>
      </c>
      <c r="F17" s="0" t="str">
        <f aca="false">IF(ABS(E17)&lt;=400,"reproduced",IF(ABS(E17)&lt;=400*3,"rounding","to check"))</f>
        <v>reproduced</v>
      </c>
    </row>
    <row r="18" customFormat="false" ht="15" hidden="false" customHeight="false" outlineLevel="0" collapsed="false">
      <c r="A18" s="0" t="s">
        <v>221</v>
      </c>
      <c r="B18" s="4" t="s">
        <v>163</v>
      </c>
      <c r="C18" s="0" t="n">
        <v>510124.323325091</v>
      </c>
      <c r="D18" s="12" t="n">
        <f aca="false">'6. Income and costs'!$B$25</f>
        <v>510124.313942892</v>
      </c>
      <c r="E18" s="11" t="n">
        <f aca="false">D18-C18</f>
        <v>-0.00938219914678484</v>
      </c>
      <c r="F18" s="0" t="str">
        <f aca="false">IF(ABS(E18)&lt;=600,"reproduced",IF(ABS(E18)&lt;=600*3,"rounding","to check"))</f>
        <v>reproduced</v>
      </c>
    </row>
    <row r="19" customFormat="false" ht="15" hidden="false" customHeight="false" outlineLevel="0" collapsed="false">
      <c r="A19" s="0" t="s">
        <v>221</v>
      </c>
      <c r="B19" s="4" t="s">
        <v>107</v>
      </c>
      <c r="C19" s="0" t="n">
        <v>0.465338672066356</v>
      </c>
      <c r="D19" s="17" t="n">
        <f aca="false">'6. Income and costs'!$B$26</f>
        <v>0.465338667479596</v>
      </c>
      <c r="E19" s="38" t="n">
        <f aca="false">D19-C19</f>
        <v>-4.58675974979172E-009</v>
      </c>
      <c r="F19" s="0" t="str">
        <f aca="false">IF(ABS(E19)&lt;=0.002,"reproduced",IF(ABS(E19)&lt;=0.002*3,"rounding","to check"))</f>
        <v>reproduced</v>
      </c>
    </row>
    <row r="20" customFormat="false" ht="15" hidden="false" customHeight="false" outlineLevel="0" collapsed="false">
      <c r="A20" s="0" t="s">
        <v>220</v>
      </c>
      <c r="B20" s="4" t="s">
        <v>164</v>
      </c>
      <c r="C20" s="0" t="n">
        <v>21.9248626407886</v>
      </c>
      <c r="D20" s="15" t="n">
        <f aca="false">'6. Income and costs'!$B$27</f>
        <v>21.9248624536563</v>
      </c>
      <c r="E20" s="11" t="n">
        <f aca="false">D20-C20</f>
        <v>-1.87132318529848E-007</v>
      </c>
      <c r="F20" s="0" t="str">
        <f aca="false">IF(ABS(E20)&lt;=0.02,"reproduced",IF(ABS(E20)&lt;=0.02*3,"rounding","to check"))</f>
        <v>reproduced</v>
      </c>
    </row>
    <row r="21" customFormat="false" ht="15" hidden="false" customHeight="false" outlineLevel="0" collapsed="false">
      <c r="A21" s="0" t="s">
        <v>220</v>
      </c>
      <c r="B21" s="4" t="s">
        <v>166</v>
      </c>
      <c r="C21" s="0" t="n">
        <v>31.6284804396835</v>
      </c>
      <c r="D21" s="15" t="n">
        <f aca="false">'6. Income and costs'!$B$28</f>
        <v>31.6284801697292</v>
      </c>
      <c r="E21" s="11" t="n">
        <f aca="false">D21-C21</f>
        <v>-2.69954298914854E-007</v>
      </c>
      <c r="F21" s="0" t="str">
        <f aca="false">IF(ABS(E21)&lt;=0.02,"reproduced",IF(ABS(E21)&lt;=0.02*3,"rounding","to check"))</f>
        <v>reproduced</v>
      </c>
    </row>
    <row r="22" customFormat="false" ht="15" hidden="false" customHeight="false" outlineLevel="0" collapsed="false">
      <c r="A22" s="0" t="s">
        <v>220</v>
      </c>
      <c r="B22" s="4" t="s">
        <v>167</v>
      </c>
      <c r="C22" s="0" t="n">
        <v>39.7342719102808</v>
      </c>
      <c r="D22" s="15" t="n">
        <f aca="false">'6. Income and costs'!$B$29</f>
        <v>39.7342715700115</v>
      </c>
      <c r="E22" s="11" t="n">
        <f aca="false">D22-C22</f>
        <v>-3.40269281196015E-007</v>
      </c>
      <c r="F22" s="0" t="str">
        <f aca="false">IF(ABS(E22)&lt;=0.03,"reproduced",IF(ABS(E22)&lt;=0.03*3,"rounding","to check"))</f>
        <v>reproduced</v>
      </c>
    </row>
    <row r="23" customFormat="false" ht="15" hidden="false" customHeight="false" outlineLevel="0" collapsed="false">
      <c r="A23" s="0" t="s">
        <v>222</v>
      </c>
      <c r="B23" s="4" t="s">
        <v>172</v>
      </c>
      <c r="C23" s="0" t="n">
        <v>0.0605</v>
      </c>
      <c r="D23" s="38" t="n">
        <f aca="false">'6. Income and costs'!$B$36</f>
        <v>0.0605</v>
      </c>
      <c r="E23" s="38" t="n">
        <f aca="false">D23-C23</f>
        <v>0</v>
      </c>
      <c r="F23" s="0" t="str">
        <f aca="false">IF(ABS(E23)&lt;=0.0002,"reproduced",IF(ABS(E23)&lt;=0.0002*3,"rounding","to check"))</f>
        <v>reproduced</v>
      </c>
    </row>
    <row r="24" customFormat="false" ht="15" hidden="false" customHeight="false" outlineLevel="0" collapsed="false">
      <c r="A24" s="0" t="s">
        <v>222</v>
      </c>
      <c r="B24" s="4" t="s">
        <v>173</v>
      </c>
      <c r="C24" s="0" t="n">
        <v>0.0546491386899334</v>
      </c>
      <c r="D24" s="38" t="n">
        <f aca="false">'6. Income and costs'!$B$37</f>
        <v>0.0546491385823245</v>
      </c>
      <c r="E24" s="38" t="n">
        <f aca="false">D24-C24</f>
        <v>-1.07608949528881E-010</v>
      </c>
      <c r="F24" s="0" t="str">
        <f aca="false">IF(ABS(E24)&lt;=0.0004,"reproduced",IF(ABS(E24)&lt;=0.0004*3,"rounding","to check"))</f>
        <v>reproduced</v>
      </c>
    </row>
    <row r="25" customFormat="false" ht="15" hidden="false" customHeight="false" outlineLevel="0" collapsed="false">
      <c r="A25" s="0" t="s">
        <v>223</v>
      </c>
      <c r="B25" s="4" t="s">
        <v>224</v>
      </c>
      <c r="C25" s="0" t="n">
        <v>8431806.99710894</v>
      </c>
      <c r="D25" s="12" t="n">
        <f aca="false">'6. Income and costs'!$B$35</f>
        <v>8431806.84203127</v>
      </c>
      <c r="E25" s="11" t="n">
        <f aca="false">D25-C25</f>
        <v>-0.155077673494816</v>
      </c>
      <c r="F25" s="0" t="str">
        <f aca="false">IF(ABS(E25)&lt;=12000,"reproduced",IF(ABS(E25)&lt;=12000*3,"rounding","to check"))</f>
        <v>reproduced</v>
      </c>
    </row>
    <row r="26" customFormat="false" ht="15" hidden="false" customHeight="false" outlineLevel="0" collapsed="false">
      <c r="A26" s="0" t="s">
        <v>225</v>
      </c>
      <c r="B26" s="4" t="s">
        <v>190</v>
      </c>
      <c r="C26" s="0" t="n">
        <v>2188.19510443219</v>
      </c>
      <c r="D26" s="12" t="n">
        <f aca="false">'7. The customer'!$B$12</f>
        <v>2188.19509266742</v>
      </c>
      <c r="E26" s="11" t="n">
        <f aca="false">D26-C26</f>
        <v>-1.17647696242784E-005</v>
      </c>
      <c r="F26" s="0" t="str">
        <f aca="false">IF(ABS(E26)&lt;=40,"reproduced",IF(ABS(E26)&lt;=40*3,"rounding","to check"))</f>
        <v>reproduced</v>
      </c>
    </row>
    <row r="27" customFormat="false" ht="15" hidden="false" customHeight="false" outlineLevel="0" collapsed="false">
      <c r="A27" s="0" t="s">
        <v>226</v>
      </c>
      <c r="B27" s="4" t="s">
        <v>227</v>
      </c>
      <c r="C27" s="0" t="n">
        <v>267.145587941156</v>
      </c>
      <c r="D27" s="12" t="n">
        <f aca="false">'7. The customer'!$B$16</f>
        <v>267.145587941156</v>
      </c>
      <c r="E27" s="11" t="n">
        <f aca="false">D27-C27</f>
        <v>0</v>
      </c>
      <c r="F27" s="0" t="str">
        <f aca="false">IF(ABS(E27)&lt;=8,"reproduced",IF(ABS(E27)&lt;=8*3,"rounding","to check"))</f>
        <v>reproduced</v>
      </c>
    </row>
    <row r="28" customFormat="false" ht="15" hidden="false" customHeight="false" outlineLevel="0" collapsed="false">
      <c r="A28" s="0" t="s">
        <v>226</v>
      </c>
      <c r="B28" s="4" t="s">
        <v>196</v>
      </c>
      <c r="C28" s="0" t="n">
        <v>109073.628973114</v>
      </c>
      <c r="D28" s="12" t="n">
        <f aca="false">'7. The customer'!$B$18</f>
        <v>109073.630954112</v>
      </c>
      <c r="E28" s="11" t="n">
        <f aca="false">D28-C28</f>
        <v>0.00198099743283819</v>
      </c>
      <c r="F28" s="0" t="str">
        <f aca="false">IF(ABS(E28)&lt;=3000,"reproduced",IF(ABS(E28)&lt;=3000*3,"rounding","to check"))</f>
        <v>reproduced</v>
      </c>
    </row>
    <row r="29" customFormat="false" ht="15" hidden="false" customHeight="false" outlineLevel="0" collapsed="false">
      <c r="A29" s="0" t="s">
        <v>219</v>
      </c>
      <c r="B29" s="4" t="s">
        <v>141</v>
      </c>
      <c r="C29" s="0" t="n">
        <v>17.5805361977895</v>
      </c>
      <c r="D29" s="15" t="n">
        <f aca="false">'5. The rent roll'!$C$253</f>
        <v>17.5805361977895</v>
      </c>
      <c r="E29" s="11" t="n">
        <f aca="false">D29-C29</f>
        <v>0</v>
      </c>
      <c r="F29" s="0" t="str">
        <f aca="false">IF(ABS(E29)&lt;=0.02,"reproduced",IF(ABS(E29)&lt;=0.02*3,"rounding","to check"))</f>
        <v>reproduced</v>
      </c>
    </row>
    <row r="30" customFormat="false" ht="15" hidden="false" customHeight="false" outlineLevel="0" collapsed="false">
      <c r="A30" s="0" t="s">
        <v>228</v>
      </c>
      <c r="B30" s="4" t="s">
        <v>229</v>
      </c>
      <c r="C30" s="0" t="n">
        <v>0.423834593539659</v>
      </c>
      <c r="D30" s="17" t="n">
        <f aca="false">'9. The lease-up curve'!D36</f>
        <v>0.423834601237351</v>
      </c>
      <c r="E30" s="38" t="n">
        <f aca="false">D30-C30</f>
        <v>7.69769248343266E-009</v>
      </c>
      <c r="F30" s="0" t="str">
        <f aca="false">IF(ABS(E30)&lt;=0.002,"reproduced",IF(ABS(E30)&lt;=0.002*3,"rounding","to check"))</f>
        <v>reproduced</v>
      </c>
    </row>
    <row r="31" customFormat="false" ht="15" hidden="false" customHeight="false" outlineLevel="0" collapsed="false">
      <c r="A31" s="0" t="s">
        <v>228</v>
      </c>
      <c r="B31" s="4" t="s">
        <v>230</v>
      </c>
      <c r="C31" s="0" t="n">
        <v>31.6859588468397</v>
      </c>
      <c r="D31" s="42" t="n">
        <f aca="false">'9. The lease-up curve'!F36</f>
        <v>31.6859588468398</v>
      </c>
      <c r="E31" s="11" t="n">
        <f aca="false">D31-C31</f>
        <v>0</v>
      </c>
      <c r="F31" s="0" t="str">
        <f aca="false">IF(ABS(E31)&lt;=0.02,"reproduced",IF(ABS(E31)&lt;=0.02*3,"rounding","to check"))</f>
        <v>reproduced</v>
      </c>
    </row>
    <row r="32" customFormat="false" ht="15" hidden="false" customHeight="false" outlineLevel="0" collapsed="false">
      <c r="A32" s="0" t="s">
        <v>228</v>
      </c>
      <c r="B32" s="4" t="s">
        <v>231</v>
      </c>
      <c r="C32" s="0" t="n">
        <v>-5446.27586921782</v>
      </c>
      <c r="D32" s="12" t="n">
        <f aca="false">'9. The lease-up curve'!H36</f>
        <v>-5446.26819660464</v>
      </c>
      <c r="E32" s="11" t="n">
        <f aca="false">D32-C32</f>
        <v>0.00767261318105739</v>
      </c>
      <c r="F32" s="0" t="str">
        <f aca="false">IF(ABS(E32)&lt;=600,"reproduced",IF(ABS(E32)&lt;=600*3,"rounding","to check"))</f>
        <v>reproduced</v>
      </c>
    </row>
    <row r="33" customFormat="false" ht="15" hidden="false" customHeight="false" outlineLevel="0" collapsed="false">
      <c r="A33" s="0" t="s">
        <v>232</v>
      </c>
      <c r="B33" s="4" t="s">
        <v>125</v>
      </c>
      <c r="C33" s="0" t="n">
        <v>12.9637001704945</v>
      </c>
      <c r="D33" s="33" t="n">
        <f aca="false">'4. Survival and stay'!C248</f>
        <v>12.9636958111613</v>
      </c>
      <c r="E33" s="11" t="n">
        <f aca="false">D33-C33</f>
        <v>-4.35933319842263E-006</v>
      </c>
      <c r="F33" s="0" t="str">
        <f aca="false">IF(ABS(E33)&lt;=0.2,"reproduced",IF(ABS(E33)&lt;=0.2*3,"rounding","to check"))</f>
        <v>reproduced</v>
      </c>
    </row>
    <row r="34" customFormat="false" ht="15" hidden="false" customHeight="false" outlineLevel="0" collapsed="false">
      <c r="A34" s="0" t="s">
        <v>233</v>
      </c>
      <c r="B34" s="0" t="s">
        <v>176</v>
      </c>
      <c r="C34" s="0" t="n">
        <v>0.363</v>
      </c>
      <c r="D34" s="17" t="n">
        <f aca="false">'6. Income and costs'!B40</f>
        <v>0.363112549362699</v>
      </c>
      <c r="E34" s="38" t="n">
        <f aca="false">D34-C34</f>
        <v>0.000112549362698888</v>
      </c>
      <c r="F34" s="0" t="str">
        <f aca="false">IF(ABS(E34)&lt;=0.0005,"reproduced",IF(ABS(E34)&lt;=0.0005*3,"rounding","to check"))</f>
        <v>reproduced</v>
      </c>
    </row>
    <row r="35" customFormat="false" ht="15" hidden="false" customHeight="false" outlineLevel="0" collapsed="false">
      <c r="A35" s="0" t="s">
        <v>234</v>
      </c>
      <c r="B35" s="0" t="s">
        <v>178</v>
      </c>
      <c r="C35" s="0" t="n">
        <v>11784</v>
      </c>
      <c r="D35" s="12" t="n">
        <f aca="false">'6. Income and costs'!B41</f>
        <v>11784.2250495338</v>
      </c>
      <c r="E35" s="11" t="n">
        <f aca="false">D35-C35</f>
        <v>0.225049533815763</v>
      </c>
      <c r="F35" s="0" t="str">
        <f aca="false">IF(ABS(E35)&lt;=1,"reproduced",IF(ABS(E35)&lt;=1*3,"rounding","to check"))</f>
        <v>reproduced</v>
      </c>
    </row>
    <row r="36" customFormat="false" ht="15" hidden="false" customHeight="false" outlineLevel="0" collapsed="false">
      <c r="A36" s="0" t="s">
        <v>221</v>
      </c>
      <c r="B36" s="0" t="s">
        <v>179</v>
      </c>
      <c r="C36" s="0" t="n">
        <v>0.73</v>
      </c>
      <c r="D36" s="17" t="n">
        <f aca="false">'6. Income and costs'!B42</f>
        <v>0.730056762586973</v>
      </c>
      <c r="E36" s="38" t="n">
        <f aca="false">D36-C36</f>
        <v>5.67625869727362E-005</v>
      </c>
      <c r="F36" s="0" t="str">
        <f aca="false">IF(ABS(E36)&lt;=0.005,"reproduced",IF(ABS(E36)&lt;=0.005*3,"rounding","to check"))</f>
        <v>reproduced</v>
      </c>
    </row>
    <row r="37" customFormat="false" ht="15" hidden="false" customHeight="false" outlineLevel="0" collapsed="false">
      <c r="A37" s="0" t="s">
        <v>228</v>
      </c>
      <c r="B37" s="0" t="s">
        <v>235</v>
      </c>
      <c r="C37" s="0" t="n">
        <v>25</v>
      </c>
      <c r="D37" s="43" t="n">
        <f aca="false">'9. The lease-up curve'!B5</f>
        <v>25</v>
      </c>
      <c r="E37" s="11" t="n">
        <f aca="false">D37-C37</f>
        <v>0</v>
      </c>
      <c r="F37" s="0" t="str">
        <f aca="false">IF(ABS(E37)&lt;=0,"reproduced",IF(ABS(E37)&lt;=0*3,"rounding","to check"))</f>
        <v>reproduced</v>
      </c>
    </row>
    <row r="38" customFormat="false" ht="15" hidden="false" customHeight="false" outlineLevel="0" collapsed="false">
      <c r="A38" s="0" t="s">
        <v>228</v>
      </c>
      <c r="B38" s="0" t="s">
        <v>236</v>
      </c>
      <c r="C38" s="0" t="n">
        <v>-535460</v>
      </c>
      <c r="D38" s="12" t="n">
        <f aca="false">'9. The lease-up curve'!B6</f>
        <v>-535459.641871842</v>
      </c>
      <c r="E38" s="11" t="n">
        <f aca="false">D38-C38</f>
        <v>0.358128158259206</v>
      </c>
      <c r="F38" s="0" t="str">
        <f aca="false">IF(ABS(E38)&lt;=1,"reproduced",IF(ABS(E38)&lt;=1*3,"rounding","to check"))</f>
        <v>reproduced</v>
      </c>
    </row>
    <row r="39" customFormat="false" ht="15" hidden="false" customHeight="false" outlineLevel="0" collapsed="false">
      <c r="A39" s="0" t="s">
        <v>228</v>
      </c>
      <c r="B39" s="0" t="s">
        <v>237</v>
      </c>
      <c r="C39" s="0" t="n">
        <v>65</v>
      </c>
      <c r="D39" s="43" t="n">
        <f aca="false">'9. The lease-up curve'!B7</f>
        <v>65</v>
      </c>
      <c r="E39" s="11" t="n">
        <f aca="false">D39-C39</f>
        <v>0</v>
      </c>
      <c r="F39" s="0" t="str">
        <f aca="false">IF(ABS(E39)&lt;=0,"reproduced",IF(ABS(E39)&lt;=0*3,"rounding","to check"))</f>
        <v>reproduced</v>
      </c>
    </row>
    <row r="40" customFormat="false" ht="15" hidden="false" customHeight="false" outlineLevel="0" collapsed="false">
      <c r="A40" s="0" t="s">
        <v>222</v>
      </c>
      <c r="B40" s="0" t="s">
        <v>238</v>
      </c>
      <c r="C40" s="0" t="n">
        <v>421007</v>
      </c>
      <c r="D40" s="12" t="n">
        <f aca="false">'10. Ten years and the bid'!F13</f>
        <v>421007.249333651</v>
      </c>
      <c r="E40" s="11" t="n">
        <f aca="false">D40-C40</f>
        <v>0.249333650921471</v>
      </c>
      <c r="F40" s="0" t="str">
        <f aca="false">IF(ABS(E40)&lt;=1,"reproduced",IF(ABS(E40)&lt;=1*3,"rounding","to check"))</f>
        <v>reproduced</v>
      </c>
    </row>
    <row r="41" customFormat="false" ht="15" hidden="false" customHeight="false" outlineLevel="0" collapsed="false">
      <c r="A41" s="0" t="s">
        <v>222</v>
      </c>
      <c r="B41" s="0" t="s">
        <v>239</v>
      </c>
      <c r="C41" s="0" t="n">
        <v>9933462</v>
      </c>
      <c r="D41" s="12" t="n">
        <f aca="false">'10. Ten years and the bid'!C23</f>
        <v>9933461.48762632</v>
      </c>
      <c r="E41" s="11" t="n">
        <f aca="false">D41-C41</f>
        <v>-0.512373683974147</v>
      </c>
      <c r="F41" s="0" t="str">
        <f aca="false">IF(ABS(E41)&lt;=1,"reproduced",IF(ABS(E41)&lt;=1*3,"rounding","to check"))</f>
        <v>reproduced</v>
      </c>
    </row>
    <row r="42" customFormat="false" ht="15" hidden="false" customHeight="false" outlineLevel="0" collapsed="false">
      <c r="A42" s="0" t="s">
        <v>222</v>
      </c>
      <c r="B42" s="0" t="s">
        <v>240</v>
      </c>
      <c r="C42" s="0" t="n">
        <v>7800000</v>
      </c>
      <c r="D42" s="12" t="n">
        <f aca="false">'10. Ten years and the bid'!C26</f>
        <v>7759474.08460305</v>
      </c>
      <c r="E42" s="11" t="n">
        <f aca="false">D42-C42</f>
        <v>-40525.9153969474</v>
      </c>
      <c r="F42" s="0" t="str">
        <f aca="false">IF(ABS(E42)&lt;=50000,"reproduced",IF(ABS(E42)&lt;=50000*3,"rounding","to check"))</f>
        <v>reproduced</v>
      </c>
    </row>
    <row r="43" customFormat="false" ht="15" hidden="false" customHeight="false" outlineLevel="0" collapsed="false">
      <c r="A43" s="0" t="s">
        <v>222</v>
      </c>
      <c r="B43" s="0" t="s">
        <v>241</v>
      </c>
      <c r="C43" s="0" t="n">
        <v>0.0644</v>
      </c>
      <c r="D43" s="38" t="n">
        <f aca="false">'10. Ten years and the bid'!C29</f>
        <v>0.0644362630141591</v>
      </c>
      <c r="E43" s="38" t="n">
        <f aca="false">D43-C43</f>
        <v>3.62630141591408E-005</v>
      </c>
      <c r="F43" s="0" t="str">
        <f aca="false">IF(ABS(E43)&lt;=0.00005,"reproduced",IF(ABS(E43)&lt;=0.00005*3,"rounding","to check"))</f>
        <v>reproduced</v>
      </c>
    </row>
    <row r="44" customFormat="false" ht="15" hidden="false" customHeight="false" outlineLevel="0" collapsed="false">
      <c r="A44" s="0" t="s">
        <v>242</v>
      </c>
      <c r="B44" s="0" t="s">
        <v>243</v>
      </c>
      <c r="C44" s="0" t="n">
        <v>0.569</v>
      </c>
      <c r="D44" s="17" t="n">
        <f aca="false">'10. Ten years and the bid'!C33</f>
        <v>0.5688172545528</v>
      </c>
      <c r="E44" s="38" t="n">
        <f aca="false">D44-C44</f>
        <v>-0.000182745447200317</v>
      </c>
      <c r="F44" s="0" t="str">
        <f aca="false">IF(ABS(E44)&lt;=0.0005,"reproduced",IF(ABS(E44)&lt;=0.0005*3,"rounding","to check"))</f>
        <v>reproduced</v>
      </c>
    </row>
    <row r="45" customFormat="false" ht="15" hidden="false" customHeight="false" outlineLevel="0" collapsed="false">
      <c r="A45" s="0" t="s">
        <v>223</v>
      </c>
      <c r="B45" s="0" t="s">
        <v>244</v>
      </c>
      <c r="C45" s="0" t="n">
        <v>145.58</v>
      </c>
      <c r="D45" s="42" t="n">
        <f aca="false">'10. Ten years and the bid'!C35</f>
        <v>145.581127290864</v>
      </c>
      <c r="E45" s="11" t="n">
        <f aca="false">D45-C45</f>
        <v>0.00112729086399099</v>
      </c>
      <c r="F45" s="0" t="str">
        <f aca="false">IF(ABS(E45)&lt;=0.005,"reproduced",IF(ABS(E45)&lt;=0.005*3,"rounding","to check"))</f>
        <v>reproduced</v>
      </c>
    </row>
    <row r="46" customFormat="false" ht="15" hidden="false" customHeight="false" outlineLevel="0" collapsed="false">
      <c r="A46" s="0" t="s">
        <v>223</v>
      </c>
      <c r="B46" s="0" t="s">
        <v>245</v>
      </c>
      <c r="C46" s="0" t="n">
        <v>0.137</v>
      </c>
      <c r="D46" s="17" t="n">
        <f aca="false">'10. Ten years and the bid'!C36</f>
        <v>0.136714526208284</v>
      </c>
      <c r="E46" s="38" t="n">
        <f aca="false">D46-C46</f>
        <v>-0.000285473791716506</v>
      </c>
      <c r="F46" s="0" t="str">
        <f aca="false">IF(ABS(E46)&lt;=0.0005,"reproduced",IF(ABS(E46)&lt;=0.0005*3,"rounding","to check"))</f>
        <v>reproduced</v>
      </c>
    </row>
    <row r="47" customFormat="false" ht="15" hidden="false" customHeight="false" outlineLevel="0" collapsed="false">
      <c r="A47" s="0" t="s">
        <v>223</v>
      </c>
      <c r="B47" s="0" t="s">
        <v>246</v>
      </c>
      <c r="C47" s="0" t="n">
        <v>0.0757</v>
      </c>
      <c r="D47" s="38" t="n">
        <f aca="false">'10. Ten years and the bid'!C37</f>
        <v>0.0756743859134239</v>
      </c>
      <c r="E47" s="38" t="n">
        <f aca="false">D47-C47</f>
        <v>-2.56140865761145E-005</v>
      </c>
      <c r="F47" s="0" t="str">
        <f aca="false">IF(ABS(E47)&lt;=0.00005,"reproduced",IF(ABS(E47)&lt;=0.00005*3,"rounding","to check"))</f>
        <v>reproduced</v>
      </c>
    </row>
    <row r="48" customFormat="false" ht="15" hidden="false" customHeight="false" outlineLevel="0" collapsed="false">
      <c r="A48" s="0" t="s">
        <v>247</v>
      </c>
      <c r="B48" s="0" t="s">
        <v>248</v>
      </c>
      <c r="C48" s="0" t="n">
        <v>0.376</v>
      </c>
      <c r="D48" s="17" t="n">
        <f aca="false">'10. Ten years and the bid'!C48</f>
        <v>0.376195764306773</v>
      </c>
      <c r="E48" s="38" t="n">
        <f aca="false">D48-C48</f>
        <v>0.000195764306772817</v>
      </c>
      <c r="F48" s="0" t="str">
        <f aca="false">IF(ABS(E48)&lt;=0.0005,"reproduced",IF(ABS(E48)&lt;=0.0005*3,"rounding","to check"))</f>
        <v>reproduced</v>
      </c>
    </row>
    <row r="49" customFormat="false" ht="15" hidden="false" customHeight="false" outlineLevel="0" collapsed="false">
      <c r="A49" s="0" t="s">
        <v>247</v>
      </c>
      <c r="B49" s="0" t="s">
        <v>249</v>
      </c>
      <c r="C49" s="0" t="n">
        <v>0.0334</v>
      </c>
      <c r="D49" s="38" t="n">
        <f aca="false">'10. Ten years and the bid'!C53</f>
        <v>0.0334133848241632</v>
      </c>
      <c r="E49" s="38" t="n">
        <f aca="false">D49-C49</f>
        <v>1.33848241631734E-005</v>
      </c>
      <c r="F49" s="0" t="str">
        <f aca="false">IF(ABS(E49)&lt;=0.00005,"reproduced",IF(ABS(E49)&lt;=0.00005*3,"rounding","to check"))</f>
        <v>reproduced</v>
      </c>
    </row>
    <row r="50" customFormat="false" ht="15" hidden="false" customHeight="false" outlineLevel="0" collapsed="false">
      <c r="A50" s="0" t="s">
        <v>247</v>
      </c>
      <c r="B50" s="0" t="s">
        <v>250</v>
      </c>
      <c r="C50" s="0" t="n">
        <v>0.0513</v>
      </c>
      <c r="D50" s="38" t="n">
        <f aca="false">'10. Ten years and the bid'!C54</f>
        <v>0.0512656084261956</v>
      </c>
      <c r="E50" s="38" t="n">
        <f aca="false">D50-C50</f>
        <v>-3.43915738044293E-005</v>
      </c>
      <c r="F50" s="0" t="str">
        <f aca="false">IF(ABS(E50)&lt;=0.00005,"reproduced",IF(ABS(E50)&lt;=0.00005*3,"rounding","to check"))</f>
        <v>reproduced</v>
      </c>
    </row>
    <row r="51" customFormat="false" ht="15" hidden="false" customHeight="false" outlineLevel="0" collapsed="false">
      <c r="A51" s="0" t="s">
        <v>247</v>
      </c>
      <c r="B51" s="0" t="s">
        <v>251</v>
      </c>
      <c r="C51" s="0" t="n">
        <v>0.631</v>
      </c>
      <c r="D51" s="17" t="n">
        <f aca="false">'10. Ten years and the bid'!C55</f>
        <v>0.63108280081129</v>
      </c>
      <c r="E51" s="38" t="n">
        <f aca="false">D51-C51</f>
        <v>8.28008112896406E-005</v>
      </c>
      <c r="F51" s="0" t="str">
        <f aca="false">IF(ABS(E51)&lt;=0.0005,"reproduced",IF(ABS(E51)&lt;=0.0005*3,"rounding","to check"))</f>
        <v>reproduced</v>
      </c>
    </row>
    <row r="52" customFormat="false" ht="15" hidden="false" customHeight="false" outlineLevel="0" collapsed="false">
      <c r="A52" s="0" t="s">
        <v>223</v>
      </c>
      <c r="B52" s="0" t="s">
        <v>252</v>
      </c>
      <c r="C52" s="0" t="n">
        <v>0.0569</v>
      </c>
      <c r="D52" s="38" t="n">
        <f aca="false">'10. Ten years and the bid'!C60</f>
        <v>0.0568992433868037</v>
      </c>
      <c r="E52" s="38" t="n">
        <f aca="false">D52-C52</f>
        <v>-7.56613196317701E-007</v>
      </c>
      <c r="F52" s="0" t="str">
        <f aca="false">IF(ABS(E52)&lt;=0.00005,"reproduced",IF(ABS(E52)&lt;=0.00005*3,"rounding","to check"))</f>
        <v>reproduced</v>
      </c>
    </row>
    <row r="53" customFormat="false" ht="15" hidden="false" customHeight="false" outlineLevel="0" collapsed="false">
      <c r="A53" s="0" t="s">
        <v>223</v>
      </c>
      <c r="B53" s="0" t="s">
        <v>253</v>
      </c>
      <c r="C53" s="0" t="n">
        <v>0.0731</v>
      </c>
      <c r="D53" s="38" t="n">
        <f aca="false">'10. Ten years and the bid'!C61</f>
        <v>0.073056781720501</v>
      </c>
      <c r="E53" s="38" t="n">
        <f aca="false">D53-C53</f>
        <v>-4.32182794990466E-005</v>
      </c>
      <c r="F53" s="0" t="str">
        <f aca="false">IF(ABS(E53)&lt;=0.00005,"reproduced",IF(ABS(E53)&lt;=0.00005*3,"rounding","to check"))</f>
        <v>reproduced</v>
      </c>
    </row>
    <row r="54" customFormat="false" ht="15" hidden="false" customHeight="false" outlineLevel="0" collapsed="false">
      <c r="A54" s="0" t="s">
        <v>223</v>
      </c>
      <c r="B54" s="0" t="s">
        <v>254</v>
      </c>
      <c r="C54" s="0" t="n">
        <v>0.8311</v>
      </c>
      <c r="D54" s="38" t="n">
        <f aca="false">'10. Ten years and the bid'!C63</f>
        <v>0.831123877429554</v>
      </c>
      <c r="E54" s="38" t="n">
        <f aca="false">D54-C54</f>
        <v>2.3877429554342E-005</v>
      </c>
      <c r="F54" s="0" t="str">
        <f aca="false">IF(ABS(E54)&lt;=0.00005,"reproduced",IF(ABS(E54)&lt;=0.00005*3,"rounding","to check"))</f>
        <v>reproduced</v>
      </c>
    </row>
    <row r="55" customFormat="false" ht="15" hidden="false" customHeight="false" outlineLevel="0" collapsed="false">
      <c r="A55" s="0" t="s">
        <v>223</v>
      </c>
      <c r="B55" s="0" t="s">
        <v>255</v>
      </c>
      <c r="C55" s="0" t="n">
        <v>0.0342</v>
      </c>
      <c r="D55" s="38" t="n">
        <f aca="false">'10. Ten years and the bid'!C64</f>
        <v>0.0341900628703346</v>
      </c>
      <c r="E55" s="38" t="n">
        <f aca="false">D55-C55</f>
        <v>-9.93712966535637E-006</v>
      </c>
      <c r="F55" s="0" t="str">
        <f aca="false">IF(ABS(E55)&lt;=0.00005,"reproduced",IF(ABS(E55)&lt;=0.00005*3,"rounding","to check"))</f>
        <v>reproduced</v>
      </c>
    </row>
    <row r="56" customFormat="false" ht="15" hidden="false" customHeight="false" outlineLevel="0" collapsed="false">
      <c r="A56" s="0" t="s">
        <v>223</v>
      </c>
      <c r="B56" s="0" t="s">
        <v>256</v>
      </c>
      <c r="C56" s="0" t="n">
        <v>0.0212</v>
      </c>
      <c r="D56" s="38" t="n">
        <f aca="false">'10. Ten years and the bid'!C65</f>
        <v>0.0212204543148248</v>
      </c>
      <c r="E56" s="38" t="n">
        <f aca="false">D56-C56</f>
        <v>2.04543148247492E-005</v>
      </c>
      <c r="F56" s="0" t="str">
        <f aca="false">IF(ABS(E56)&lt;=0.00005,"reproduced",IF(ABS(E56)&lt;=0.00005*3,"rounding","to check"))</f>
        <v>reproduced</v>
      </c>
    </row>
    <row r="57" customFormat="false" ht="15" hidden="false" customHeight="false" outlineLevel="0" collapsed="false">
      <c r="A57" s="0" t="s">
        <v>257</v>
      </c>
      <c r="B57" s="0" t="s">
        <v>258</v>
      </c>
      <c r="C57" s="0" t="n">
        <v>0.1282</v>
      </c>
      <c r="D57" s="38" t="n">
        <f aca="false">'11. The increase decision'!B8</f>
        <v>0.128180927925918</v>
      </c>
      <c r="E57" s="38" t="n">
        <f aca="false">D57-C57</f>
        <v>-1.90720740819439E-005</v>
      </c>
      <c r="F57" s="0" t="str">
        <f aca="false">IF(ABS(E57)&lt;=0.00005,"reproduced",IF(ABS(E57)&lt;=0.00005*3,"rounding","to check"))</f>
        <v>reproduced</v>
      </c>
    </row>
    <row r="58" customFormat="false" ht="15" hidden="false" customHeight="false" outlineLevel="0" collapsed="false">
      <c r="A58" s="0" t="s">
        <v>257</v>
      </c>
      <c r="B58" s="0" t="s">
        <v>259</v>
      </c>
      <c r="C58" s="0" t="n">
        <v>534087</v>
      </c>
      <c r="D58" s="12" t="n">
        <f aca="false">'11. The increase decision'!B9</f>
        <v>534086.592374851</v>
      </c>
      <c r="E58" s="11" t="n">
        <f aca="false">D58-C58</f>
        <v>-0.407625149469823</v>
      </c>
      <c r="F58" s="0" t="str">
        <f aca="false">IF(ABS(E58)&lt;=1,"reproduced",IF(ABS(E58)&lt;=1*3,"rounding","to check"))</f>
        <v>reproduced</v>
      </c>
    </row>
    <row r="59" customFormat="false" ht="15" hidden="false" customHeight="false" outlineLevel="0" collapsed="false">
      <c r="A59" s="0" t="s">
        <v>257</v>
      </c>
      <c r="B59" s="0" t="s">
        <v>260</v>
      </c>
      <c r="C59" s="0" t="n">
        <v>8244</v>
      </c>
      <c r="D59" s="12" t="n">
        <f aca="false">'11. The increase decision'!B14</f>
        <v>8244.3944571591</v>
      </c>
      <c r="E59" s="11" t="n">
        <f aca="false">D59-C59</f>
        <v>0.394457159098238</v>
      </c>
      <c r="F59" s="0" t="str">
        <f aca="false">IF(ABS(E59)&lt;=1,"reproduced",IF(ABS(E59)&lt;=1*3,"rounding","to check"))</f>
        <v>reproduced</v>
      </c>
    </row>
    <row r="60" customFormat="false" ht="15" hidden="false" customHeight="false" outlineLevel="0" collapsed="false">
      <c r="A60" s="0" t="s">
        <v>261</v>
      </c>
      <c r="B60" s="0" t="s">
        <v>262</v>
      </c>
      <c r="C60" s="0" t="n">
        <v>0</v>
      </c>
      <c r="D60" s="44" t="n">
        <f aca="false">'11. The increase decision'!B6</f>
        <v>0.00942365790251643</v>
      </c>
      <c r="E60" s="11" t="n">
        <f aca="false">D60-C60</f>
        <v>0.00942365790251643</v>
      </c>
      <c r="F60" s="0" t="str">
        <f aca="false">IF(ABS(E60)&lt;=0.01,"reproduced",IF(ABS(E60)&lt;=0.01*3,"rounding","to check"))</f>
        <v>reproduced</v>
      </c>
    </row>
    <row r="61" customFormat="false" ht="15" hidden="false" customHeight="false" outlineLevel="0" collapsed="false">
      <c r="A61" s="0" t="s">
        <v>263</v>
      </c>
      <c r="B61" s="0" t="s">
        <v>264</v>
      </c>
      <c r="C61" s="0" t="n">
        <v>2691</v>
      </c>
      <c r="D61" s="12" t="n">
        <f aca="false">'7. The customer'!B21</f>
        <v>2690.67538718946</v>
      </c>
      <c r="E61" s="11" t="n">
        <f aca="false">D61-C61</f>
        <v>-0.324612810543385</v>
      </c>
      <c r="F61" s="0" t="str">
        <f aca="false">IF(ABS(E61)&lt;=1,"reproduced",IF(ABS(E61)&lt;=1*3,"rounding","to check"))</f>
        <v>reproduced</v>
      </c>
    </row>
    <row r="63" customFormat="false" ht="15" hidden="false" customHeight="false" outlineLevel="0" collapsed="false">
      <c r="A63" s="14" t="s">
        <v>265</v>
      </c>
      <c r="C63" s="14" t="n">
        <f aca="false">COUNTIF(F6:F61,"reproduced")</f>
        <v>56</v>
      </c>
    </row>
    <row r="64" customFormat="false" ht="15" hidden="false" customHeight="false" outlineLevel="0" collapsed="false">
      <c r="A64" s="14" t="s">
        <v>266</v>
      </c>
      <c r="C64" s="14" t="n">
        <f aca="false">COUNTIF(F6:F61,"rounding")</f>
        <v>0</v>
      </c>
    </row>
    <row r="65" customFormat="false" ht="15" hidden="false" customHeight="false" outlineLevel="0" collapsed="false">
      <c r="A65" s="14" t="s">
        <v>267</v>
      </c>
      <c r="C65" s="14" t="n">
        <f aca="false">COUNTIF(F6:F61,"to check")</f>
        <v>0</v>
      </c>
    </row>
    <row r="66" customFormat="false" ht="15" hidden="false" customHeight="false" outlineLevel="0" collapsed="false">
      <c r="A66" s="14" t="s">
        <v>268</v>
      </c>
      <c r="C66" s="14" t="str">
        <f aca="false">IF(C65=0,IF(C64=0,"ALL OK","ALL OK, with rounding"),"SOME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8"/>
    <col collapsed="false" customWidth="true" hidden="false" outlineLevel="0" max="9" min="9" style="0" width="12"/>
    <col collapsed="false" customWidth="true" hidden="false" outlineLevel="0" max="11" min="10" style="0" width="4"/>
  </cols>
  <sheetData>
    <row r="1" customFormat="false" ht="16.15" hidden="false" customHeight="false" outlineLevel="0" collapsed="false">
      <c r="A1" s="5" t="s">
        <v>269</v>
      </c>
    </row>
    <row r="2" customFormat="false" ht="15" hidden="false" customHeight="false" outlineLevel="0" collapsed="false">
      <c r="A2" s="2" t="s">
        <v>270</v>
      </c>
    </row>
    <row r="4" customFormat="false" ht="15" hidden="false" customHeight="false" outlineLevel="0" collapsed="false">
      <c r="A4" s="34" t="s">
        <v>271</v>
      </c>
      <c r="B4" s="45" t="n">
        <f aca="false">'4. Survival and stay'!$C$249</f>
        <v>34.0244033832897</v>
      </c>
    </row>
    <row r="5" customFormat="false" ht="15" hidden="false" customHeight="false" outlineLevel="0" collapsed="false">
      <c r="A5" s="14" t="s">
        <v>272</v>
      </c>
      <c r="B5" s="46" t="n">
        <f aca="false">MIN(J12:J132)</f>
        <v>25</v>
      </c>
    </row>
    <row r="6" customFormat="false" ht="15" hidden="false" customHeight="false" outlineLevel="0" collapsed="false">
      <c r="A6" s="14" t="s">
        <v>236</v>
      </c>
      <c r="B6" s="16" t="n">
        <f aca="false">SUMIF(A12:A132,"&lt;"&amp;B5,H12:H132)/12</f>
        <v>-535459.641871842</v>
      </c>
    </row>
    <row r="7" customFormat="false" ht="15" hidden="false" customHeight="false" outlineLevel="0" collapsed="false">
      <c r="A7" s="14" t="s">
        <v>237</v>
      </c>
      <c r="B7" s="46" t="n">
        <f aca="false">MIN(K12:K132)</f>
        <v>65</v>
      </c>
    </row>
    <row r="8" customFormat="false" ht="15" hidden="false" customHeight="false" outlineLevel="0" collapsed="false">
      <c r="A8" s="34" t="s">
        <v>273</v>
      </c>
      <c r="B8" s="39" t="n">
        <f aca="false">'6. Income and costs'!B40</f>
        <v>0.363112549362699</v>
      </c>
    </row>
    <row r="11" customFormat="false" ht="28.35" hidden="false" customHeight="false" outlineLevel="0" collapsed="false">
      <c r="A11" s="47" t="s">
        <v>274</v>
      </c>
      <c r="B11" s="47" t="s">
        <v>275</v>
      </c>
      <c r="C11" s="47" t="s">
        <v>134</v>
      </c>
      <c r="D11" s="47" t="s">
        <v>135</v>
      </c>
      <c r="E11" s="47" t="s">
        <v>276</v>
      </c>
      <c r="F11" s="47" t="s">
        <v>277</v>
      </c>
      <c r="G11" s="47" t="s">
        <v>278</v>
      </c>
      <c r="H11" s="47" t="s">
        <v>279</v>
      </c>
      <c r="I11" s="47" t="s">
        <v>280</v>
      </c>
      <c r="J11" s="47"/>
      <c r="K11" s="47"/>
    </row>
    <row r="12" customFormat="false" ht="15" hidden="false" customHeight="false" outlineLevel="0" collapsed="false">
      <c r="A12" s="34" t="n">
        <v>0</v>
      </c>
      <c r="B12" s="48" t="n">
        <f aca="false">$B$4*(1-EXP(-A12/'3. Assumptions'!$B$46))</f>
        <v>0</v>
      </c>
      <c r="C12" s="48" t="n">
        <f aca="false">$B$4*SUMPRODUCT(('4. Survival and stay'!$A$5:$A$244&lt;=A12)*'4. Survival and stay'!$C$5:$C$244*(1-EXP(-(A12-'4. Survival and stay'!$A$5:$A$244)/'3. Assumptions'!$B$46)))</f>
        <v>0</v>
      </c>
      <c r="D12" s="39" t="n">
        <f aca="false">C12/'2. The tape'!$B$11</f>
        <v>0</v>
      </c>
      <c r="E12" s="31" t="n">
        <f aca="false">$B$4*'2. The tape'!$B$15*'2. The tape'!$D$11*SUMPRODUCT(('4. Survival and stay'!$A$5:$A$244&lt;=A12)*'4. Survival and stay'!$C$5:$C$244*'5. The rent roll'!$D$5:$D$244*(1-EXP(-(A12-'4. Survival and stay'!$A$5:$A$244)/'3. Assumptions'!$B$46)))</f>
        <v>0</v>
      </c>
      <c r="F12" s="49" t="n">
        <f aca="false">IF(C12&gt;0.000000001,E12/(C12*'2. The tape'!$B$15),'2. The tape'!$D$11)</f>
        <v>32.6495672244662</v>
      </c>
      <c r="G12" s="31" t="n">
        <f aca="false">E12*(1+'3. Assumptions'!$B$19+'3. Assumptions'!$B$20+'3. Assumptions'!$B$22)</f>
        <v>0</v>
      </c>
      <c r="H12" s="31" t="n">
        <f aca="false">G12-'6. Income and costs'!$B$39-'3. Assumptions'!$B$31*B12*12-E12*('3. Assumptions'!$B$20*(1-'3. Assumptions'!$B$21)+'3. Assumptions'!$B$33)-G12*('3. Assumptions'!$B$26+'3. Assumptions'!$B$32)</f>
        <v>-427900</v>
      </c>
      <c r="I12" s="34" t="str">
        <f aca="false">IF(H12&gt;0,"Yes","No")</f>
        <v>No</v>
      </c>
      <c r="J12" s="34" t="str">
        <f aca="false">IF(H12&gt;0,A12,"")</f>
        <v/>
      </c>
      <c r="K12" s="34" t="str">
        <f aca="false">IF(D12&gt;=0.95*'3. Assumptions'!$B$17,A12,"")</f>
        <v/>
      </c>
    </row>
    <row r="13" customFormat="false" ht="15" hidden="false" customHeight="false" outlineLevel="0" collapsed="false">
      <c r="A13" s="34" t="n">
        <v>1</v>
      </c>
      <c r="B13" s="48" t="n">
        <f aca="false">$B$4*(1-EXP(-A13/'3. Assumptions'!$B$46))</f>
        <v>2.34554779147304</v>
      </c>
      <c r="C13" s="48" t="n">
        <f aca="false">$B$4*SUMPRODUCT(('4. Survival and stay'!$A$5:$A$244&lt;=A13)*'4. Survival and stay'!$C$5:$C$244*(1-EXP(-(A13-'4. Survival and stay'!$A$5:$A$244)/'3. Assumptions'!$B$46)))</f>
        <v>2.34554779147304</v>
      </c>
      <c r="D13" s="39" t="n">
        <f aca="false">C13/'2. The tape'!$B$11</f>
        <v>0.00397550473131023</v>
      </c>
      <c r="E13" s="31" t="n">
        <f aca="false">$B$4*'2. The tape'!$B$15*'2. The tape'!$D$11*SUMPRODUCT(('4. Survival and stay'!$A$5:$A$244&lt;=A13)*'4. Survival and stay'!$C$5:$C$244*'5. The rent roll'!$D$5:$D$244*(1-EXP(-(A13-'4. Survival and stay'!$A$5:$A$244)/'3. Assumptions'!$B$46)))</f>
        <v>2249.40816055576</v>
      </c>
      <c r="F13" s="49" t="n">
        <f aca="false">IF(C13&gt;0.000000001,E13/(C13*'2. The tape'!$B$15),'2. The tape'!$D$11)</f>
        <v>16.3247836122331</v>
      </c>
      <c r="G13" s="31" t="n">
        <f aca="false">E13*(1+'3. Assumptions'!$B$19+'3. Assumptions'!$B$20+'3. Assumptions'!$B$22)</f>
        <v>2487.84542557467</v>
      </c>
      <c r="H13" s="31" t="n">
        <f aca="false">G13-'6. Income and costs'!$B$39-'3. Assumptions'!$B$31*B13*12-E13*('3. Assumptions'!$B$20*(1-'3. Assumptions'!$B$21)+'3. Assumptions'!$B$33)-G13*('3. Assumptions'!$B$26+'3. Assumptions'!$B$32)</f>
        <v>-429207.363466054</v>
      </c>
      <c r="I13" s="34" t="str">
        <f aca="false">IF(H13&gt;0,"Yes","No")</f>
        <v>No</v>
      </c>
      <c r="J13" s="34" t="str">
        <f aca="false">IF(H13&gt;0,A13,"")</f>
        <v/>
      </c>
      <c r="K13" s="34" t="str">
        <f aca="false">IF(D13&gt;=0.95*'3. Assumptions'!$B$17,A13,"")</f>
        <v/>
      </c>
    </row>
    <row r="14" customFormat="false" ht="15" hidden="false" customHeight="false" outlineLevel="0" collapsed="false">
      <c r="A14" s="34" t="n">
        <v>2</v>
      </c>
      <c r="B14" s="48" t="n">
        <f aca="false">$B$4*(1-EXP(-A14/'3. Assumptions'!$B$46))</f>
        <v>4.52940003813055</v>
      </c>
      <c r="C14" s="48" t="n">
        <f aca="false">$B$4*SUMPRODUCT(('4. Survival and stay'!$A$5:$A$244&lt;=A14)*'4. Survival and stay'!$C$5:$C$244*(1-EXP(-(A14-'4. Survival and stay'!$A$5:$A$244)/'3. Assumptions'!$B$46)))</f>
        <v>6.66150298057954</v>
      </c>
      <c r="D14" s="39" t="n">
        <f aca="false">C14/'2. The tape'!$B$11</f>
        <v>0.0112906830179314</v>
      </c>
      <c r="E14" s="31" t="n">
        <f aca="false">$B$4*'2. The tape'!$B$15*'2. The tape'!$D$11*SUMPRODUCT(('4. Survival and stay'!$A$5:$A$244&lt;=A14)*'4. Survival and stay'!$C$5:$C$244*'5. The rent roll'!$D$5:$D$244*(1-EXP(-(A14-'4. Survival and stay'!$A$5:$A$244)/'3. Assumptions'!$B$46)))</f>
        <v>6703.03147284078</v>
      </c>
      <c r="F14" s="49" t="n">
        <f aca="false">IF(C14&gt;0.000000001,E14/(C14*'2. The tape'!$B$15),'2. The tape'!$D$11)</f>
        <v>17.128624364225</v>
      </c>
      <c r="G14" s="31" t="n">
        <f aca="false">E14*(1+'3. Assumptions'!$B$19+'3. Assumptions'!$B$20+'3. Assumptions'!$B$22)</f>
        <v>7413.5528089619</v>
      </c>
      <c r="H14" s="31" t="n">
        <f aca="false">G14-'6. Income and costs'!$B$39-'3. Assumptions'!$B$31*B14*12-E14*('3. Assumptions'!$B$20*(1-'3. Assumptions'!$B$21)+'3. Assumptions'!$B$33)-G14*('3. Assumptions'!$B$26+'3. Assumptions'!$B$32)</f>
        <v>-428069.156384812</v>
      </c>
      <c r="I14" s="34" t="str">
        <f aca="false">IF(H14&gt;0,"Yes","No")</f>
        <v>No</v>
      </c>
      <c r="J14" s="34" t="str">
        <f aca="false">IF(H14&gt;0,A14,"")</f>
        <v/>
      </c>
      <c r="K14" s="34" t="str">
        <f aca="false">IF(D14&gt;=0.95*'3. Assumptions'!$B$17,A14,"")</f>
        <v/>
      </c>
    </row>
    <row r="15" customFormat="false" ht="15" hidden="false" customHeight="false" outlineLevel="0" collapsed="false">
      <c r="A15" s="34" t="n">
        <v>3</v>
      </c>
      <c r="B15" s="48" t="n">
        <f aca="false">$B$4*(1-EXP(-A15/'3. Assumptions'!$B$46))</f>
        <v>6.56270358136637</v>
      </c>
      <c r="C15" s="48" t="n">
        <f aca="false">$B$4*SUMPRODUCT(('4. Survival and stay'!$A$5:$A$244&lt;=A15)*'4. Survival and stay'!$C$5:$C$244*(1-EXP(-(A15-'4. Survival and stay'!$A$5:$A$244)/'3. Assumptions'!$B$46)))</f>
        <v>12.6702463128032</v>
      </c>
      <c r="D15" s="39" t="n">
        <f aca="false">C15/'2. The tape'!$B$11</f>
        <v>0.0214749937505139</v>
      </c>
      <c r="E15" s="31" t="n">
        <f aca="false">$B$4*'2. The tape'!$B$15*'2. The tape'!$D$11*SUMPRODUCT(('4. Survival and stay'!$A$5:$A$244&lt;=A15)*'4. Survival and stay'!$C$5:$C$244*'5. The rent roll'!$D$5:$D$244*(1-EXP(-(A15-'4. Survival and stay'!$A$5:$A$244)/'3. Assumptions'!$B$46)))</f>
        <v>14667.1117112352</v>
      </c>
      <c r="F15" s="49" t="n">
        <f aca="false">IF(C15&gt;0.000000001,E15/(C15*'2. The tape'!$B$15),'2. The tape'!$D$11)</f>
        <v>19.7052974674913</v>
      </c>
      <c r="G15" s="31" t="n">
        <f aca="false">E15*(1+'3. Assumptions'!$B$19+'3. Assumptions'!$B$20+'3. Assumptions'!$B$22)</f>
        <v>16221.8255526261</v>
      </c>
      <c r="H15" s="31" t="n">
        <f aca="false">G15-'6. Income and costs'!$B$39-'3. Assumptions'!$B$31*B15*12-E15*('3. Assumptions'!$B$20*(1-'3. Assumptions'!$B$21)+'3. Assumptions'!$B$33)-G15*('3. Assumptions'!$B$26+'3. Assumptions'!$B$32)</f>
        <v>-423198.147833996</v>
      </c>
      <c r="I15" s="34" t="str">
        <f aca="false">IF(H15&gt;0,"Yes","No")</f>
        <v>No</v>
      </c>
      <c r="J15" s="34" t="str">
        <f aca="false">IF(H15&gt;0,A15,"")</f>
        <v/>
      </c>
      <c r="K15" s="34" t="str">
        <f aca="false">IF(D15&gt;=0.95*'3. Assumptions'!$B$17,A15,"")</f>
        <v/>
      </c>
    </row>
    <row r="16" customFormat="false" ht="15" hidden="false" customHeight="false" outlineLevel="0" collapsed="false">
      <c r="A16" s="34" t="n">
        <v>4</v>
      </c>
      <c r="B16" s="48" t="n">
        <f aca="false">$B$4*(1-EXP(-A16/'3. Assumptions'!$B$46))</f>
        <v>8.45583683031355</v>
      </c>
      <c r="C16" s="48" t="n">
        <f aca="false">$B$4*SUMPRODUCT(('4. Survival and stay'!$A$5:$A$244&lt;=A16)*'4. Survival and stay'!$C$5:$C$244*(1-EXP(-(A16-'4. Survival and stay'!$A$5:$A$244)/'3. Assumptions'!$B$46)))</f>
        <v>20.1227255255718</v>
      </c>
      <c r="D16" s="39" t="n">
        <f aca="false">C16/'2. The tape'!$B$11</f>
        <v>0.0341063144501218</v>
      </c>
      <c r="E16" s="31" t="n">
        <f aca="false">$B$4*'2. The tape'!$B$15*'2. The tape'!$D$11*SUMPRODUCT(('4. Survival and stay'!$A$5:$A$244&lt;=A16)*'4. Survival and stay'!$C$5:$C$244*'5. The rent roll'!$D$5:$D$244*(1-EXP(-(A16-'4. Survival and stay'!$A$5:$A$244)/'3. Assumptions'!$B$46)))</f>
        <v>25645.7854903402</v>
      </c>
      <c r="F16" s="49" t="n">
        <f aca="false">IF(C16&gt;0.000000001,E16/(C16*'2. The tape'!$B$15),'2. The tape'!$D$11)</f>
        <v>21.6946503565448</v>
      </c>
      <c r="G16" s="31" t="n">
        <f aca="false">E16*(1+'3. Assumptions'!$B$19+'3. Assumptions'!$B$20+'3. Assumptions'!$B$22)</f>
        <v>28364.2387523163</v>
      </c>
      <c r="H16" s="31" t="n">
        <f aca="false">G16-'6. Income and costs'!$B$39-'3. Assumptions'!$B$31*B16*12-E16*('3. Assumptions'!$B$20*(1-'3. Assumptions'!$B$21)+'3. Assumptions'!$B$33)-G16*('3. Assumptions'!$B$26+'3. Assumptions'!$B$32)</f>
        <v>-415105.115979911</v>
      </c>
      <c r="I16" s="34" t="str">
        <f aca="false">IF(H16&gt;0,"Yes","No")</f>
        <v>No</v>
      </c>
      <c r="J16" s="34" t="str">
        <f aca="false">IF(H16&gt;0,A16,"")</f>
        <v/>
      </c>
      <c r="K16" s="34" t="str">
        <f aca="false">IF(D16&gt;=0.95*'3. Assumptions'!$B$17,A16,"")</f>
        <v/>
      </c>
    </row>
    <row r="17" customFormat="false" ht="15" hidden="false" customHeight="false" outlineLevel="0" collapsed="false">
      <c r="A17" s="34" t="n">
        <v>5</v>
      </c>
      <c r="B17" s="48" t="n">
        <f aca="false">$B$4*(1-EXP(-A17/'3. Assumptions'!$B$46))</f>
        <v>10.2184627354284</v>
      </c>
      <c r="C17" s="48" t="n">
        <f aca="false">$B$4*SUMPRODUCT(('4. Survival and stay'!$A$5:$A$244&lt;=A17)*'4. Survival and stay'!$C$5:$C$244*(1-EXP(-(A17-'4. Survival and stay'!$A$5:$A$244)/'3. Assumptions'!$B$46)))</f>
        <v>28.7958590112071</v>
      </c>
      <c r="D17" s="39" t="n">
        <f aca="false">C17/'2. The tape'!$B$11</f>
        <v>0.0488065406969611</v>
      </c>
      <c r="E17" s="31" t="n">
        <f aca="false">$B$4*'2. The tape'!$B$15*'2. The tape'!$D$11*SUMPRODUCT(('4. Survival and stay'!$A$5:$A$244&lt;=A17)*'4. Survival and stay'!$C$5:$C$244*'5. The rent roll'!$D$5:$D$244*(1-EXP(-(A17-'4. Survival and stay'!$A$5:$A$244)/'3. Assumptions'!$B$46)))</f>
        <v>39194.2547073488</v>
      </c>
      <c r="F17" s="49" t="n">
        <f aca="false">IF(C17&gt;0.000000001,E17/(C17*'2. The tape'!$B$15),'2. The tape'!$D$11)</f>
        <v>23.169455376182</v>
      </c>
      <c r="G17" s="31" t="n">
        <f aca="false">E17*(1+'3. Assumptions'!$B$19+'3. Assumptions'!$B$20+'3. Assumptions'!$B$22)</f>
        <v>43348.8457063278</v>
      </c>
      <c r="H17" s="31" t="n">
        <f aca="false">G17-'6. Income and costs'!$B$39-'3. Assumptions'!$B$31*B17*12-E17*('3. Assumptions'!$B$20*(1-'3. Assumptions'!$B$21)+'3. Assumptions'!$B$33)-G17*('3. Assumptions'!$B$26+'3. Assumptions'!$B$32)</f>
        <v>-404248.772989484</v>
      </c>
      <c r="I17" s="34" t="str">
        <f aca="false">IF(H17&gt;0,"Yes","No")</f>
        <v>No</v>
      </c>
      <c r="J17" s="34" t="str">
        <f aca="false">IF(H17&gt;0,A17,"")</f>
        <v/>
      </c>
      <c r="K17" s="34" t="str">
        <f aca="false">IF(D17&gt;=0.95*'3. Assumptions'!$B$17,A17,"")</f>
        <v/>
      </c>
    </row>
    <row r="18" customFormat="false" ht="15" hidden="false" customHeight="false" outlineLevel="0" collapsed="false">
      <c r="A18" s="34" t="n">
        <v>6</v>
      </c>
      <c r="B18" s="48" t="n">
        <f aca="false">$B$4*(1-EXP(-A18/'3. Assumptions'!$B$46))</f>
        <v>11.859578110223</v>
      </c>
      <c r="C18" s="48" t="n">
        <f aca="false">$B$4*SUMPRODUCT(('4. Survival and stay'!$A$5:$A$244&lt;=A18)*'4. Survival and stay'!$C$5:$C$244*(1-EXP(-(A18-'4. Survival and stay'!$A$5:$A$244)/'3. Assumptions'!$B$46)))</f>
        <v>38.4901601601668</v>
      </c>
      <c r="D18" s="39" t="n">
        <f aca="false">C18/'2. The tape'!$B$11</f>
        <v>0.065237559593503</v>
      </c>
      <c r="E18" s="31" t="n">
        <f aca="false">$B$4*'2. The tape'!$B$15*'2. The tape'!$D$11*SUMPRODUCT(('4. Survival and stay'!$A$5:$A$244&lt;=A18)*'4. Survival and stay'!$C$5:$C$244*'5. The rent roll'!$D$5:$D$244*(1-EXP(-(A18-'4. Survival and stay'!$A$5:$A$244)/'3. Assumptions'!$B$46)))</f>
        <v>55168.7875067809</v>
      </c>
      <c r="F18" s="49" t="n">
        <f aca="false">IF(C18&gt;0.000000001,E18/(C18*'2. The tape'!$B$15),'2. The tape'!$D$11)</f>
        <v>24.3987273678085</v>
      </c>
      <c r="G18" s="31" t="n">
        <f aca="false">E18*(1+'3. Assumptions'!$B$19+'3. Assumptions'!$B$20+'3. Assumptions'!$B$22)</f>
        <v>61016.6789824997</v>
      </c>
      <c r="H18" s="31" t="n">
        <f aca="false">G18-'6. Income and costs'!$B$39-'3. Assumptions'!$B$31*B18*12-E18*('3. Assumptions'!$B$20*(1-'3. Assumptions'!$B$21)+'3. Assumptions'!$B$33)-G18*('3. Assumptions'!$B$26+'3. Assumptions'!$B$32)</f>
        <v>-390786.245531259</v>
      </c>
      <c r="I18" s="34" t="str">
        <f aca="false">IF(H18&gt;0,"Yes","No")</f>
        <v>No</v>
      </c>
      <c r="J18" s="34" t="str">
        <f aca="false">IF(H18&gt;0,A18,"")</f>
        <v/>
      </c>
      <c r="K18" s="34" t="str">
        <f aca="false">IF(D18&gt;=0.95*'3. Assumptions'!$B$17,A18,"")</f>
        <v/>
      </c>
    </row>
    <row r="19" customFormat="false" ht="15" hidden="false" customHeight="false" outlineLevel="0" collapsed="false">
      <c r="A19" s="34" t="n">
        <v>7</v>
      </c>
      <c r="B19" s="48" t="n">
        <f aca="false">$B$4*(1-EXP(-A19/'3. Assumptions'!$B$46))</f>
        <v>13.3875595528942</v>
      </c>
      <c r="C19" s="48" t="n">
        <f aca="false">$B$4*SUMPRODUCT(('4. Survival and stay'!$A$5:$A$244&lt;=A19)*'4. Survival and stay'!$C$5:$C$244*(1-EXP(-(A19-'4. Survival and stay'!$A$5:$A$244)/'3. Assumptions'!$B$46)))</f>
        <v>48.9789923173971</v>
      </c>
      <c r="D19" s="39" t="n">
        <f aca="false">C19/'2. The tape'!$B$11</f>
        <v>0.0830152412159272</v>
      </c>
      <c r="E19" s="31" t="n">
        <f aca="false">$B$4*'2. The tape'!$B$15*'2. The tape'!$D$11*SUMPRODUCT(('4. Survival and stay'!$A$5:$A$244&lt;=A19)*'4. Survival and stay'!$C$5:$C$244*'5. The rent roll'!$D$5:$D$244*(1-EXP(-(A19-'4. Survival and stay'!$A$5:$A$244)/'3. Assumptions'!$B$46)))</f>
        <v>73077.8922709152</v>
      </c>
      <c r="F19" s="49" t="n">
        <f aca="false">IF(C19&gt;0.000000001,E19/(C19*'2. The tape'!$B$15),'2. The tape'!$D$11)</f>
        <v>25.3980059324953</v>
      </c>
      <c r="G19" s="31" t="n">
        <f aca="false">E19*(1+'3. Assumptions'!$B$19+'3. Assumptions'!$B$20+'3. Assumptions'!$B$22)</f>
        <v>80824.1488516322</v>
      </c>
      <c r="H19" s="31" t="n">
        <f aca="false">G19-'6. Income and costs'!$B$39-'3. Assumptions'!$B$31*B19*12-E19*('3. Assumptions'!$B$20*(1-'3. Assumptions'!$B$21)+'3. Assumptions'!$B$33)-G19*('3. Assumptions'!$B$26+'3. Assumptions'!$B$32)</f>
        <v>-375220.914708624</v>
      </c>
      <c r="I19" s="34" t="str">
        <f aca="false">IF(H19&gt;0,"Yes","No")</f>
        <v>No</v>
      </c>
      <c r="J19" s="34" t="str">
        <f aca="false">IF(H19&gt;0,A19,"")</f>
        <v/>
      </c>
      <c r="K19" s="34" t="str">
        <f aca="false">IF(D19&gt;=0.95*'3. Assumptions'!$B$17,A19,"")</f>
        <v/>
      </c>
    </row>
    <row r="20" customFormat="false" ht="15" hidden="false" customHeight="false" outlineLevel="0" collapsed="false">
      <c r="A20" s="34" t="n">
        <v>8</v>
      </c>
      <c r="B20" s="48" t="n">
        <f aca="false">$B$4*(1-EXP(-A20/'3. Assumptions'!$B$46))</f>
        <v>14.8102062022439</v>
      </c>
      <c r="C20" s="48" t="n">
        <f aca="false">$B$4*SUMPRODUCT(('4. Survival and stay'!$A$5:$A$244&lt;=A20)*'4. Survival and stay'!$C$5:$C$244*(1-EXP(-(A20-'4. Survival and stay'!$A$5:$A$244)/'3. Assumptions'!$B$46)))</f>
        <v>60.110304583133</v>
      </c>
      <c r="D20" s="39" t="n">
        <f aca="false">C20/'2. The tape'!$B$11</f>
        <v>0.101881872174802</v>
      </c>
      <c r="E20" s="31" t="n">
        <f aca="false">$B$4*'2. The tape'!$B$15*'2. The tape'!$D$11*SUMPRODUCT(('4. Survival and stay'!$A$5:$A$244&lt;=A20)*'4. Survival and stay'!$C$5:$C$244*'5. The rent roll'!$D$5:$D$244*(1-EXP(-(A20-'4. Survival and stay'!$A$5:$A$244)/'3. Assumptions'!$B$46)))</f>
        <v>92586.323497923</v>
      </c>
      <c r="F20" s="49" t="n">
        <f aca="false">IF(C20&gt;0.000000001,E20/(C20*'2. The tape'!$B$15),'2. The tape'!$D$11)</f>
        <v>26.2193163612182</v>
      </c>
      <c r="G20" s="31" t="n">
        <f aca="false">E20*(1+'3. Assumptions'!$B$19+'3. Assumptions'!$B$20+'3. Assumptions'!$B$22)</f>
        <v>102400.473788703</v>
      </c>
      <c r="H20" s="31" t="n">
        <f aca="false">G20-'6. Income and costs'!$B$39-'3. Assumptions'!$B$31*B20*12-E20*('3. Assumptions'!$B$20*(1-'3. Assumptions'!$B$21)+'3. Assumptions'!$B$33)-G20*('3. Assumptions'!$B$26+'3. Assumptions'!$B$32)</f>
        <v>-357899.294967286</v>
      </c>
      <c r="I20" s="34" t="str">
        <f aca="false">IF(H20&gt;0,"Yes","No")</f>
        <v>No</v>
      </c>
      <c r="J20" s="34" t="str">
        <f aca="false">IF(H20&gt;0,A20,"")</f>
        <v/>
      </c>
      <c r="K20" s="34" t="str">
        <f aca="false">IF(D20&gt;=0.95*'3. Assumptions'!$B$17,A20,"")</f>
        <v/>
      </c>
    </row>
    <row r="21" customFormat="false" ht="15" hidden="false" customHeight="false" outlineLevel="0" collapsed="false">
      <c r="A21" s="34" t="n">
        <v>9</v>
      </c>
      <c r="B21" s="48" t="n">
        <f aca="false">$B$4*(1-EXP(-A21/'3. Assumptions'!$B$46))</f>
        <v>16.134779546124</v>
      </c>
      <c r="C21" s="48" t="n">
        <f aca="false">$B$4*SUMPRODUCT(('4. Survival and stay'!$A$5:$A$244&lt;=A21)*'4. Survival and stay'!$C$5:$C$244*(1-EXP(-(A21-'4. Survival and stay'!$A$5:$A$244)/'3. Assumptions'!$B$46)))</f>
        <v>71.7489970203339</v>
      </c>
      <c r="D21" s="39" t="n">
        <f aca="false">C21/'2. The tape'!$B$11</f>
        <v>0.12160846952599</v>
      </c>
      <c r="E21" s="31" t="n">
        <f aca="false">$B$4*'2. The tape'!$B$15*'2. The tape'!$D$11*SUMPRODUCT(('4. Survival and stay'!$A$5:$A$244&lt;=A21)*'4. Survival and stay'!$C$5:$C$244*'5. The rent roll'!$D$5:$D$244*(1-EXP(-(A21-'4. Survival and stay'!$A$5:$A$244)/'3. Assumptions'!$B$46)))</f>
        <v>113395.371697948</v>
      </c>
      <c r="F21" s="49" t="n">
        <f aca="false">IF(C21&gt;0.000000001,E21/(C21*'2. The tape'!$B$15),'2. The tape'!$D$11)</f>
        <v>26.9031385195351</v>
      </c>
      <c r="G21" s="31" t="n">
        <f aca="false">E21*(1+'3. Assumptions'!$B$19+'3. Assumptions'!$B$20+'3. Assumptions'!$B$22)</f>
        <v>125415.281097931</v>
      </c>
      <c r="H21" s="31" t="n">
        <f aca="false">G21-'6. Income and costs'!$B$39-'3. Assumptions'!$B$31*B21*12-E21*('3. Assumptions'!$B$20*(1-'3. Assumptions'!$B$21)+'3. Assumptions'!$B$33)-G21*('3. Assumptions'!$B$26+'3. Assumptions'!$B$32)</f>
        <v>-339130.609733986</v>
      </c>
      <c r="I21" s="34" t="str">
        <f aca="false">IF(H21&gt;0,"Yes","No")</f>
        <v>No</v>
      </c>
      <c r="J21" s="34" t="str">
        <f aca="false">IF(H21&gt;0,A21,"")</f>
        <v/>
      </c>
      <c r="K21" s="34" t="str">
        <f aca="false">IF(D21&gt;=0.95*'3. Assumptions'!$B$17,A21,"")</f>
        <v/>
      </c>
    </row>
    <row r="22" customFormat="false" ht="15" hidden="false" customHeight="false" outlineLevel="0" collapsed="false">
      <c r="A22" s="34" t="n">
        <v>10</v>
      </c>
      <c r="B22" s="48" t="n">
        <f aca="false">$B$4*(1-EXP(-A22/'3. Assumptions'!$B$46))</f>
        <v>17.3680404855989</v>
      </c>
      <c r="C22" s="48" t="n">
        <f aca="false">$B$4*SUMPRODUCT(('4. Survival and stay'!$A$5:$A$244&lt;=A22)*'4. Survival and stay'!$C$5:$C$244*(1-EXP(-(A22-'4. Survival and stay'!$A$5:$A$244)/'3. Assumptions'!$B$46)))</f>
        <v>83.7753219141746</v>
      </c>
      <c r="D22" s="39" t="n">
        <f aca="false">C22/'2. The tape'!$B$11</f>
        <v>0.141992071040974</v>
      </c>
      <c r="E22" s="31" t="n">
        <f aca="false">$B$4*'2. The tape'!$B$15*'2. The tape'!$D$11*SUMPRODUCT(('4. Survival and stay'!$A$5:$A$244&lt;=A22)*'4. Survival and stay'!$C$5:$C$244*'5. The rent roll'!$D$5:$D$244*(1-EXP(-(A22-'4. Survival and stay'!$A$5:$A$244)/'3. Assumptions'!$B$46)))</f>
        <v>135239.451931591</v>
      </c>
      <c r="F22" s="49" t="n">
        <f aca="false">IF(C22&gt;0.000000001,E22/(C22*'2. The tape'!$B$15),'2. The tape'!$D$11)</f>
        <v>27.479621721385</v>
      </c>
      <c r="G22" s="31" t="n">
        <f aca="false">E22*(1+'3. Assumptions'!$B$19+'3. Assumptions'!$B$20+'3. Assumptions'!$B$22)</f>
        <v>149574.83383634</v>
      </c>
      <c r="H22" s="31" t="n">
        <f aca="false">G22-'6. Income and costs'!$B$39-'3. Assumptions'!$B$31*B22*12-E22*('3. Assumptions'!$B$20*(1-'3. Assumptions'!$B$21)+'3. Assumptions'!$B$33)-G22*('3. Assumptions'!$B$26+'3. Assumptions'!$B$32)</f>
        <v>-319190.253473555</v>
      </c>
      <c r="I22" s="34" t="str">
        <f aca="false">IF(H22&gt;0,"Yes","No")</f>
        <v>No</v>
      </c>
      <c r="J22" s="34" t="str">
        <f aca="false">IF(H22&gt;0,A22,"")</f>
        <v/>
      </c>
      <c r="K22" s="34" t="str">
        <f aca="false">IF(D22&gt;=0.95*'3. Assumptions'!$B$17,A22,"")</f>
        <v/>
      </c>
    </row>
    <row r="23" customFormat="false" ht="15" hidden="false" customHeight="false" outlineLevel="0" collapsed="false">
      <c r="A23" s="34" t="n">
        <v>11</v>
      </c>
      <c r="B23" s="48" t="n">
        <f aca="false">$B$4*(1-EXP(-A23/'3. Assumptions'!$B$46))</f>
        <v>18.5162838440067</v>
      </c>
      <c r="C23" s="48" t="n">
        <f aca="false">$B$4*SUMPRODUCT(('4. Survival and stay'!$A$5:$A$244&lt;=A23)*'4. Survival and stay'!$C$5:$C$244*(1-EXP(-(A23-'4. Survival and stay'!$A$5:$A$244)/'3. Assumptions'!$B$46)))</f>
        <v>96.0834238517818</v>
      </c>
      <c r="D23" s="39" t="n">
        <f aca="false">C23/'2. The tape'!$B$11</f>
        <v>0.162853260765732</v>
      </c>
      <c r="E23" s="31" t="n">
        <f aca="false">$B$4*'2. The tape'!$B$15*'2. The tape'!$D$11*SUMPRODUCT(('4. Survival and stay'!$A$5:$A$244&lt;=A23)*'4. Survival and stay'!$C$5:$C$244*'5. The rent roll'!$D$5:$D$244*(1-EXP(-(A23-'4. Survival and stay'!$A$5:$A$244)/'3. Assumptions'!$B$46)))</f>
        <v>157882.986894297</v>
      </c>
      <c r="F23" s="49" t="n">
        <f aca="false">IF(C23&gt;0.000000001,E23/(C23*'2. The tape'!$B$15),'2. The tape'!$D$11)</f>
        <v>27.9711496525451</v>
      </c>
      <c r="G23" s="31" t="n">
        <f aca="false">E23*(1+'3. Assumptions'!$B$19+'3. Assumptions'!$B$20+'3. Assumptions'!$B$22)</f>
        <v>174618.583505093</v>
      </c>
      <c r="H23" s="31" t="n">
        <f aca="false">G23-'6. Income and costs'!$B$39-'3. Assumptions'!$B$31*B23*12-E23*('3. Assumptions'!$B$20*(1-'3. Assumptions'!$B$21)+'3. Assumptions'!$B$33)-G23*('3. Assumptions'!$B$26+'3. Assumptions'!$B$32)</f>
        <v>-298322.95580875</v>
      </c>
      <c r="I23" s="34" t="str">
        <f aca="false">IF(H23&gt;0,"Yes","No")</f>
        <v>No</v>
      </c>
      <c r="J23" s="34" t="str">
        <f aca="false">IF(H23&gt;0,A23,"")</f>
        <v/>
      </c>
      <c r="K23" s="34" t="str">
        <f aca="false">IF(D23&gt;=0.95*'3. Assumptions'!$B$17,A23,"")</f>
        <v/>
      </c>
    </row>
    <row r="24" customFormat="false" ht="15" hidden="false" customHeight="false" outlineLevel="0" collapsed="false">
      <c r="A24" s="34" t="n">
        <v>12</v>
      </c>
      <c r="B24" s="48" t="n">
        <f aca="false">$B$4*(1-EXP(-A24/'3. Assumptions'!$B$46))</f>
        <v>19.5853704970626</v>
      </c>
      <c r="C24" s="48" t="n">
        <f aca="false">$B$4*SUMPRODUCT(('4. Survival and stay'!$A$5:$A$244&lt;=A24)*'4. Survival and stay'!$C$5:$C$244*(1-EXP(-(A24-'4. Survival and stay'!$A$5:$A$244)/'3. Assumptions'!$B$46)))</f>
        <v>108.580007149936</v>
      </c>
      <c r="D24" s="39" t="n">
        <f aca="false">C24/'2. The tape'!$B$11</f>
        <v>0.18403391042362</v>
      </c>
      <c r="E24" s="31" t="n">
        <f aca="false">$B$4*'2. The tape'!$B$15*'2. The tape'!$D$11*SUMPRODUCT(('4. Survival and stay'!$A$5:$A$244&lt;=A24)*'4. Survival and stay'!$C$5:$C$244*'5. The rent roll'!$D$5:$D$244*(1-EXP(-(A24-'4. Survival and stay'!$A$5:$A$244)/'3. Assumptions'!$B$46)))</f>
        <v>181294.025998565</v>
      </c>
      <c r="F24" s="49" t="n">
        <f aca="false">IF(C24&gt;0.000000001,E24/(C24*'2. The tape'!$B$15),'2. The tape'!$D$11)</f>
        <v>28.4221600565495</v>
      </c>
      <c r="G24" s="31" t="n">
        <f aca="false">E24*(1+'3. Assumptions'!$B$19+'3. Assumptions'!$B$20+'3. Assumptions'!$B$22)</f>
        <v>200511.192754413</v>
      </c>
      <c r="H24" s="31" t="n">
        <f aca="false">G24-'6. Income and costs'!$B$39-'3. Assumptions'!$B$31*B24*12-E24*('3. Assumptions'!$B$20*(1-'3. Assumptions'!$B$21)+'3. Assumptions'!$B$33)-G24*('3. Assumptions'!$B$26+'3. Assumptions'!$B$32)</f>
        <v>-276569.493588014</v>
      </c>
      <c r="I24" s="34" t="str">
        <f aca="false">IF(H24&gt;0,"Yes","No")</f>
        <v>No</v>
      </c>
      <c r="J24" s="34" t="str">
        <f aca="false">IF(H24&gt;0,A24,"")</f>
        <v/>
      </c>
      <c r="K24" s="34" t="str">
        <f aca="false">IF(D24&gt;=0.95*'3. Assumptions'!$B$17,A24,"")</f>
        <v/>
      </c>
    </row>
    <row r="25" customFormat="false" ht="15" hidden="false" customHeight="false" outlineLevel="0" collapsed="false">
      <c r="A25" s="34" t="n">
        <v>13</v>
      </c>
      <c r="B25" s="48" t="n">
        <f aca="false">$B$4*(1-EXP(-A25/'3. Assumptions'!$B$46))</f>
        <v>20.5807572880013</v>
      </c>
      <c r="C25" s="48" t="n">
        <f aca="false">$B$4*SUMPRODUCT(('4. Survival and stay'!$A$5:$A$244&lt;=A25)*'4. Survival and stay'!$C$5:$C$244*(1-EXP(-(A25-'4. Survival and stay'!$A$5:$A$244)/'3. Assumptions'!$B$46)))</f>
        <v>121.152011044971</v>
      </c>
      <c r="D25" s="39" t="n">
        <f aca="false">C25/'2. The tape'!$B$11</f>
        <v>0.205342391601646</v>
      </c>
      <c r="E25" s="31" t="n">
        <f aca="false">$B$4*'2. The tape'!$B$15*'2. The tape'!$D$11*SUMPRODUCT(('4. Survival and stay'!$A$5:$A$244&lt;=A25)*'4. Survival and stay'!$C$5:$C$244*'5. The rent roll'!$D$5:$D$244*(1-EXP(-(A25-'4. Survival and stay'!$A$5:$A$244)/'3. Assumptions'!$B$46)))</f>
        <v>205194.960695101</v>
      </c>
      <c r="F25" s="49" t="n">
        <f aca="false">IF(C25&gt;0.000000001,E25/(C25*'2. The tape'!$B$15),'2. The tape'!$D$11)</f>
        <v>28.8309874209961</v>
      </c>
      <c r="G25" s="31" t="n">
        <f aca="false">E25*(1+'3. Assumptions'!$B$19+'3. Assumptions'!$B$20+'3. Assumptions'!$B$22)</f>
        <v>226945.626528782</v>
      </c>
      <c r="H25" s="31" t="n">
        <f aca="false">G25-'6. Income and costs'!$B$39-'3. Assumptions'!$B$31*B25*12-E25*('3. Assumptions'!$B$20*(1-'3. Assumptions'!$B$21)+'3. Assumptions'!$B$33)-G25*('3. Assumptions'!$B$26+'3. Assumptions'!$B$32)</f>
        <v>-254215.289894579</v>
      </c>
      <c r="I25" s="34" t="str">
        <f aca="false">IF(H25&gt;0,"Yes","No")</f>
        <v>No</v>
      </c>
      <c r="J25" s="34" t="str">
        <f aca="false">IF(H25&gt;0,A25,"")</f>
        <v/>
      </c>
      <c r="K25" s="34" t="str">
        <f aca="false">IF(D25&gt;=0.95*'3. Assumptions'!$B$17,A25,"")</f>
        <v/>
      </c>
    </row>
    <row r="26" customFormat="false" ht="15" hidden="false" customHeight="false" outlineLevel="0" collapsed="false">
      <c r="A26" s="34" t="n">
        <v>14</v>
      </c>
      <c r="B26" s="48" t="n">
        <f aca="false">$B$4*(1-EXP(-A26/'3. Assumptions'!$B$46))</f>
        <v>21.5075248804534</v>
      </c>
      <c r="C26" s="48" t="n">
        <f aca="false">$B$4*SUMPRODUCT(('4. Survival and stay'!$A$5:$A$244&lt;=A26)*'4. Survival and stay'!$C$5:$C$244*(1-EXP(-(A26-'4. Survival and stay'!$A$5:$A$244)/'3. Assumptions'!$B$46)))</f>
        <v>133.731932379795</v>
      </c>
      <c r="D26" s="39" t="n">
        <f aca="false">C26/'2. The tape'!$B$11</f>
        <v>0.226664292169144</v>
      </c>
      <c r="E26" s="31" t="n">
        <f aca="false">$B$4*'2. The tape'!$B$15*'2. The tape'!$D$11*SUMPRODUCT(('4. Survival and stay'!$A$5:$A$244&lt;=A26)*'4. Survival and stay'!$C$5:$C$244*'5. The rent roll'!$D$5:$D$244*(1-EXP(-(A26-'4. Survival and stay'!$A$5:$A$244)/'3. Assumptions'!$B$46)))</f>
        <v>229412.117071309</v>
      </c>
      <c r="F26" s="49" t="n">
        <f aca="false">IF(C26&gt;0.000000001,E26/(C26*'2. The tape'!$B$15),'2. The tape'!$D$11)</f>
        <v>29.2014680876314</v>
      </c>
      <c r="G26" s="31" t="n">
        <f aca="false">E26*(1+'3. Assumptions'!$B$19+'3. Assumptions'!$B$20+'3. Assumptions'!$B$22)</f>
        <v>253729.801480867</v>
      </c>
      <c r="H26" s="31" t="n">
        <f aca="false">G26-'6. Income and costs'!$B$39-'3. Assumptions'!$B$31*B26*12-E26*('3. Assumptions'!$B$20*(1-'3. Assumptions'!$B$21)+'3. Assumptions'!$B$33)-G26*('3. Assumptions'!$B$26+'3. Assumptions'!$B$32)</f>
        <v>-231441.432427576</v>
      </c>
      <c r="I26" s="34" t="str">
        <f aca="false">IF(H26&gt;0,"Yes","No")</f>
        <v>No</v>
      </c>
      <c r="J26" s="34" t="str">
        <f aca="false">IF(H26&gt;0,A26,"")</f>
        <v/>
      </c>
      <c r="K26" s="34" t="str">
        <f aca="false">IF(D26&gt;=0.95*'3. Assumptions'!$B$17,A26,"")</f>
        <v/>
      </c>
    </row>
    <row r="27" customFormat="false" ht="15" hidden="false" customHeight="false" outlineLevel="0" collapsed="false">
      <c r="A27" s="34" t="n">
        <v>15</v>
      </c>
      <c r="B27" s="48" t="n">
        <f aca="false">$B$4*(1-EXP(-A27/'3. Assumptions'!$B$46))</f>
        <v>22.3704036912214</v>
      </c>
      <c r="C27" s="48" t="n">
        <f aca="false">$B$4*SUMPRODUCT(('4. Survival and stay'!$A$5:$A$244&lt;=A27)*'4. Survival and stay'!$C$5:$C$244*(1-EXP(-(A27-'4. Survival and stay'!$A$5:$A$244)/'3. Assumptions'!$B$46)))</f>
        <v>146.261064684733</v>
      </c>
      <c r="D27" s="39" t="n">
        <f aca="false">C27/'2. The tape'!$B$11</f>
        <v>0.24790010963514</v>
      </c>
      <c r="E27" s="31" t="n">
        <f aca="false">$B$4*'2. The tape'!$B$15*'2. The tape'!$D$11*SUMPRODUCT(('4. Survival and stay'!$A$5:$A$244&lt;=A27)*'4. Survival and stay'!$C$5:$C$244*'5. The rent roll'!$D$5:$D$244*(1-EXP(-(A27-'4. Survival and stay'!$A$5:$A$244)/'3. Assumptions'!$B$46)))</f>
        <v>253793.097285865</v>
      </c>
      <c r="F27" s="49" t="n">
        <f aca="false">IF(C27&gt;0.000000001,E27/(C27*'2. The tape'!$B$15),'2. The tape'!$D$11)</f>
        <v>29.5375540046511</v>
      </c>
      <c r="G27" s="31" t="n">
        <f aca="false">E27*(1+'3. Assumptions'!$B$19+'3. Assumptions'!$B$20+'3. Assumptions'!$B$22)</f>
        <v>280695.165598166</v>
      </c>
      <c r="H27" s="31" t="n">
        <f aca="false">G27-'6. Income and costs'!$B$39-'3. Assumptions'!$B$31*B27*12-E27*('3. Assumptions'!$B$20*(1-'3. Assumptions'!$B$21)+'3. Assumptions'!$B$33)-G27*('3. Assumptions'!$B$26+'3. Assumptions'!$B$32)</f>
        <v>-208407.236865776</v>
      </c>
      <c r="I27" s="34" t="str">
        <f aca="false">IF(H27&gt;0,"Yes","No")</f>
        <v>No</v>
      </c>
      <c r="J27" s="34" t="str">
        <f aca="false">IF(H27&gt;0,A27,"")</f>
        <v/>
      </c>
      <c r="K27" s="34" t="str">
        <f aca="false">IF(D27&gt;=0.95*'3. Assumptions'!$B$17,A27,"")</f>
        <v/>
      </c>
    </row>
    <row r="28" customFormat="false" ht="15" hidden="false" customHeight="false" outlineLevel="0" collapsed="false">
      <c r="A28" s="34" t="n">
        <v>16</v>
      </c>
      <c r="B28" s="48" t="n">
        <f aca="false">$B$4*(1-EXP(-A28/'3. Assumptions'!$B$46))</f>
        <v>23.1737980353227</v>
      </c>
      <c r="C28" s="48" t="n">
        <f aca="false">$B$4*SUMPRODUCT(('4. Survival and stay'!$A$5:$A$244&lt;=A28)*'4. Survival and stay'!$C$5:$C$244*(1-EXP(-(A28-'4. Survival and stay'!$A$5:$A$244)/'3. Assumptions'!$B$46)))</f>
        <v>158.688616235057</v>
      </c>
      <c r="D28" s="39" t="n">
        <f aca="false">C28/'2. The tape'!$B$11</f>
        <v>0.268963756330604</v>
      </c>
      <c r="E28" s="31" t="n">
        <f aca="false">$B$4*'2. The tape'!$B$15*'2. The tape'!$D$11*SUMPRODUCT(('4. Survival and stay'!$A$5:$A$244&lt;=A28)*'4. Survival and stay'!$C$5:$C$244*'5. The rent roll'!$D$5:$D$244*(1-EXP(-(A28-'4. Survival and stay'!$A$5:$A$244)/'3. Assumptions'!$B$46)))</f>
        <v>278204.694174456</v>
      </c>
      <c r="F28" s="49" t="n">
        <f aca="false">IF(C28&gt;0.000000001,E28/(C28*'2. The tape'!$B$15),'2. The tape'!$D$11)</f>
        <v>29.8429762823802</v>
      </c>
      <c r="G28" s="31" t="n">
        <f aca="false">E28*(1+'3. Assumptions'!$B$19+'3. Assumptions'!$B$20+'3. Assumptions'!$B$22)</f>
        <v>307694.391756948</v>
      </c>
      <c r="H28" s="31" t="n">
        <f aca="false">G28-'6. Income and costs'!$B$39-'3. Assumptions'!$B$31*B28*12-E28*('3. Assumptions'!$B$20*(1-'3. Assumptions'!$B$21)+'3. Assumptions'!$B$33)-G28*('3. Assumptions'!$B$26+'3. Assumptions'!$B$32)</f>
        <v>-185252.365444616</v>
      </c>
      <c r="I28" s="34" t="str">
        <f aca="false">IF(H28&gt;0,"Yes","No")</f>
        <v>No</v>
      </c>
      <c r="J28" s="34" t="str">
        <f aca="false">IF(H28&gt;0,A28,"")</f>
        <v/>
      </c>
      <c r="K28" s="34" t="str">
        <f aca="false">IF(D28&gt;=0.95*'3. Assumptions'!$B$17,A28,"")</f>
        <v/>
      </c>
    </row>
    <row r="29" customFormat="false" ht="15" hidden="false" customHeight="false" outlineLevel="0" collapsed="false">
      <c r="A29" s="34" t="n">
        <v>17</v>
      </c>
      <c r="B29" s="48" t="n">
        <f aca="false">$B$4*(1-EXP(-A29/'3. Assumptions'!$B$46))</f>
        <v>23.9218086065402</v>
      </c>
      <c r="C29" s="48" t="n">
        <f aca="false">$B$4*SUMPRODUCT(('4. Survival and stay'!$A$5:$A$244&lt;=A29)*'4. Survival and stay'!$C$5:$C$244*(1-EXP(-(A29-'4. Survival and stay'!$A$5:$A$244)/'3. Assumptions'!$B$46)))</f>
        <v>170.970907229478</v>
      </c>
      <c r="D29" s="39" t="n">
        <f aca="false">C29/'2. The tape'!$B$11</f>
        <v>0.289781198694031</v>
      </c>
      <c r="E29" s="31" t="n">
        <f aca="false">$B$4*'2. The tape'!$B$15*'2. The tape'!$D$11*SUMPRODUCT(('4. Survival and stay'!$A$5:$A$244&lt;=A29)*'4. Survival and stay'!$C$5:$C$244*'5. The rent roll'!$D$5:$D$244*(1-EXP(-(A29-'4. Survival and stay'!$A$5:$A$244)/'3. Assumptions'!$B$46)))</f>
        <v>302530.990759085</v>
      </c>
      <c r="F29" s="49" t="n">
        <f aca="false">IF(C29&gt;0.000000001,E29/(C29*'2. The tape'!$B$15),'2. The tape'!$D$11)</f>
        <v>30.1211193350252</v>
      </c>
      <c r="G29" s="31" t="n">
        <f aca="false">E29*(1+'3. Assumptions'!$B$19+'3. Assumptions'!$B$20+'3. Assumptions'!$B$22)</f>
        <v>334599.275779548</v>
      </c>
      <c r="H29" s="31" t="n">
        <f aca="false">G29-'6. Income and costs'!$B$39-'3. Assumptions'!$B$31*B29*12-E29*('3. Assumptions'!$B$20*(1-'3. Assumptions'!$B$21)+'3. Assumptions'!$B$33)-G29*('3. Assumptions'!$B$26+'3. Assumptions'!$B$32)</f>
        <v>-162098.758409062</v>
      </c>
      <c r="I29" s="34" t="str">
        <f aca="false">IF(H29&gt;0,"Yes","No")</f>
        <v>No</v>
      </c>
      <c r="J29" s="34" t="str">
        <f aca="false">IF(H29&gt;0,A29,"")</f>
        <v/>
      </c>
      <c r="K29" s="34" t="str">
        <f aca="false">IF(D29&gt;=0.95*'3. Assumptions'!$B$17,A29,"")</f>
        <v/>
      </c>
    </row>
    <row r="30" customFormat="false" ht="15" hidden="false" customHeight="false" outlineLevel="0" collapsed="false">
      <c r="A30" s="34" t="n">
        <v>18</v>
      </c>
      <c r="B30" s="48" t="n">
        <f aca="false">$B$4*(1-EXP(-A30/'3. Assumptions'!$B$46))</f>
        <v>24.618253408226</v>
      </c>
      <c r="C30" s="48" t="n">
        <f aca="false">$B$4*SUMPRODUCT(('4. Survival and stay'!$A$5:$A$244&lt;=A30)*'4. Survival and stay'!$C$5:$C$244*(1-EXP(-(A30-'4. Survival and stay'!$A$5:$A$244)/'3. Assumptions'!$B$46)))</f>
        <v>183.070639416787</v>
      </c>
      <c r="D30" s="39" t="n">
        <f aca="false">C30/'2. The tape'!$B$11</f>
        <v>0.310289219350486</v>
      </c>
      <c r="E30" s="31" t="n">
        <f aca="false">$B$4*'2. The tape'!$B$15*'2. The tape'!$D$11*SUMPRODUCT(('4. Survival and stay'!$A$5:$A$244&lt;=A30)*'4. Survival and stay'!$C$5:$C$244*'5. The rent roll'!$D$5:$D$244*(1-EXP(-(A30-'4. Survival and stay'!$A$5:$A$244)/'3. Assumptions'!$B$46)))</f>
        <v>326793.918164547</v>
      </c>
      <c r="F30" s="49" t="n">
        <f aca="false">IF(C30&gt;0.000000001,E30/(C30*'2. The tape'!$B$15),'2. The tape'!$D$11)</f>
        <v>30.3863629032042</v>
      </c>
      <c r="G30" s="31" t="n">
        <f aca="false">E30*(1+'3. Assumptions'!$B$19+'3. Assumptions'!$B$20+'3. Assumptions'!$B$22)</f>
        <v>361434.073489989</v>
      </c>
      <c r="H30" s="31" t="n">
        <f aca="false">G30-'6. Income and costs'!$B$39-'3. Assumptions'!$B$31*B30*12-E30*('3. Assumptions'!$B$20*(1-'3. Assumptions'!$B$21)+'3. Assumptions'!$B$33)-G30*('3. Assumptions'!$B$26+'3. Assumptions'!$B$32)</f>
        <v>-138930.303951521</v>
      </c>
      <c r="I30" s="34" t="str">
        <f aca="false">IF(H30&gt;0,"Yes","No")</f>
        <v>No</v>
      </c>
      <c r="J30" s="34" t="str">
        <f aca="false">IF(H30&gt;0,A30,"")</f>
        <v/>
      </c>
      <c r="K30" s="34" t="str">
        <f aca="false">IF(D30&gt;=0.95*'3. Assumptions'!$B$17,A30,"")</f>
        <v/>
      </c>
    </row>
    <row r="31" customFormat="false" ht="15" hidden="false" customHeight="false" outlineLevel="0" collapsed="false">
      <c r="A31" s="34" t="n">
        <v>19</v>
      </c>
      <c r="B31" s="48" t="n">
        <f aca="false">$B$4*(1-EXP(-A31/'3. Assumptions'!$B$46))</f>
        <v>25.266687241194</v>
      </c>
      <c r="C31" s="48" t="n">
        <f aca="false">$B$4*SUMPRODUCT(('4. Survival and stay'!$A$5:$A$244&lt;=A31)*'4. Survival and stay'!$C$5:$C$244*(1-EXP(-(A31-'4. Survival and stay'!$A$5:$A$244)/'3. Assumptions'!$B$46)))</f>
        <v>194.936307593069</v>
      </c>
      <c r="D31" s="39" t="n">
        <f aca="false">C31/'2. The tape'!$B$11</f>
        <v>0.330400521344185</v>
      </c>
      <c r="E31" s="31" t="n">
        <f aca="false">$B$4*'2. The tape'!$B$15*'2. The tape'!$D$11*SUMPRODUCT(('4. Survival and stay'!$A$5:$A$244&lt;=A31)*'4. Survival and stay'!$C$5:$C$244*'5. The rent roll'!$D$5:$D$244*(1-EXP(-(A31-'4. Survival and stay'!$A$5:$A$244)/'3. Assumptions'!$B$46)))</f>
        <v>350842.130740465</v>
      </c>
      <c r="F31" s="49" t="n">
        <f aca="false">IF(C31&gt;0.000000001,E31/(C31*'2. The tape'!$B$15),'2. The tape'!$D$11)</f>
        <v>30.636733416309</v>
      </c>
      <c r="G31" s="31" t="n">
        <f aca="false">E31*(1+'3. Assumptions'!$B$19+'3. Assumptions'!$B$20+'3. Assumptions'!$B$22)</f>
        <v>388031.396598954</v>
      </c>
      <c r="H31" s="31" t="n">
        <f aca="false">G31-'6. Income and costs'!$B$39-'3. Assumptions'!$B$31*B31*12-E31*('3. Assumptions'!$B$20*(1-'3. Assumptions'!$B$21)+'3. Assumptions'!$B$33)-G31*('3. Assumptions'!$B$26+'3. Assumptions'!$B$32)</f>
        <v>-115903.486410518</v>
      </c>
      <c r="I31" s="34" t="str">
        <f aca="false">IF(H31&gt;0,"Yes","No")</f>
        <v>No</v>
      </c>
      <c r="J31" s="34" t="str">
        <f aca="false">IF(H31&gt;0,A31,"")</f>
        <v/>
      </c>
      <c r="K31" s="34" t="str">
        <f aca="false">IF(D31&gt;=0.95*'3. Assumptions'!$B$17,A31,"")</f>
        <v/>
      </c>
    </row>
    <row r="32" customFormat="false" ht="15" hidden="false" customHeight="false" outlineLevel="0" collapsed="false">
      <c r="A32" s="34" t="n">
        <v>20</v>
      </c>
      <c r="B32" s="48" t="n">
        <f aca="false">$B$4*(1-EXP(-A32/'3. Assumptions'!$B$46))</f>
        <v>25.8704198481713</v>
      </c>
      <c r="C32" s="48" t="n">
        <f aca="false">$B$4*SUMPRODUCT(('4. Survival and stay'!$A$5:$A$244&lt;=A32)*'4. Survival and stay'!$C$5:$C$244*(1-EXP(-(A32-'4. Survival and stay'!$A$5:$A$244)/'3. Assumptions'!$B$46)))</f>
        <v>206.54414363078</v>
      </c>
      <c r="D32" s="39" t="n">
        <f aca="false">C32/'2. The tape'!$B$11</f>
        <v>0.350074819713186</v>
      </c>
      <c r="E32" s="31" t="n">
        <f aca="false">$B$4*'2. The tape'!$B$15*'2. The tape'!$D$11*SUMPRODUCT(('4. Survival and stay'!$A$5:$A$244&lt;=A32)*'4. Survival and stay'!$C$5:$C$244*'5. The rent roll'!$D$5:$D$244*(1-EXP(-(A32-'4. Survival and stay'!$A$5:$A$244)/'3. Assumptions'!$B$46)))</f>
        <v>374593.479718199</v>
      </c>
      <c r="F32" s="49" t="n">
        <f aca="false">IF(C32&gt;0.000000001,E32/(C32*'2. The tape'!$B$15),'2. The tape'!$D$11)</f>
        <v>30.8724276445751</v>
      </c>
      <c r="G32" s="31" t="n">
        <f aca="false">E32*(1+'3. Assumptions'!$B$19+'3. Assumptions'!$B$20+'3. Assumptions'!$B$22)</f>
        <v>414300.388568328</v>
      </c>
      <c r="H32" s="31" t="n">
        <f aca="false">G32-'6. Income and costs'!$B$39-'3. Assumptions'!$B$31*B32*12-E32*('3. Assumptions'!$B$20*(1-'3. Assumptions'!$B$21)+'3. Assumptions'!$B$33)-G32*('3. Assumptions'!$B$26+'3. Assumptions'!$B$32)</f>
        <v>-93105.3346042356</v>
      </c>
      <c r="I32" s="34" t="str">
        <f aca="false">IF(H32&gt;0,"Yes","No")</f>
        <v>No</v>
      </c>
      <c r="J32" s="34" t="str">
        <f aca="false">IF(H32&gt;0,A32,"")</f>
        <v/>
      </c>
      <c r="K32" s="34" t="str">
        <f aca="false">IF(D32&gt;=0.95*'3. Assumptions'!$B$17,A32,"")</f>
        <v/>
      </c>
    </row>
    <row r="33" customFormat="false" ht="15" hidden="false" customHeight="false" outlineLevel="0" collapsed="false">
      <c r="A33" s="34" t="n">
        <v>21</v>
      </c>
      <c r="B33" s="48" t="n">
        <f aca="false">$B$4*(1-EXP(-A33/'3. Assumptions'!$B$46))</f>
        <v>26.4325328074215</v>
      </c>
      <c r="C33" s="48" t="n">
        <f aca="false">$B$4*SUMPRODUCT(('4. Survival and stay'!$A$5:$A$244&lt;=A33)*'4. Survival and stay'!$C$5:$C$244*(1-EXP(-(A33-'4. Survival and stay'!$A$5:$A$244)/'3. Assumptions'!$B$46)))</f>
        <v>217.874671517031</v>
      </c>
      <c r="D33" s="39" t="n">
        <f aca="false">C33/'2. The tape'!$B$11</f>
        <v>0.369279104266154</v>
      </c>
      <c r="E33" s="31" t="n">
        <f aca="false">$B$4*'2. The tape'!$B$15*'2. The tape'!$D$11*SUMPRODUCT(('4. Survival and stay'!$A$5:$A$244&lt;=A33)*'4. Survival and stay'!$C$5:$C$244*'5. The rent roll'!$D$5:$D$244*(1-EXP(-(A33-'4. Survival and stay'!$A$5:$A$244)/'3. Assumptions'!$B$46)))</f>
        <v>397977.926652578</v>
      </c>
      <c r="F33" s="49" t="n">
        <f aca="false">IF(C33&gt;0.000000001,E33/(C33*'2. The tape'!$B$15),'2. The tape'!$D$11)</f>
        <v>31.0939354796229</v>
      </c>
      <c r="G33" s="31" t="n">
        <f aca="false">E33*(1+'3. Assumptions'!$B$19+'3. Assumptions'!$B$20+'3. Assumptions'!$B$22)</f>
        <v>440163.586877751</v>
      </c>
      <c r="H33" s="31" t="n">
        <f aca="false">G33-'6. Income and costs'!$B$39-'3. Assumptions'!$B$31*B33*12-E33*('3. Assumptions'!$B$20*(1-'3. Assumptions'!$B$21)+'3. Assumptions'!$B$33)-G33*('3. Assumptions'!$B$26+'3. Assumptions'!$B$32)</f>
        <v>-70610.4410999568</v>
      </c>
      <c r="I33" s="34" t="str">
        <f aca="false">IF(H33&gt;0,"Yes","No")</f>
        <v>No</v>
      </c>
      <c r="J33" s="34" t="str">
        <f aca="false">IF(H33&gt;0,A33,"")</f>
        <v/>
      </c>
      <c r="K33" s="34" t="str">
        <f aca="false">IF(D33&gt;=0.95*'3. Assumptions'!$B$17,A33,"")</f>
        <v/>
      </c>
    </row>
    <row r="34" customFormat="false" ht="15" hidden="false" customHeight="false" outlineLevel="0" collapsed="false">
      <c r="A34" s="34" t="n">
        <v>22</v>
      </c>
      <c r="B34" s="48" t="n">
        <f aca="false">$B$4*(1-EXP(-A34/'3. Assumptions'!$B$46))</f>
        <v>26.9558952617687</v>
      </c>
      <c r="C34" s="48" t="n">
        <f aca="false">$B$4*SUMPRODUCT(('4. Survival and stay'!$A$5:$A$244&lt;=A34)*'4. Survival and stay'!$C$5:$C$244*(1-EXP(-(A34-'4. Survival and stay'!$A$5:$A$244)/'3. Assumptions'!$B$46)))</f>
        <v>228.912235002341</v>
      </c>
      <c r="D34" s="39" t="n">
        <f aca="false">C34/'2. The tape'!$B$11</f>
        <v>0.387986838987019</v>
      </c>
      <c r="E34" s="31" t="n">
        <f aca="false">$B$4*'2. The tape'!$B$15*'2. The tape'!$D$11*SUMPRODUCT(('4. Survival and stay'!$A$5:$A$244&lt;=A34)*'4. Survival and stay'!$C$5:$C$244*'5. The rent roll'!$D$5:$D$244*(1-EXP(-(A34-'4. Survival and stay'!$A$5:$A$244)/'3. Assumptions'!$B$46)))</f>
        <v>420936.279830016</v>
      </c>
      <c r="F34" s="49" t="n">
        <f aca="false">IF(C34&gt;0.000000001,E34/(C34*'2. The tape'!$B$15),'2. The tape'!$D$11)</f>
        <v>31.3019076723548</v>
      </c>
      <c r="G34" s="31" t="n">
        <f aca="false">E34*(1+'3. Assumptions'!$B$19+'3. Assumptions'!$B$20+'3. Assumptions'!$B$22)</f>
        <v>465555.525491998</v>
      </c>
      <c r="H34" s="31" t="n">
        <f aca="false">G34-'6. Income and costs'!$B$39-'3. Assumptions'!$B$31*B34*12-E34*('3. Assumptions'!$B$20*(1-'3. Assumptions'!$B$21)+'3. Assumptions'!$B$33)-G34*('3. Assumptions'!$B$26+'3. Assumptions'!$B$32)</f>
        <v>-48482.2475769182</v>
      </c>
      <c r="I34" s="34" t="str">
        <f aca="false">IF(H34&gt;0,"Yes","No")</f>
        <v>No</v>
      </c>
      <c r="J34" s="34" t="str">
        <f aca="false">IF(H34&gt;0,A34,"")</f>
        <v/>
      </c>
      <c r="K34" s="34" t="str">
        <f aca="false">IF(D34&gt;=0.95*'3. Assumptions'!$B$17,A34,"")</f>
        <v/>
      </c>
    </row>
    <row r="35" customFormat="false" ht="15" hidden="false" customHeight="false" outlineLevel="0" collapsed="false">
      <c r="A35" s="34" t="n">
        <v>23</v>
      </c>
      <c r="B35" s="48" t="n">
        <f aca="false">$B$4*(1-EXP(-A35/'3. Assumptions'!$B$46))</f>
        <v>27.4431785633059</v>
      </c>
      <c r="C35" s="48" t="n">
        <f aca="false">$B$4*SUMPRODUCT(('4. Survival and stay'!$A$5:$A$244&lt;=A35)*'4. Survival and stay'!$C$5:$C$244*(1-EXP(-(A35-'4. Survival and stay'!$A$5:$A$244)/'3. Assumptions'!$B$46)))</f>
        <v>239.644569546871</v>
      </c>
      <c r="D35" s="39" t="n">
        <f aca="false">C35/'2. The tape'!$B$11</f>
        <v>0.406177236520121</v>
      </c>
      <c r="E35" s="31" t="n">
        <f aca="false">$B$4*'2. The tape'!$B$15*'2. The tape'!$D$11*SUMPRODUCT(('4. Survival and stay'!$A$5:$A$244&lt;=A35)*'4. Survival and stay'!$C$5:$C$244*'5. The rent roll'!$D$5:$D$244*(1-EXP(-(A35-'4. Survival and stay'!$A$5:$A$244)/'3. Assumptions'!$B$46)))</f>
        <v>443419.046296347</v>
      </c>
      <c r="F35" s="49" t="n">
        <f aca="false">IF(C35&gt;0.000000001,E35/(C35*'2. The tape'!$B$15),'2. The tape'!$D$11)</f>
        <v>31.4970735571474</v>
      </c>
      <c r="G35" s="31" t="n">
        <f aca="false">E35*(1+'3. Assumptions'!$B$19+'3. Assumptions'!$B$20+'3. Assumptions'!$B$22)</f>
        <v>490421.46520376</v>
      </c>
      <c r="H35" s="31" t="n">
        <f aca="false">G35-'6. Income and costs'!$B$39-'3. Assumptions'!$B$31*B35*12-E35*('3. Assumptions'!$B$20*(1-'3. Assumptions'!$B$21)+'3. Assumptions'!$B$33)-G35*('3. Assumptions'!$B$26+'3. Assumptions'!$B$32)</f>
        <v>-26774.2131150091</v>
      </c>
      <c r="I35" s="34" t="str">
        <f aca="false">IF(H35&gt;0,"Yes","No")</f>
        <v>No</v>
      </c>
      <c r="J35" s="34" t="str">
        <f aca="false">IF(H35&gt;0,A35,"")</f>
        <v/>
      </c>
      <c r="K35" s="34" t="str">
        <f aca="false">IF(D35&gt;=0.95*'3. Assumptions'!$B$17,A35,"")</f>
        <v/>
      </c>
    </row>
    <row r="36" customFormat="false" ht="15" hidden="false" customHeight="false" outlineLevel="0" collapsed="false">
      <c r="A36" s="34" t="n">
        <v>24</v>
      </c>
      <c r="B36" s="48" t="n">
        <f aca="false">$B$4*(1-EXP(-A36/'3. Assumptions'!$B$46))</f>
        <v>27.8968699085384</v>
      </c>
      <c r="C36" s="48" t="n">
        <f aca="false">$B$4*SUMPRODUCT(('4. Survival and stay'!$A$5:$A$244&lt;=A36)*'4. Survival and stay'!$C$5:$C$244*(1-EXP(-(A36-'4. Survival and stay'!$A$5:$A$244)/'3. Assumptions'!$B$46)))</f>
        <v>250.062414730037</v>
      </c>
      <c r="D36" s="39" t="n">
        <f aca="false">C36/'2. The tape'!$B$11</f>
        <v>0.423834601237351</v>
      </c>
      <c r="E36" s="31" t="n">
        <f aca="false">$B$4*'2. The tape'!$B$15*'2. The tape'!$D$11*SUMPRODUCT(('4. Survival and stay'!$A$5:$A$244&lt;=A36)*'4. Survival and stay'!$C$5:$C$244*'5. The rent roll'!$D$5:$D$244*(1-EXP(-(A36-'4. Survival and stay'!$A$5:$A$244)/'3. Assumptions'!$B$46)))</f>
        <v>465470.134694461</v>
      </c>
      <c r="F36" s="49" t="n">
        <f aca="false">IF(C36&gt;0.000000001,E36/(C36*'2. The tape'!$B$15),'2. The tape'!$D$11)</f>
        <v>31.6859588468398</v>
      </c>
      <c r="G36" s="31" t="n">
        <f aca="false">E36*(1+'3. Assumptions'!$B$19+'3. Assumptions'!$B$20+'3. Assumptions'!$B$22)</f>
        <v>514809.968972074</v>
      </c>
      <c r="H36" s="31" t="n">
        <f aca="false">G36-'6. Income and costs'!$B$39-'3. Assumptions'!$B$31*B36*12-E36*('3. Assumptions'!$B$20*(1-'3. Assumptions'!$B$21)+'3. Assumptions'!$B$33)-G36*('3. Assumptions'!$B$26+'3. Assumptions'!$B$32)</f>
        <v>-5446.26819660464</v>
      </c>
      <c r="I36" s="34" t="str">
        <f aca="false">IF(H36&gt;0,"Yes","No")</f>
        <v>No</v>
      </c>
      <c r="J36" s="34" t="str">
        <f aca="false">IF(H36&gt;0,A36,"")</f>
        <v/>
      </c>
      <c r="K36" s="34" t="str">
        <f aca="false">IF(D36&gt;=0.95*'3. Assumptions'!$B$17,A36,"")</f>
        <v/>
      </c>
    </row>
    <row r="37" customFormat="false" ht="15" hidden="false" customHeight="false" outlineLevel="0" collapsed="false">
      <c r="A37" s="34" t="n">
        <v>25</v>
      </c>
      <c r="B37" s="48" t="n">
        <f aca="false">$B$4*(1-EXP(-A37/'3. Assumptions'!$B$46))</f>
        <v>28.3192850335583</v>
      </c>
      <c r="C37" s="48" t="n">
        <f aca="false">$B$4*SUMPRODUCT(('4. Survival and stay'!$A$5:$A$244&lt;=A37)*'4. Survival and stay'!$C$5:$C$244*(1-EXP(-(A37-'4. Survival and stay'!$A$5:$A$244)/'3. Assumptions'!$B$46)))</f>
        <v>260.146402567105</v>
      </c>
      <c r="D37" s="39" t="n">
        <f aca="false">C37/'2. The tape'!$B$11</f>
        <v>0.440926106045941</v>
      </c>
      <c r="E37" s="31" t="n">
        <f aca="false">$B$4*'2. The tape'!$B$15*'2. The tape'!$D$11*SUMPRODUCT(('4. Survival and stay'!$A$5:$A$244&lt;=A37)*'4. Survival and stay'!$C$5:$C$244*'5. The rent roll'!$D$5:$D$244*(1-EXP(-(A37-'4. Survival and stay'!$A$5:$A$244)/'3. Assumptions'!$B$46)))</f>
        <v>487011.395349539</v>
      </c>
      <c r="F37" s="49" t="n">
        <f aca="false">IF(C37&gt;0.000000001,E37/(C37*'2. The tape'!$B$15),'2. The tape'!$D$11)</f>
        <v>31.8672620616587</v>
      </c>
      <c r="G37" s="31" t="n">
        <f aca="false">E37*(1+'3. Assumptions'!$B$19+'3. Assumptions'!$B$20+'3. Assumptions'!$B$22)</f>
        <v>538634.60325659</v>
      </c>
      <c r="H37" s="31" t="n">
        <f aca="false">G37-'6. Income and costs'!$B$39-'3. Assumptions'!$B$31*B37*12-E37*('3. Assumptions'!$B$20*(1-'3. Assumptions'!$B$21)+'3. Assumptions'!$B$33)-G37*('3. Assumptions'!$B$26+'3. Assumptions'!$B$32)</f>
        <v>15420.0567008853</v>
      </c>
      <c r="I37" s="34" t="str">
        <f aca="false">IF(H37&gt;0,"Yes","No")</f>
        <v>Yes</v>
      </c>
      <c r="J37" s="34" t="n">
        <f aca="false">IF(H37&gt;0,A37,"")</f>
        <v>25</v>
      </c>
      <c r="K37" s="34" t="str">
        <f aca="false">IF(D37&gt;=0.95*'3. Assumptions'!$B$17,A37,"")</f>
        <v/>
      </c>
    </row>
    <row r="38" customFormat="false" ht="15" hidden="false" customHeight="false" outlineLevel="0" collapsed="false">
      <c r="A38" s="34" t="n">
        <v>26</v>
      </c>
      <c r="B38" s="48" t="n">
        <f aca="false">$B$4*(1-EXP(-A38/'3. Assumptions'!$B$46))</f>
        <v>28.7125800340484</v>
      </c>
      <c r="C38" s="48" t="n">
        <f aca="false">$B$4*SUMPRODUCT(('4. Survival and stay'!$A$5:$A$244&lt;=A38)*'4. Survival and stay'!$C$5:$C$244*(1-EXP(-(A38-'4. Survival and stay'!$A$5:$A$244)/'3. Assumptions'!$B$46)))</f>
        <v>269.893990979327</v>
      </c>
      <c r="D38" s="39" t="n">
        <f aca="false">C38/'2. The tape'!$B$11</f>
        <v>0.457447442337842</v>
      </c>
      <c r="E38" s="31" t="n">
        <f aca="false">$B$4*'2. The tape'!$B$15*'2. The tape'!$D$11*SUMPRODUCT(('4. Survival and stay'!$A$5:$A$244&lt;=A38)*'4. Survival and stay'!$C$5:$C$244*'5. The rent roll'!$D$5:$D$244*(1-EXP(-(A38-'4. Survival and stay'!$A$5:$A$244)/'3. Assumptions'!$B$46)))</f>
        <v>508010.788554805</v>
      </c>
      <c r="F38" s="49" t="n">
        <f aca="false">IF(C38&gt;0.000000001,E38/(C38*'2. The tape'!$B$15),'2. The tape'!$D$11)</f>
        <v>32.0407868857775</v>
      </c>
      <c r="G38" s="31" t="n">
        <f aca="false">E38*(1+'3. Assumptions'!$B$19+'3. Assumptions'!$B$20+'3. Assumptions'!$B$22)</f>
        <v>561859.932141614</v>
      </c>
      <c r="H38" s="31" t="n">
        <f aca="false">G38-'6. Income and costs'!$B$39-'3. Assumptions'!$B$31*B38*12-E38*('3. Assumptions'!$B$20*(1-'3. Assumptions'!$B$21)+'3. Assumptions'!$B$33)-G38*('3. Assumptions'!$B$26+'3. Assumptions'!$B$32)</f>
        <v>35789.5078756462</v>
      </c>
      <c r="I38" s="34" t="str">
        <f aca="false">IF(H38&gt;0,"Yes","No")</f>
        <v>Yes</v>
      </c>
      <c r="J38" s="34" t="n">
        <f aca="false">IF(H38&gt;0,A38,"")</f>
        <v>26</v>
      </c>
      <c r="K38" s="34" t="str">
        <f aca="false">IF(D38&gt;=0.95*'3. Assumptions'!$B$17,A38,"")</f>
        <v/>
      </c>
    </row>
    <row r="39" customFormat="false" ht="15" hidden="false" customHeight="false" outlineLevel="0" collapsed="false">
      <c r="A39" s="34" t="n">
        <v>27</v>
      </c>
      <c r="B39" s="48" t="n">
        <f aca="false">$B$4*(1-EXP(-A39/'3. Assumptions'!$B$46))</f>
        <v>29.0787623704484</v>
      </c>
      <c r="C39" s="48" t="n">
        <f aca="false">$B$4*SUMPRODUCT(('4. Survival and stay'!$A$5:$A$244&lt;=A39)*'4. Survival and stay'!$C$5:$C$244*(1-EXP(-(A39-'4. Survival and stay'!$A$5:$A$244)/'3. Assumptions'!$B$46)))</f>
        <v>279.304512690663</v>
      </c>
      <c r="D39" s="39" t="n">
        <f aca="false">C39/'2. The tape'!$B$11</f>
        <v>0.473397479136716</v>
      </c>
      <c r="E39" s="31" t="n">
        <f aca="false">$B$4*'2. The tape'!$B$15*'2. The tape'!$D$11*SUMPRODUCT(('4. Survival and stay'!$A$5:$A$244&lt;=A39)*'4. Survival and stay'!$C$5:$C$244*'5. The rent roll'!$D$5:$D$244*(1-EXP(-(A39-'4. Survival and stay'!$A$5:$A$244)/'3. Assumptions'!$B$46)))</f>
        <v>528442.951188454</v>
      </c>
      <c r="F39" s="49" t="n">
        <f aca="false">IF(C39&gt;0.000000001,E39/(C39*'2. The tape'!$B$15),'2. The tape'!$D$11)</f>
        <v>32.2065058559936</v>
      </c>
      <c r="G39" s="31" t="n">
        <f aca="false">E39*(1+'3. Assumptions'!$B$19+'3. Assumptions'!$B$20+'3. Assumptions'!$B$22)</f>
        <v>584457.90401443</v>
      </c>
      <c r="H39" s="31" t="n">
        <f aca="false">G39-'6. Income and costs'!$B$39-'3. Assumptions'!$B$31*B39*12-E39*('3. Assumptions'!$B$20*(1-'3. Assumptions'!$B$21)+'3. Assumptions'!$B$33)-G39*('3. Assumptions'!$B$26+'3. Assumptions'!$B$32)</f>
        <v>55633.7225055133</v>
      </c>
      <c r="I39" s="34" t="str">
        <f aca="false">IF(H39&gt;0,"Yes","No")</f>
        <v>Yes</v>
      </c>
      <c r="J39" s="34" t="n">
        <f aca="false">IF(H39&gt;0,A39,"")</f>
        <v>27</v>
      </c>
      <c r="K39" s="34" t="str">
        <f aca="false">IF(D39&gt;=0.95*'3. Assumptions'!$B$17,A39,"")</f>
        <v/>
      </c>
    </row>
    <row r="40" customFormat="false" ht="15" hidden="false" customHeight="false" outlineLevel="0" collapsed="false">
      <c r="A40" s="34" t="n">
        <v>28</v>
      </c>
      <c r="B40" s="48" t="n">
        <f aca="false">$B$4*(1-EXP(-A40/'3. Assumptions'!$B$46))</f>
        <v>29.4197011144554</v>
      </c>
      <c r="C40" s="48" t="n">
        <f aca="false">$B$4*SUMPRODUCT(('4. Survival and stay'!$A$5:$A$244&lt;=A40)*'4. Survival and stay'!$C$5:$C$244*(1-EXP(-(A40-'4. Survival and stay'!$A$5:$A$244)/'3. Assumptions'!$B$46)))</f>
        <v>288.378932963428</v>
      </c>
      <c r="D40" s="39" t="n">
        <f aca="false">C40/'2. The tape'!$B$11</f>
        <v>0.488777852480386</v>
      </c>
      <c r="E40" s="31" t="n">
        <f aca="false">$B$4*'2. The tape'!$B$15*'2. The tape'!$D$11*SUMPRODUCT(('4. Survival and stay'!$A$5:$A$244&lt;=A40)*'4. Survival and stay'!$C$5:$C$244*'5. The rent roll'!$D$5:$D$244*(1-EXP(-(A40-'4. Survival and stay'!$A$5:$A$244)/'3. Assumptions'!$B$46)))</f>
        <v>548288.439335973</v>
      </c>
      <c r="F40" s="49" t="n">
        <f aca="false">IF(C40&gt;0.000000001,E40/(C40*'2. The tape'!$B$15),'2. The tape'!$D$11)</f>
        <v>32.3645081682803</v>
      </c>
      <c r="G40" s="31" t="n">
        <f aca="false">E40*(1+'3. Assumptions'!$B$19+'3. Assumptions'!$B$20+'3. Assumptions'!$B$22)</f>
        <v>606407.013905586</v>
      </c>
      <c r="H40" s="31" t="n">
        <f aca="false">G40-'6. Income and costs'!$B$39-'3. Assumptions'!$B$31*B40*12-E40*('3. Assumptions'!$B$20*(1-'3. Assumptions'!$B$21)+'3. Assumptions'!$B$33)-G40*('3. Assumptions'!$B$26+'3. Assumptions'!$B$32)</f>
        <v>74930.4569808192</v>
      </c>
      <c r="I40" s="34" t="str">
        <f aca="false">IF(H40&gt;0,"Yes","No")</f>
        <v>Yes</v>
      </c>
      <c r="J40" s="34" t="n">
        <f aca="false">IF(H40&gt;0,A40,"")</f>
        <v>28</v>
      </c>
      <c r="K40" s="34" t="str">
        <f aca="false">IF(D40&gt;=0.95*'3. Assumptions'!$B$17,A40,"")</f>
        <v/>
      </c>
    </row>
    <row r="41" customFormat="false" ht="15" hidden="false" customHeight="false" outlineLevel="0" collapsed="false">
      <c r="A41" s="34" t="n">
        <v>29</v>
      </c>
      <c r="B41" s="48" t="n">
        <f aca="false">$B$4*(1-EXP(-A41/'3. Assumptions'!$B$46))</f>
        <v>29.7371364891594</v>
      </c>
      <c r="C41" s="48" t="n">
        <f aca="false">$B$4*SUMPRODUCT(('4. Survival and stay'!$A$5:$A$244&lt;=A41)*'4. Survival and stay'!$C$5:$C$244*(1-EXP(-(A41-'4. Survival and stay'!$A$5:$A$244)/'3. Assumptions'!$B$46)))</f>
        <v>297.119631550847</v>
      </c>
      <c r="D41" s="39" t="n">
        <f aca="false">C41/'2. The tape'!$B$11</f>
        <v>0.503592595848893</v>
      </c>
      <c r="E41" s="31" t="n">
        <f aca="false">$B$4*'2. The tape'!$B$15*'2. The tape'!$D$11*SUMPRODUCT(('4. Survival and stay'!$A$5:$A$244&lt;=A41)*'4. Survival and stay'!$C$5:$C$244*'5. The rent roll'!$D$5:$D$244*(1-EXP(-(A41-'4. Survival and stay'!$A$5:$A$244)/'3. Assumptions'!$B$46)))</f>
        <v>567533.042881959</v>
      </c>
      <c r="F41" s="49" t="n">
        <f aca="false">IF(C41&gt;0.000000001,E41/(C41*'2. The tape'!$B$15),'2. The tape'!$D$11)</f>
        <v>32.5149625023987</v>
      </c>
      <c r="G41" s="31" t="n">
        <f aca="false">E41*(1+'3. Assumptions'!$B$19+'3. Assumptions'!$B$20+'3. Assumptions'!$B$22)</f>
        <v>627691.545427447</v>
      </c>
      <c r="H41" s="31" t="n">
        <f aca="false">G41-'6. Income and costs'!$B$39-'3. Assumptions'!$B$31*B41*12-E41*('3. Assumptions'!$B$20*(1-'3. Assumptions'!$B$21)+'3. Assumptions'!$B$33)-G41*('3. Assumptions'!$B$26+'3. Assumptions'!$B$32)</f>
        <v>93662.8881596618</v>
      </c>
      <c r="I41" s="34" t="str">
        <f aca="false">IF(H41&gt;0,"Yes","No")</f>
        <v>Yes</v>
      </c>
      <c r="J41" s="34" t="n">
        <f aca="false">IF(H41&gt;0,A41,"")</f>
        <v>29</v>
      </c>
      <c r="K41" s="34" t="str">
        <f aca="false">IF(D41&gt;=0.95*'3. Assumptions'!$B$17,A41,"")</f>
        <v/>
      </c>
    </row>
    <row r="42" customFormat="false" ht="15" hidden="false" customHeight="false" outlineLevel="0" collapsed="false">
      <c r="A42" s="34" t="n">
        <v>30</v>
      </c>
      <c r="B42" s="48" t="n">
        <f aca="false">$B$4*(1-EXP(-A42/'3. Assumptions'!$B$46))</f>
        <v>30.0326887515077</v>
      </c>
      <c r="C42" s="48" t="n">
        <f aca="false">$B$4*SUMPRODUCT(('4. Survival and stay'!$A$5:$A$244&lt;=A42)*'4. Survival and stay'!$C$5:$C$244*(1-EXP(-(A42-'4. Survival and stay'!$A$5:$A$244)/'3. Assumptions'!$B$46)))</f>
        <v>305.53020669726</v>
      </c>
      <c r="D42" s="39" t="n">
        <f aca="false">C42/'2. The tape'!$B$11</f>
        <v>0.517847807961458</v>
      </c>
      <c r="E42" s="31" t="n">
        <f aca="false">$B$4*'2. The tape'!$B$15*'2. The tape'!$D$11*SUMPRODUCT(('4. Survival and stay'!$A$5:$A$244&lt;=A42)*'4. Survival and stay'!$C$5:$C$244*'5. The rent roll'!$D$5:$D$244*(1-EXP(-(A42-'4. Survival and stay'!$A$5:$A$244)/'3. Assumptions'!$B$46)))</f>
        <v>586225.893281213</v>
      </c>
      <c r="F42" s="49" t="n">
        <f aca="false">IF(C42&gt;0.000000001,E42/(C42*'2. The tape'!$B$15),'2. The tape'!$D$11)</f>
        <v>32.6613624010983</v>
      </c>
      <c r="G42" s="31" t="n">
        <f aca="false">E42*(1+'3. Assumptions'!$B$19+'3. Assumptions'!$B$20+'3. Assumptions'!$B$22)</f>
        <v>648365.837969022</v>
      </c>
      <c r="H42" s="31" t="n">
        <f aca="false">G42-'6. Income and costs'!$B$39-'3. Assumptions'!$B$31*B42*12-E42*('3. Assumptions'!$B$20*(1-'3. Assumptions'!$B$21)+'3. Assumptions'!$B$33)-G42*('3. Assumptions'!$B$26+'3. Assumptions'!$B$32)</f>
        <v>111877.61314221</v>
      </c>
      <c r="I42" s="34" t="str">
        <f aca="false">IF(H42&gt;0,"Yes","No")</f>
        <v>Yes</v>
      </c>
      <c r="J42" s="34" t="n">
        <f aca="false">IF(H42&gt;0,A42,"")</f>
        <v>30</v>
      </c>
      <c r="K42" s="34" t="str">
        <f aca="false">IF(D42&gt;=0.95*'3. Assumptions'!$B$17,A42,"")</f>
        <v/>
      </c>
    </row>
    <row r="43" customFormat="false" ht="15" hidden="false" customHeight="false" outlineLevel="0" collapsed="false">
      <c r="A43" s="34" t="n">
        <v>31</v>
      </c>
      <c r="B43" s="48" t="n">
        <f aca="false">$B$4*(1-EXP(-A43/'3. Assumptions'!$B$46))</f>
        <v>30.3078664624376</v>
      </c>
      <c r="C43" s="48" t="n">
        <f aca="false">$B$4*SUMPRODUCT(('4. Survival and stay'!$A$5:$A$244&lt;=A43)*'4. Survival and stay'!$C$5:$C$244*(1-EXP(-(A43-'4. Survival and stay'!$A$5:$A$244)/'3. Assumptions'!$B$46)))</f>
        <v>313.607126118821</v>
      </c>
      <c r="D43" s="39" t="n">
        <f aca="false">C43/'2. The tape'!$B$11</f>
        <v>0.531537501896306</v>
      </c>
      <c r="E43" s="31" t="n">
        <f aca="false">$B$4*'2. The tape'!$B$15*'2. The tape'!$D$11*SUMPRODUCT(('4. Survival and stay'!$A$5:$A$244&lt;=A43)*'4. Survival and stay'!$C$5:$C$244*'5. The rent roll'!$D$5:$D$244*(1-EXP(-(A43-'4. Survival and stay'!$A$5:$A$244)/'3. Assumptions'!$B$46)))</f>
        <v>604330.247436363</v>
      </c>
      <c r="F43" s="49" t="n">
        <f aca="false">IF(C43&gt;0.000000001,E43/(C43*'2. The tape'!$B$15),'2. The tape'!$D$11)</f>
        <v>32.8028714771019</v>
      </c>
      <c r="G43" s="31" t="n">
        <f aca="false">E43*(1+'3. Assumptions'!$B$19+'3. Assumptions'!$B$20+'3. Assumptions'!$B$22)</f>
        <v>668389.253664618</v>
      </c>
      <c r="H43" s="31" t="n">
        <f aca="false">G43-'6. Income and costs'!$B$39-'3. Assumptions'!$B$31*B43*12-E43*('3. Assumptions'!$B$20*(1-'3. Assumptions'!$B$21)+'3. Assumptions'!$B$33)-G43*('3. Assumptions'!$B$26+'3. Assumptions'!$B$32)</f>
        <v>129535.663395097</v>
      </c>
      <c r="I43" s="34" t="str">
        <f aca="false">IF(H43&gt;0,"Yes","No")</f>
        <v>Yes</v>
      </c>
      <c r="J43" s="34" t="n">
        <f aca="false">IF(H43&gt;0,A43,"")</f>
        <v>31</v>
      </c>
      <c r="K43" s="34" t="str">
        <f aca="false">IF(D43&gt;=0.95*'3. Assumptions'!$B$17,A43,"")</f>
        <v/>
      </c>
    </row>
    <row r="44" customFormat="false" ht="15" hidden="false" customHeight="false" outlineLevel="0" collapsed="false">
      <c r="A44" s="34" t="n">
        <v>32</v>
      </c>
      <c r="B44" s="48" t="n">
        <f aca="false">$B$4*(1-EXP(-A44/'3. Assumptions'!$B$46))</f>
        <v>30.5640741868885</v>
      </c>
      <c r="C44" s="48" t="n">
        <f aca="false">$B$4*SUMPRODUCT(('4. Survival and stay'!$A$5:$A$244&lt;=A44)*'4. Survival and stay'!$C$5:$C$244*(1-EXP(-(A44-'4. Survival and stay'!$A$5:$A$244)/'3. Assumptions'!$B$46)))</f>
        <v>321.357022408271</v>
      </c>
      <c r="D44" s="39" t="n">
        <f aca="false">C44/'2. The tape'!$B$11</f>
        <v>0.544672919336053</v>
      </c>
      <c r="E44" s="31" t="n">
        <f aca="false">$B$4*'2. The tape'!$B$15*'2. The tape'!$D$11*SUMPRODUCT(('4. Survival and stay'!$A$5:$A$244&lt;=A44)*'4. Survival and stay'!$C$5:$C$244*'5. The rent roll'!$D$5:$D$244*(1-EXP(-(A44-'4. Survival and stay'!$A$5:$A$244)/'3. Assumptions'!$B$46)))</f>
        <v>621840.115538661</v>
      </c>
      <c r="F44" s="49" t="n">
        <f aca="false">IF(C44&gt;0.000000001,E44/(C44*'2. The tape'!$B$15),'2. The tape'!$D$11)</f>
        <v>32.9393021462608</v>
      </c>
      <c r="G44" s="31" t="n">
        <f aca="false">E44*(1+'3. Assumptions'!$B$19+'3. Assumptions'!$B$20+'3. Assumptions'!$B$22)</f>
        <v>687755.167785759</v>
      </c>
      <c r="H44" s="31" t="n">
        <f aca="false">G44-'6. Income and costs'!$B$39-'3. Assumptions'!$B$31*B44*12-E44*('3. Assumptions'!$B$20*(1-'3. Assumptions'!$B$21)+'3. Assumptions'!$B$33)-G44*('3. Assumptions'!$B$26+'3. Assumptions'!$B$32)</f>
        <v>146628.931174483</v>
      </c>
      <c r="I44" s="34" t="str">
        <f aca="false">IF(H44&gt;0,"Yes","No")</f>
        <v>Yes</v>
      </c>
      <c r="J44" s="34" t="n">
        <f aca="false">IF(H44&gt;0,A44,"")</f>
        <v>32</v>
      </c>
      <c r="K44" s="34" t="str">
        <f aca="false">IF(D44&gt;=0.95*'3. Assumptions'!$B$17,A44,"")</f>
        <v/>
      </c>
    </row>
    <row r="45" customFormat="false" ht="15" hidden="false" customHeight="false" outlineLevel="0" collapsed="false">
      <c r="A45" s="34" t="n">
        <v>33</v>
      </c>
      <c r="B45" s="48" t="n">
        <f aca="false">$B$4*(1-EXP(-A45/'3. Assumptions'!$B$46))</f>
        <v>30.8026196629974</v>
      </c>
      <c r="C45" s="48" t="n">
        <f aca="false">$B$4*SUMPRODUCT(('4. Survival and stay'!$A$5:$A$244&lt;=A45)*'4. Survival and stay'!$C$5:$C$244*(1-EXP(-(A45-'4. Survival and stay'!$A$5:$A$244)/'3. Assumptions'!$B$46)))</f>
        <v>328.78715944476</v>
      </c>
      <c r="D45" s="39" t="n">
        <f aca="false">C45/'2. The tape'!$B$11</f>
        <v>0.557266371940272</v>
      </c>
      <c r="E45" s="31" t="n">
        <f aca="false">$B$4*'2. The tape'!$B$15*'2. The tape'!$D$11*SUMPRODUCT(('4. Survival and stay'!$A$5:$A$244&lt;=A45)*'4. Survival and stay'!$C$5:$C$244*'5. The rent roll'!$D$5:$D$244*(1-EXP(-(A45-'4. Survival and stay'!$A$5:$A$244)/'3. Assumptions'!$B$46)))</f>
        <v>638753.016880537</v>
      </c>
      <c r="F45" s="49" t="n">
        <f aca="false">IF(C45&gt;0.000000001,E45/(C45*'2. The tape'!$B$15),'2. The tape'!$D$11)</f>
        <v>33.0705615528837</v>
      </c>
      <c r="G45" s="31" t="n">
        <f aca="false">E45*(1+'3. Assumptions'!$B$19+'3. Assumptions'!$B$20+'3. Assumptions'!$B$22)</f>
        <v>706460.836669874</v>
      </c>
      <c r="H45" s="31" t="n">
        <f aca="false">G45-'6. Income and costs'!$B$39-'3. Assumptions'!$B$31*B45*12-E45*('3. Assumptions'!$B$20*(1-'3. Assumptions'!$B$21)+'3. Assumptions'!$B$33)-G45*('3. Assumptions'!$B$26+'3. Assumptions'!$B$32)</f>
        <v>163152.958804783</v>
      </c>
      <c r="I45" s="34" t="str">
        <f aca="false">IF(H45&gt;0,"Yes","No")</f>
        <v>Yes</v>
      </c>
      <c r="J45" s="34" t="n">
        <f aca="false">IF(H45&gt;0,A45,"")</f>
        <v>33</v>
      </c>
      <c r="K45" s="34" t="str">
        <f aca="false">IF(D45&gt;=0.95*'3. Assumptions'!$B$17,A45,"")</f>
        <v/>
      </c>
    </row>
    <row r="46" customFormat="false" ht="15" hidden="false" customHeight="false" outlineLevel="0" collapsed="false">
      <c r="A46" s="34" t="n">
        <v>34</v>
      </c>
      <c r="B46" s="48" t="n">
        <f aca="false">$B$4*(1-EXP(-A46/'3. Assumptions'!$B$46))</f>
        <v>31.0247204770692</v>
      </c>
      <c r="C46" s="48" t="n">
        <f aca="false">$B$4*SUMPRODUCT(('4. Survival and stay'!$A$5:$A$244&lt;=A46)*'4. Survival and stay'!$C$5:$C$244*(1-EXP(-(A46-'4. Survival and stay'!$A$5:$A$244)/'3. Assumptions'!$B$46)))</f>
        <v>335.905316488207</v>
      </c>
      <c r="D46" s="39" t="n">
        <f aca="false">C46/'2. The tape'!$B$11</f>
        <v>0.569331044895266</v>
      </c>
      <c r="E46" s="31" t="n">
        <f aca="false">$B$4*'2. The tape'!$B$15*'2. The tape'!$D$11*SUMPRODUCT(('4. Survival and stay'!$A$5:$A$244&lt;=A46)*'4. Survival and stay'!$C$5:$C$244*'5. The rent roll'!$D$5:$D$244*(1-EXP(-(A46-'4. Survival and stay'!$A$5:$A$244)/'3. Assumptions'!$B$46)))</f>
        <v>655069.532051924</v>
      </c>
      <c r="F46" s="49" t="n">
        <f aca="false">IF(C46&gt;0.000000001,E46/(C46*'2. The tape'!$B$15),'2. The tape'!$D$11)</f>
        <v>33.196628326441</v>
      </c>
      <c r="G46" s="31" t="n">
        <f aca="false">E46*(1+'3. Assumptions'!$B$19+'3. Assumptions'!$B$20+'3. Assumptions'!$B$22)</f>
        <v>724506.902449428</v>
      </c>
      <c r="H46" s="31" t="n">
        <f aca="false">G46-'6. Income and costs'!$B$39-'3. Assumptions'!$B$31*B46*12-E46*('3. Assumptions'!$B$20*(1-'3. Assumptions'!$B$21)+'3. Assumptions'!$B$33)-G46*('3. Assumptions'!$B$26+'3. Assumptions'!$B$32)</f>
        <v>179106.481492099</v>
      </c>
      <c r="I46" s="34" t="str">
        <f aca="false">IF(H46&gt;0,"Yes","No")</f>
        <v>Yes</v>
      </c>
      <c r="J46" s="34" t="n">
        <f aca="false">IF(H46&gt;0,A46,"")</f>
        <v>34</v>
      </c>
      <c r="K46" s="34" t="str">
        <f aca="false">IF(D46&gt;=0.95*'3. Assumptions'!$B$17,A46,"")</f>
        <v/>
      </c>
    </row>
    <row r="47" customFormat="false" ht="15" hidden="false" customHeight="false" outlineLevel="0" collapsed="false">
      <c r="A47" s="34" t="n">
        <v>35</v>
      </c>
      <c r="B47" s="48" t="n">
        <f aca="false">$B$4*(1-EXP(-A47/'3. Assumptions'!$B$46))</f>
        <v>31.2315102783934</v>
      </c>
      <c r="C47" s="48" t="n">
        <f aca="false">$B$4*SUMPRODUCT(('4. Survival and stay'!$A$5:$A$244&lt;=A47)*'4. Survival and stay'!$C$5:$C$244*(1-EXP(-(A47-'4. Survival and stay'!$A$5:$A$244)/'3. Assumptions'!$B$46)))</f>
        <v>342.719685077574</v>
      </c>
      <c r="D47" s="39" t="n">
        <f aca="false">C47/'2. The tape'!$B$11</f>
        <v>0.58088082216538</v>
      </c>
      <c r="E47" s="31" t="n">
        <f aca="false">$B$4*'2. The tape'!$B$15*'2. The tape'!$D$11*SUMPRODUCT(('4. Survival and stay'!$A$5:$A$244&lt;=A47)*'4. Survival and stay'!$C$5:$C$244*'5. The rent roll'!$D$5:$D$244*(1-EXP(-(A47-'4. Survival and stay'!$A$5:$A$244)/'3. Assumptions'!$B$46)))</f>
        <v>670792.899698999</v>
      </c>
      <c r="F47" s="49" t="n">
        <f aca="false">IF(C47&gt;0.000000001,E47/(C47*'2. The tape'!$B$15),'2. The tape'!$D$11)</f>
        <v>33.3175348114865</v>
      </c>
      <c r="G47" s="31" t="n">
        <f aca="false">E47*(1+'3. Assumptions'!$B$19+'3. Assumptions'!$B$20+'3. Assumptions'!$B$22)</f>
        <v>741896.947067093</v>
      </c>
      <c r="H47" s="31" t="n">
        <f aca="false">G47-'6. Income and costs'!$B$39-'3. Assumptions'!$B$31*B47*12-E47*('3. Assumptions'!$B$20*(1-'3. Assumptions'!$B$21)+'3. Assumptions'!$B$33)-G47*('3. Assumptions'!$B$26+'3. Assumptions'!$B$32)</f>
        <v>194491.015324634</v>
      </c>
      <c r="I47" s="34" t="str">
        <f aca="false">IF(H47&gt;0,"Yes","No")</f>
        <v>Yes</v>
      </c>
      <c r="J47" s="34" t="n">
        <f aca="false">IF(H47&gt;0,A47,"")</f>
        <v>35</v>
      </c>
      <c r="K47" s="34" t="str">
        <f aca="false">IF(D47&gt;=0.95*'3. Assumptions'!$B$17,A47,"")</f>
        <v/>
      </c>
    </row>
    <row r="48" customFormat="false" ht="15" hidden="false" customHeight="false" outlineLevel="0" collapsed="false">
      <c r="A48" s="34" t="n">
        <v>36</v>
      </c>
      <c r="B48" s="48" t="n">
        <f aca="false">$B$4*(1-EXP(-A48/'3. Assumptions'!$B$46))</f>
        <v>31.4240445656287</v>
      </c>
      <c r="C48" s="48" t="n">
        <f aca="false">$B$4*SUMPRODUCT(('4. Survival and stay'!$A$5:$A$244&lt;=A48)*'4. Survival and stay'!$C$5:$C$244*(1-EXP(-(A48-'4. Survival and stay'!$A$5:$A$244)/'3. Assumptions'!$B$46)))</f>
        <v>349.238777530287</v>
      </c>
      <c r="D48" s="39" t="n">
        <f aca="false">C48/'2. The tape'!$B$11</f>
        <v>0.591930131407266</v>
      </c>
      <c r="E48" s="31" t="n">
        <f aca="false">$B$4*'2. The tape'!$B$15*'2. The tape'!$D$11*SUMPRODUCT(('4. Survival and stay'!$A$5:$A$244&lt;=A48)*'4. Survival and stay'!$C$5:$C$244*'5. The rent roll'!$D$5:$D$244*(1-EXP(-(A48-'4. Survival and stay'!$A$5:$A$244)/'3. Assumptions'!$B$46)))</f>
        <v>685969.351428461</v>
      </c>
      <c r="F48" s="49" t="n">
        <f aca="false">IF(C48&gt;0.000000001,E48/(C48*'2. The tape'!$B$15),'2. The tape'!$D$11)</f>
        <v>33.4353370950792</v>
      </c>
      <c r="G48" s="31" t="n">
        <f aca="false">E48*(1+'3. Assumptions'!$B$19+'3. Assumptions'!$B$20+'3. Assumptions'!$B$22)</f>
        <v>758682.102679877</v>
      </c>
      <c r="H48" s="31" t="n">
        <f aca="false">G48-'6. Income and costs'!$B$39-'3. Assumptions'!$B$31*B48*12-E48*('3. Assumptions'!$B$20*(1-'3. Assumptions'!$B$21)+'3. Assumptions'!$B$33)-G48*('3. Assumptions'!$B$26+'3. Assumptions'!$B$32)</f>
        <v>209351.117786673</v>
      </c>
      <c r="I48" s="34" t="str">
        <f aca="false">IF(H48&gt;0,"Yes","No")</f>
        <v>Yes</v>
      </c>
      <c r="J48" s="34" t="n">
        <f aca="false">IF(H48&gt;0,A48,"")</f>
        <v>36</v>
      </c>
      <c r="K48" s="34" t="str">
        <f aca="false">IF(D48&gt;=0.95*'3. Assumptions'!$B$17,A48,"")</f>
        <v/>
      </c>
    </row>
    <row r="49" customFormat="false" ht="15" hidden="false" customHeight="false" outlineLevel="0" collapsed="false">
      <c r="A49" s="34" t="n">
        <v>37</v>
      </c>
      <c r="B49" s="48" t="n">
        <f aca="false">$B$4*(1-EXP(-A49/'3. Assumptions'!$B$46))</f>
        <v>31.6033060742904</v>
      </c>
      <c r="C49" s="48" t="n">
        <f aca="false">$B$4*SUMPRODUCT(('4. Survival and stay'!$A$5:$A$244&lt;=A49)*'4. Survival and stay'!$C$5:$C$244*(1-EXP(-(A49-'4. Survival and stay'!$A$5:$A$244)/'3. Assumptions'!$B$46)))</f>
        <v>355.466111319451</v>
      </c>
      <c r="D49" s="39" t="n">
        <f aca="false">C49/'2. The tape'!$B$11</f>
        <v>0.602484934439747</v>
      </c>
      <c r="E49" s="31" t="n">
        <f aca="false">$B$4*'2. The tape'!$B$15*'2. The tape'!$D$11*SUMPRODUCT(('4. Survival and stay'!$A$5:$A$244&lt;=A49)*'4. Survival and stay'!$C$5:$C$244*'5. The rent roll'!$D$5:$D$244*(1-EXP(-(A49-'4. Survival and stay'!$A$5:$A$244)/'3. Assumptions'!$B$46)))</f>
        <v>700584.768701933</v>
      </c>
      <c r="F49" s="49" t="n">
        <f aca="false">IF(C49&gt;0.000000001,E49/(C49*'2. The tape'!$B$15),'2. The tape'!$D$11)</f>
        <v>33.5494914351223</v>
      </c>
      <c r="G49" s="31" t="n">
        <f aca="false">E49*(1+'3. Assumptions'!$B$19+'3. Assumptions'!$B$20+'3. Assumptions'!$B$22)</f>
        <v>774846.754184338</v>
      </c>
      <c r="H49" s="31" t="n">
        <f aca="false">G49-'6. Income and costs'!$B$39-'3. Assumptions'!$B$31*B49*12-E49*('3. Assumptions'!$B$20*(1-'3. Assumptions'!$B$21)+'3. Assumptions'!$B$33)-G49*('3. Assumptions'!$B$26+'3. Assumptions'!$B$32)</f>
        <v>223671.204631083</v>
      </c>
      <c r="I49" s="34" t="str">
        <f aca="false">IF(H49&gt;0,"Yes","No")</f>
        <v>Yes</v>
      </c>
      <c r="J49" s="34" t="n">
        <f aca="false">IF(H49&gt;0,A49,"")</f>
        <v>37</v>
      </c>
      <c r="K49" s="34" t="str">
        <f aca="false">IF(D49&gt;=0.95*'3. Assumptions'!$B$17,A49,"")</f>
        <v/>
      </c>
    </row>
    <row r="50" customFormat="false" ht="15" hidden="false" customHeight="false" outlineLevel="0" collapsed="false">
      <c r="A50" s="34" t="n">
        <v>38</v>
      </c>
      <c r="B50" s="48" t="n">
        <f aca="false">$B$4*(1-EXP(-A50/'3. Assumptions'!$B$46))</f>
        <v>31.7702097928389</v>
      </c>
      <c r="C50" s="48" t="n">
        <f aca="false">$B$4*SUMPRODUCT(('4. Survival and stay'!$A$5:$A$244&lt;=A50)*'4. Survival and stay'!$C$5:$C$244*(1-EXP(-(A50-'4. Survival and stay'!$A$5:$A$244)/'3. Assumptions'!$B$46)))</f>
        <v>361.41131578797</v>
      </c>
      <c r="D50" s="39" t="n">
        <f aca="false">C50/'2. The tape'!$B$11</f>
        <v>0.612561552183</v>
      </c>
      <c r="E50" s="31" t="n">
        <f aca="false">$B$4*'2. The tape'!$B$15*'2. The tape'!$D$11*SUMPRODUCT(('4. Survival and stay'!$A$5:$A$244&lt;=A50)*'4. Survival and stay'!$C$5:$C$244*'5. The rent roll'!$D$5:$D$244*(1-EXP(-(A50-'4. Survival and stay'!$A$5:$A$244)/'3. Assumptions'!$B$46)))</f>
        <v>714645.56267728</v>
      </c>
      <c r="F50" s="49" t="n">
        <f aca="false">IF(C50&gt;0.000000001,E50/(C50*'2. The tape'!$B$15),'2. The tape'!$D$11)</f>
        <v>33.6598680009843</v>
      </c>
      <c r="G50" s="31" t="n">
        <f aca="false">E50*(1+'3. Assumptions'!$B$19+'3. Assumptions'!$B$20+'3. Assumptions'!$B$22)</f>
        <v>790397.992321071</v>
      </c>
      <c r="H50" s="31" t="n">
        <f aca="false">G50-'6. Income and costs'!$B$39-'3. Assumptions'!$B$31*B50*12-E50*('3. Assumptions'!$B$20*(1-'3. Assumptions'!$B$21)+'3. Assumptions'!$B$33)-G50*('3. Assumptions'!$B$26+'3. Assumptions'!$B$32)</f>
        <v>237456.290530588</v>
      </c>
      <c r="I50" s="34" t="str">
        <f aca="false">IF(H50&gt;0,"Yes","No")</f>
        <v>Yes</v>
      </c>
      <c r="J50" s="34" t="n">
        <f aca="false">IF(H50&gt;0,A50,"")</f>
        <v>38</v>
      </c>
      <c r="K50" s="34" t="str">
        <f aca="false">IF(D50&gt;=0.95*'3. Assumptions'!$B$17,A50,"")</f>
        <v/>
      </c>
    </row>
    <row r="51" customFormat="false" ht="15" hidden="false" customHeight="false" outlineLevel="0" collapsed="false">
      <c r="A51" s="34" t="n">
        <v>39</v>
      </c>
      <c r="B51" s="48" t="n">
        <f aca="false">$B$4*(1-EXP(-A51/'3. Assumptions'!$B$46))</f>
        <v>31.9256076329736</v>
      </c>
      <c r="C51" s="48" t="n">
        <f aca="false">$B$4*SUMPRODUCT(('4. Survival and stay'!$A$5:$A$244&lt;=A51)*'4. Survival and stay'!$C$5:$C$244*(1-EXP(-(A51-'4. Survival and stay'!$A$5:$A$244)/'3. Assumptions'!$B$46)))</f>
        <v>367.084053623892</v>
      </c>
      <c r="D51" s="39" t="n">
        <f aca="false">C51/'2. The tape'!$B$11</f>
        <v>0.622176362074393</v>
      </c>
      <c r="E51" s="31" t="n">
        <f aca="false">$B$4*'2. The tape'!$B$15*'2. The tape'!$D$11*SUMPRODUCT(('4. Survival and stay'!$A$5:$A$244&lt;=A51)*'4. Survival and stay'!$C$5:$C$244*'5. The rent roll'!$D$5:$D$244*(1-EXP(-(A51-'4. Survival and stay'!$A$5:$A$244)/'3. Assumptions'!$B$46)))</f>
        <v>728159.84816733</v>
      </c>
      <c r="F51" s="49" t="n">
        <f aca="false">IF(C51&gt;0.000000001,E51/(C51*'2. The tape'!$B$15),'2. The tape'!$D$11)</f>
        <v>33.7663923135867</v>
      </c>
      <c r="G51" s="31" t="n">
        <f aca="false">E51*(1+'3. Assumptions'!$B$19+'3. Assumptions'!$B$20+'3. Assumptions'!$B$22)</f>
        <v>805344.792073067</v>
      </c>
      <c r="H51" s="31" t="n">
        <f aca="false">G51-'6. Income and costs'!$B$39-'3. Assumptions'!$B$31*B51*12-E51*('3. Assumptions'!$B$20*(1-'3. Assumptions'!$B$21)+'3. Assumptions'!$B$33)-G51*('3. Assumptions'!$B$26+'3. Assumptions'!$B$32)</f>
        <v>250713.186591757</v>
      </c>
      <c r="I51" s="34" t="str">
        <f aca="false">IF(H51&gt;0,"Yes","No")</f>
        <v>Yes</v>
      </c>
      <c r="J51" s="34" t="n">
        <f aca="false">IF(H51&gt;0,A51,"")</f>
        <v>39</v>
      </c>
      <c r="K51" s="34" t="str">
        <f aca="false">IF(D51&gt;=0.95*'3. Assumptions'!$B$17,A51,"")</f>
        <v/>
      </c>
    </row>
    <row r="52" customFormat="false" ht="15" hidden="false" customHeight="false" outlineLevel="0" collapsed="false">
      <c r="A52" s="34" t="n">
        <v>40</v>
      </c>
      <c r="B52" s="48" t="n">
        <f aca="false">$B$4*(1-EXP(-A52/'3. Assumptions'!$B$46))</f>
        <v>32.0702927779694</v>
      </c>
      <c r="C52" s="48" t="n">
        <f aca="false">$B$4*SUMPRODUCT(('4. Survival and stay'!$A$5:$A$244&lt;=A52)*'4. Survival and stay'!$C$5:$C$244*(1-EXP(-(A52-'4. Survival and stay'!$A$5:$A$244)/'3. Assumptions'!$B$46)))</f>
        <v>372.493972200194</v>
      </c>
      <c r="D52" s="39" t="n">
        <f aca="false">C52/'2. The tape'!$B$11</f>
        <v>0.631345715593549</v>
      </c>
      <c r="E52" s="31" t="n">
        <f aca="false">$B$4*'2. The tape'!$B$15*'2. The tape'!$D$11*SUMPRODUCT(('4. Survival and stay'!$A$5:$A$244&lt;=A52)*'4. Survival and stay'!$C$5:$C$244*'5. The rent roll'!$D$5:$D$244*(1-EXP(-(A52-'4. Survival and stay'!$A$5:$A$244)/'3. Assumptions'!$B$46)))</f>
        <v>741137.183510756</v>
      </c>
      <c r="F52" s="49" t="n">
        <f aca="false">IF(C52&gt;0.000000001,E52/(C52*'2. The tape'!$B$15),'2. The tape'!$D$11)</f>
        <v>33.8690337436974</v>
      </c>
      <c r="G52" s="31" t="n">
        <f aca="false">E52*(1+'3. Assumptions'!$B$19+'3. Assumptions'!$B$20+'3. Assumptions'!$B$22)</f>
        <v>819697.724962896</v>
      </c>
      <c r="H52" s="31" t="n">
        <f aca="false">G52-'6. Income and costs'!$B$39-'3. Assumptions'!$B$31*B52*12-E52*('3. Assumptions'!$B$20*(1-'3. Assumptions'!$B$21)+'3. Assumptions'!$B$33)-G52*('3. Assumptions'!$B$26+'3. Assumptions'!$B$32)</f>
        <v>263450.234062102</v>
      </c>
      <c r="I52" s="34" t="str">
        <f aca="false">IF(H52&gt;0,"Yes","No")</f>
        <v>Yes</v>
      </c>
      <c r="J52" s="34" t="n">
        <f aca="false">IF(H52&gt;0,A52,"")</f>
        <v>40</v>
      </c>
      <c r="K52" s="34" t="str">
        <f aca="false">IF(D52&gt;=0.95*'3. Assumptions'!$B$17,A52,"")</f>
        <v/>
      </c>
    </row>
    <row r="53" customFormat="false" ht="15" hidden="false" customHeight="false" outlineLevel="0" collapsed="false">
      <c r="A53" s="34" t="n">
        <v>41</v>
      </c>
      <c r="B53" s="48" t="n">
        <f aca="false">$B$4*(1-EXP(-A53/'3. Assumptions'!$B$46))</f>
        <v>32.2050037312511</v>
      </c>
      <c r="C53" s="48" t="n">
        <f aca="false">$B$4*SUMPRODUCT(('4. Survival and stay'!$A$5:$A$244&lt;=A53)*'4. Survival and stay'!$C$5:$C$244*(1-EXP(-(A53-'4. Survival and stay'!$A$5:$A$244)/'3. Assumptions'!$B$46)))</f>
        <v>377.65066135211</v>
      </c>
      <c r="D53" s="39" t="n">
        <f aca="false">C53/'2. The tape'!$B$11</f>
        <v>0.640085866698491</v>
      </c>
      <c r="E53" s="31" t="n">
        <f aca="false">$B$4*'2. The tape'!$B$15*'2. The tape'!$D$11*SUMPRODUCT(('4. Survival and stay'!$A$5:$A$244&lt;=A53)*'4. Survival and stay'!$C$5:$C$244*'5. The rent roll'!$D$5:$D$244*(1-EXP(-(A53-'4. Survival and stay'!$A$5:$A$244)/'3. Assumptions'!$B$46)))</f>
        <v>753588.337864</v>
      </c>
      <c r="F53" s="49" t="n">
        <f aca="false">IF(C53&gt;0.000000001,E53/(C53*'2. The tape'!$B$15),'2. The tape'!$D$11)</f>
        <v>33.9677963139472</v>
      </c>
      <c r="G53" s="31" t="n">
        <f aca="false">E53*(1+'3. Assumptions'!$B$19+'3. Assumptions'!$B$20+'3. Assumptions'!$B$22)</f>
        <v>833468.701677584</v>
      </c>
      <c r="H53" s="31" t="n">
        <f aca="false">G53-'6. Income and costs'!$B$39-'3. Assumptions'!$B$31*B53*12-E53*('3. Assumptions'!$B$20*(1-'3. Assumptions'!$B$21)+'3. Assumptions'!$B$33)-G53*('3. Assumptions'!$B$26+'3. Assumptions'!$B$32)</f>
        <v>275677.065867719</v>
      </c>
      <c r="I53" s="34" t="str">
        <f aca="false">IF(H53&gt;0,"Yes","No")</f>
        <v>Yes</v>
      </c>
      <c r="J53" s="34" t="n">
        <f aca="false">IF(H53&gt;0,A53,"")</f>
        <v>41</v>
      </c>
      <c r="K53" s="34" t="str">
        <f aca="false">IF(D53&gt;=0.95*'3. Assumptions'!$B$17,A53,"")</f>
        <v/>
      </c>
    </row>
    <row r="54" customFormat="false" ht="15" hidden="false" customHeight="false" outlineLevel="0" collapsed="false">
      <c r="A54" s="34" t="n">
        <v>42</v>
      </c>
      <c r="B54" s="48" t="n">
        <f aca="false">$B$4*(1-EXP(-A54/'3. Assumptions'!$B$46))</f>
        <v>32.3304280858701</v>
      </c>
      <c r="C54" s="48" t="n">
        <f aca="false">$B$4*SUMPRODUCT(('4. Survival and stay'!$A$5:$A$244&lt;=A54)*'4. Survival and stay'!$C$5:$C$244*(1-EXP(-(A54-'4. Survival and stay'!$A$5:$A$244)/'3. Assumptions'!$B$46)))</f>
        <v>382.563616943189</v>
      </c>
      <c r="D54" s="39" t="n">
        <f aca="false">C54/'2. The tape'!$B$11</f>
        <v>0.648412910073201</v>
      </c>
      <c r="E54" s="31" t="n">
        <f aca="false">$B$4*'2. The tape'!$B$15*'2. The tape'!$D$11*SUMPRODUCT(('4. Survival and stay'!$A$5:$A$244&lt;=A54)*'4. Survival and stay'!$C$5:$C$244*'5. The rent roll'!$D$5:$D$244*(1-EXP(-(A54-'4. Survival and stay'!$A$5:$A$244)/'3. Assumptions'!$B$46)))</f>
        <v>765528.386894235</v>
      </c>
      <c r="F54" s="49" t="n">
        <f aca="false">IF(C54&gt;0.000000001,E54/(C54*'2. The tape'!$B$15),'2. The tape'!$D$11)</f>
        <v>34.0628583111233</v>
      </c>
      <c r="G54" s="31" t="n">
        <f aca="false">E54*(1+'3. Assumptions'!$B$19+'3. Assumptions'!$B$20+'3. Assumptions'!$B$22)</f>
        <v>846674.395905024</v>
      </c>
      <c r="H54" s="31" t="n">
        <f aca="false">G54-'6. Income and costs'!$B$39-'3. Assumptions'!$B$31*B54*12-E54*('3. Assumptions'!$B$20*(1-'3. Assumptions'!$B$21)+'3. Assumptions'!$B$33)-G54*('3. Assumptions'!$B$26+'3. Assumptions'!$B$32)</f>
        <v>287407.691559422</v>
      </c>
      <c r="I54" s="34" t="str">
        <f aca="false">IF(H54&gt;0,"Yes","No")</f>
        <v>Yes</v>
      </c>
      <c r="J54" s="34" t="n">
        <f aca="false">IF(H54&gt;0,A54,"")</f>
        <v>42</v>
      </c>
      <c r="K54" s="34" t="str">
        <f aca="false">IF(D54&gt;=0.95*'3. Assumptions'!$B$17,A54,"")</f>
        <v/>
      </c>
    </row>
    <row r="55" customFormat="false" ht="15" hidden="false" customHeight="false" outlineLevel="0" collapsed="false">
      <c r="A55" s="34" t="n">
        <v>43</v>
      </c>
      <c r="B55" s="48" t="n">
        <f aca="false">$B$4*(1-EXP(-A55/'3. Assumptions'!$B$46))</f>
        <v>32.4472060341242</v>
      </c>
      <c r="C55" s="48" t="n">
        <f aca="false">$B$4*SUMPRODUCT(('4. Survival and stay'!$A$5:$A$244&lt;=A55)*'4. Survival and stay'!$C$5:$C$244*(1-EXP(-(A55-'4. Survival and stay'!$A$5:$A$244)/'3. Assumptions'!$B$46)))</f>
        <v>387.238857001978</v>
      </c>
      <c r="D55" s="39" t="n">
        <f aca="false">C55/'2. The tape'!$B$11</f>
        <v>0.656337045766065</v>
      </c>
      <c r="E55" s="31" t="n">
        <f aca="false">$B$4*'2. The tape'!$B$15*'2. The tape'!$D$11*SUMPRODUCT(('4. Survival and stay'!$A$5:$A$244&lt;=A55)*'4. Survival and stay'!$C$5:$C$244*'5. The rent roll'!$D$5:$D$244*(1-EXP(-(A55-'4. Survival and stay'!$A$5:$A$244)/'3. Assumptions'!$B$46)))</f>
        <v>776959.055866216</v>
      </c>
      <c r="F55" s="49" t="n">
        <f aca="false">IF(C55&gt;0.000000001,E55/(C55*'2. The tape'!$B$15),'2. The tape'!$D$11)</f>
        <v>34.1540851384751</v>
      </c>
      <c r="G55" s="31" t="n">
        <f aca="false">E55*(1+'3. Assumptions'!$B$19+'3. Assumptions'!$B$20+'3. Assumptions'!$B$22)</f>
        <v>859316.715788035</v>
      </c>
      <c r="H55" s="31" t="n">
        <f aca="false">G55-'6. Income and costs'!$B$39-'3. Assumptions'!$B$31*B55*12-E55*('3. Assumptions'!$B$20*(1-'3. Assumptions'!$B$21)+'3. Assumptions'!$B$33)-G55*('3. Assumptions'!$B$26+'3. Assumptions'!$B$32)</f>
        <v>298642.863810912</v>
      </c>
      <c r="I55" s="34" t="str">
        <f aca="false">IF(H55&gt;0,"Yes","No")</f>
        <v>Yes</v>
      </c>
      <c r="J55" s="34" t="n">
        <f aca="false">IF(H55&gt;0,A55,"")</f>
        <v>43</v>
      </c>
      <c r="K55" s="34" t="str">
        <f aca="false">IF(D55&gt;=0.95*'3. Assumptions'!$B$17,A55,"")</f>
        <v/>
      </c>
    </row>
    <row r="56" customFormat="false" ht="15" hidden="false" customHeight="false" outlineLevel="0" collapsed="false">
      <c r="A56" s="34" t="n">
        <v>44</v>
      </c>
      <c r="B56" s="48" t="n">
        <f aca="false">$B$4*(1-EXP(-A56/'3. Assumptions'!$B$46))</f>
        <v>32.5559336352339</v>
      </c>
      <c r="C56" s="48" t="n">
        <f aca="false">$B$4*SUMPRODUCT(('4. Survival and stay'!$A$5:$A$244&lt;=A56)*'4. Survival and stay'!$C$5:$C$244*(1-EXP(-(A56-'4. Survival and stay'!$A$5:$A$244)/'3. Assumptions'!$B$46)))</f>
        <v>391.686054473518</v>
      </c>
      <c r="D56" s="39" t="n">
        <f aca="false">C56/'2. The tape'!$B$11</f>
        <v>0.663874668599183</v>
      </c>
      <c r="E56" s="31" t="n">
        <f aca="false">$B$4*'2. The tape'!$B$15*'2. The tape'!$D$11*SUMPRODUCT(('4. Survival and stay'!$A$5:$A$244&lt;=A56)*'4. Survival and stay'!$C$5:$C$244*'5. The rent roll'!$D$5:$D$244*(1-EXP(-(A56-'4. Survival and stay'!$A$5:$A$244)/'3. Assumptions'!$B$46)))</f>
        <v>787894.59673205</v>
      </c>
      <c r="F56" s="49" t="n">
        <f aca="false">IF(C56&gt;0.000000001,E56/(C56*'2. The tape'!$B$15),'2. The tape'!$D$11)</f>
        <v>34.2415539933224</v>
      </c>
      <c r="G56" s="31" t="n">
        <f aca="false">E56*(1+'3. Assumptions'!$B$19+'3. Assumptions'!$B$20+'3. Assumptions'!$B$22)</f>
        <v>871411.423985647</v>
      </c>
      <c r="H56" s="31" t="n">
        <f aca="false">G56-'6. Income and costs'!$B$39-'3. Assumptions'!$B$31*B56*12-E56*('3. Assumptions'!$B$20*(1-'3. Assumptions'!$B$21)+'3. Assumptions'!$B$33)-G56*('3. Assumptions'!$B$26+'3. Assumptions'!$B$32)</f>
        <v>309395.908456538</v>
      </c>
      <c r="I56" s="34" t="str">
        <f aca="false">IF(H56&gt;0,"Yes","No")</f>
        <v>Yes</v>
      </c>
      <c r="J56" s="34" t="n">
        <f aca="false">IF(H56&gt;0,A56,"")</f>
        <v>44</v>
      </c>
      <c r="K56" s="34" t="str">
        <f aca="false">IF(D56&gt;=0.95*'3. Assumptions'!$B$17,A56,"")</f>
        <v/>
      </c>
    </row>
    <row r="57" customFormat="false" ht="15" hidden="false" customHeight="false" outlineLevel="0" collapsed="false">
      <c r="A57" s="34" t="n">
        <v>45</v>
      </c>
      <c r="B57" s="48" t="n">
        <f aca="false">$B$4*(1-EXP(-A57/'3. Assumptions'!$B$46))</f>
        <v>32.6571658577536</v>
      </c>
      <c r="C57" s="48" t="n">
        <f aca="false">$B$4*SUMPRODUCT(('4. Survival and stay'!$A$5:$A$244&lt;=A57)*'4. Survival and stay'!$C$5:$C$244*(1-EXP(-(A57-'4. Survival and stay'!$A$5:$A$244)/'3. Assumptions'!$B$46)))</f>
        <v>395.914661991351</v>
      </c>
      <c r="D57" s="39" t="n">
        <f aca="false">C57/'2. The tape'!$B$11</f>
        <v>0.671041799985341</v>
      </c>
      <c r="E57" s="31" t="n">
        <f aca="false">$B$4*'2. The tape'!$B$15*'2. The tape'!$D$11*SUMPRODUCT(('4. Survival and stay'!$A$5:$A$244&lt;=A57)*'4. Survival and stay'!$C$5:$C$244*'5. The rent roll'!$D$5:$D$244*(1-EXP(-(A57-'4. Survival and stay'!$A$5:$A$244)/'3. Assumptions'!$B$46)))</f>
        <v>798349.666362876</v>
      </c>
      <c r="F57" s="49" t="n">
        <f aca="false">IF(C57&gt;0.000000001,E57/(C57*'2. The tape'!$B$15),'2. The tape'!$D$11)</f>
        <v>34.3253533030837</v>
      </c>
      <c r="G57" s="31" t="n">
        <f aca="false">E57*(1+'3. Assumptions'!$B$19+'3. Assumptions'!$B$20+'3. Assumptions'!$B$22)</f>
        <v>882974.730997341</v>
      </c>
      <c r="H57" s="31" t="n">
        <f aca="false">G57-'6. Income and costs'!$B$39-'3. Assumptions'!$B$31*B57*12-E57*('3. Assumptions'!$B$20*(1-'3. Assumptions'!$B$21)+'3. Assumptions'!$B$33)-G57*('3. Assumptions'!$B$26+'3. Assumptions'!$B$32)</f>
        <v>319680.617836352</v>
      </c>
      <c r="I57" s="34" t="str">
        <f aca="false">IF(H57&gt;0,"Yes","No")</f>
        <v>Yes</v>
      </c>
      <c r="J57" s="34" t="n">
        <f aca="false">IF(H57&gt;0,A57,"")</f>
        <v>45</v>
      </c>
      <c r="K57" s="34" t="str">
        <f aca="false">IF(D57&gt;=0.95*'3. Assumptions'!$B$17,A57,"")</f>
        <v/>
      </c>
    </row>
    <row r="58" customFormat="false" ht="15" hidden="false" customHeight="false" outlineLevel="0" collapsed="false">
      <c r="A58" s="34" t="n">
        <v>46</v>
      </c>
      <c r="B58" s="48" t="n">
        <f aca="false">$B$4*(1-EXP(-A58/'3. Assumptions'!$B$46))</f>
        <v>32.7514194122484</v>
      </c>
      <c r="C58" s="48" t="n">
        <f aca="false">$B$4*SUMPRODUCT(('4. Survival and stay'!$A$5:$A$244&lt;=A58)*'4. Survival and stay'!$C$5:$C$244*(1-EXP(-(A58-'4. Survival and stay'!$A$5:$A$244)/'3. Assumptions'!$B$46)))</f>
        <v>399.933897371978</v>
      </c>
      <c r="D58" s="39" t="n">
        <f aca="false">C58/'2. The tape'!$B$11</f>
        <v>0.677854063342335</v>
      </c>
      <c r="E58" s="31" t="n">
        <f aca="false">$B$4*'2. The tape'!$B$15*'2. The tape'!$D$11*SUMPRODUCT(('4. Survival and stay'!$A$5:$A$244&lt;=A58)*'4. Survival and stay'!$C$5:$C$244*'5. The rent roll'!$D$5:$D$244*(1-EXP(-(A58-'4. Survival and stay'!$A$5:$A$244)/'3. Assumptions'!$B$46)))</f>
        <v>808339.206372181</v>
      </c>
      <c r="F58" s="49" t="n">
        <f aca="false">IF(C58&gt;0.000000001,E58/(C58*'2. The tape'!$B$15),'2. The tape'!$D$11)</f>
        <v>34.4055798450279</v>
      </c>
      <c r="G58" s="31" t="n">
        <f aca="false">E58*(1+'3. Assumptions'!$B$19+'3. Assumptions'!$B$20+'3. Assumptions'!$B$22)</f>
        <v>894023.162247632</v>
      </c>
      <c r="H58" s="31" t="n">
        <f aca="false">G58-'6. Income and costs'!$B$39-'3. Assumptions'!$B$31*B58*12-E58*('3. Assumptions'!$B$20*(1-'3. Assumptions'!$B$21)+'3. Assumptions'!$B$33)-G58*('3. Assumptions'!$B$26+'3. Assumptions'!$B$32)</f>
        <v>329511.126523918</v>
      </c>
      <c r="I58" s="34" t="str">
        <f aca="false">IF(H58&gt;0,"Yes","No")</f>
        <v>Yes</v>
      </c>
      <c r="J58" s="34" t="n">
        <f aca="false">IF(H58&gt;0,A58,"")</f>
        <v>46</v>
      </c>
      <c r="K58" s="34" t="str">
        <f aca="false">IF(D58&gt;=0.95*'3. Assumptions'!$B$17,A58,"")</f>
        <v/>
      </c>
    </row>
    <row r="59" customFormat="false" ht="15" hidden="false" customHeight="false" outlineLevel="0" collapsed="false">
      <c r="A59" s="34" t="n">
        <v>47</v>
      </c>
      <c r="B59" s="48" t="n">
        <f aca="false">$B$4*(1-EXP(-A59/'3. Assumptions'!$B$46))</f>
        <v>32.8391753886933</v>
      </c>
      <c r="C59" s="48" t="n">
        <f aca="false">$B$4*SUMPRODUCT(('4. Survival and stay'!$A$5:$A$244&lt;=A59)*'4. Survival and stay'!$C$5:$C$244*(1-EXP(-(A59-'4. Survival and stay'!$A$5:$A$244)/'3. Assumptions'!$B$46)))</f>
        <v>403.752732083877</v>
      </c>
      <c r="D59" s="39" t="n">
        <f aca="false">C59/'2. The tape'!$B$11</f>
        <v>0.684326664548944</v>
      </c>
      <c r="E59" s="31" t="n">
        <f aca="false">$B$4*'2. The tape'!$B$15*'2. The tape'!$D$11*SUMPRODUCT(('4. Survival and stay'!$A$5:$A$244&lt;=A59)*'4. Survival and stay'!$C$5:$C$244*'5. The rent roll'!$D$5:$D$244*(1-EXP(-(A59-'4. Survival and stay'!$A$5:$A$244)/'3. Assumptions'!$B$46)))</f>
        <v>817878.337359218</v>
      </c>
      <c r="F59" s="49" t="n">
        <f aca="false">IF(C59&gt;0.000000001,E59/(C59*'2. The tape'!$B$15),'2. The tape'!$D$11)</f>
        <v>34.4823364176824</v>
      </c>
      <c r="G59" s="31" t="n">
        <f aca="false">E59*(1+'3. Assumptions'!$B$19+'3. Assumptions'!$B$20+'3. Assumptions'!$B$22)</f>
        <v>904573.441119295</v>
      </c>
      <c r="H59" s="31" t="n">
        <f aca="false">G59-'6. Income and costs'!$B$39-'3. Assumptions'!$B$31*B59*12-E59*('3. Assumptions'!$B$20*(1-'3. Assumptions'!$B$21)+'3. Assumptions'!$B$33)-G59*('3. Assumptions'!$B$26+'3. Assumptions'!$B$32)</f>
        <v>338901.801746584</v>
      </c>
      <c r="I59" s="34" t="str">
        <f aca="false">IF(H59&gt;0,"Yes","No")</f>
        <v>Yes</v>
      </c>
      <c r="J59" s="34" t="n">
        <f aca="false">IF(H59&gt;0,A59,"")</f>
        <v>47</v>
      </c>
      <c r="K59" s="34" t="str">
        <f aca="false">IF(D59&gt;=0.95*'3. Assumptions'!$B$17,A59,"")</f>
        <v/>
      </c>
    </row>
    <row r="60" customFormat="false" ht="15" hidden="false" customHeight="false" outlineLevel="0" collapsed="false">
      <c r="A60" s="34" t="n">
        <v>48</v>
      </c>
      <c r="B60" s="48" t="n">
        <f aca="false">$B$4*(1-EXP(-A60/'3. Assumptions'!$B$46))</f>
        <v>32.9208817120578</v>
      </c>
      <c r="C60" s="48" t="n">
        <f aca="false">$B$4*SUMPRODUCT(('4. Survival and stay'!$A$5:$A$244&lt;=A60)*'4. Survival and stay'!$C$5:$C$244*(1-EXP(-(A60-'4. Survival and stay'!$A$5:$A$244)/'3. Assumptions'!$B$46)))</f>
        <v>407.379882354729</v>
      </c>
      <c r="D60" s="39" t="n">
        <f aca="false">C60/'2. The tape'!$B$11</f>
        <v>0.690474376872422</v>
      </c>
      <c r="E60" s="31" t="n">
        <f aca="false">$B$4*'2. The tape'!$B$15*'2. The tape'!$D$11*SUMPRODUCT(('4. Survival and stay'!$A$5:$A$244&lt;=A60)*'4. Survival and stay'!$C$5:$C$244*'5. The rent roll'!$D$5:$D$244*(1-EXP(-(A60-'4. Survival and stay'!$A$5:$A$244)/'3. Assumptions'!$B$46)))</f>
        <v>826982.266170461</v>
      </c>
      <c r="F60" s="49" t="n">
        <f aca="false">IF(C60&gt;0.000000001,E60/(C60*'2. The tape'!$B$15),'2. The tape'!$D$11)</f>
        <v>34.5557299577343</v>
      </c>
      <c r="G60" s="31" t="n">
        <f aca="false">E60*(1+'3. Assumptions'!$B$19+'3. Assumptions'!$B$20+'3. Assumptions'!$B$22)</f>
        <v>914642.38638453</v>
      </c>
      <c r="H60" s="31" t="n">
        <f aca="false">G60-'6. Income and costs'!$B$39-'3. Assumptions'!$B$31*B60*12-E60*('3. Assumptions'!$B$20*(1-'3. Assumptions'!$B$21)+'3. Assumptions'!$B$33)-G60*('3. Assumptions'!$B$26+'3. Assumptions'!$B$32)</f>
        <v>347867.147078018</v>
      </c>
      <c r="I60" s="34" t="str">
        <f aca="false">IF(H60&gt;0,"Yes","No")</f>
        <v>Yes</v>
      </c>
      <c r="J60" s="34" t="n">
        <f aca="false">IF(H60&gt;0,A60,"")</f>
        <v>48</v>
      </c>
      <c r="K60" s="34" t="str">
        <f aca="false">IF(D60&gt;=0.95*'3. Assumptions'!$B$17,A60,"")</f>
        <v/>
      </c>
    </row>
    <row r="61" customFormat="false" ht="15" hidden="false" customHeight="false" outlineLevel="0" collapsed="false">
      <c r="A61" s="34" t="n">
        <v>49</v>
      </c>
      <c r="B61" s="48" t="n">
        <f aca="false">$B$4*(1-EXP(-A61/'3. Assumptions'!$B$46))</f>
        <v>32.9969554286089</v>
      </c>
      <c r="C61" s="48" t="n">
        <f aca="false">$B$4*SUMPRODUCT(('4. Survival and stay'!$A$5:$A$244&lt;=A61)*'4. Survival and stay'!$C$5:$C$244*(1-EXP(-(A61-'4. Survival and stay'!$A$5:$A$244)/'3. Assumptions'!$B$46)))</f>
        <v>410.821655350128</v>
      </c>
      <c r="D61" s="39" t="n">
        <f aca="false">C61/'2. The tape'!$B$11</f>
        <v>0.696307890423945</v>
      </c>
      <c r="E61" s="31" t="n">
        <f aca="false">$B$4*'2. The tape'!$B$15*'2. The tape'!$D$11*SUMPRODUCT(('4. Survival and stay'!$A$5:$A$244&lt;=A61)*'4. Survival and stay'!$C$5:$C$244*'5. The rent roll'!$D$5:$D$244*(1-EXP(-(A61-'4. Survival and stay'!$A$5:$A$244)/'3. Assumptions'!$B$46)))</f>
        <v>835659.532930822</v>
      </c>
      <c r="F61" s="49" t="n">
        <f aca="false">IF(C61&gt;0.000000001,E61/(C61*'2. The tape'!$B$15),'2. The tape'!$D$11)</f>
        <v>34.625774543753</v>
      </c>
      <c r="G61" s="31" t="n">
        <f aca="false">E61*(1+'3. Assumptions'!$B$19+'3. Assumptions'!$B$20+'3. Assumptions'!$B$22)</f>
        <v>924239.443421489</v>
      </c>
      <c r="H61" s="31" t="n">
        <f aca="false">G61-'6. Income and costs'!$B$39-'3. Assumptions'!$B$31*B61*12-E61*('3. Assumptions'!$B$20*(1-'3. Assumptions'!$B$21)+'3. Assumptions'!$B$33)-G61*('3. Assumptions'!$B$26+'3. Assumptions'!$B$32)</f>
        <v>356415.056993142</v>
      </c>
      <c r="I61" s="34" t="str">
        <f aca="false">IF(H61&gt;0,"Yes","No")</f>
        <v>Yes</v>
      </c>
      <c r="J61" s="34" t="n">
        <f aca="false">IF(H61&gt;0,A61,"")</f>
        <v>49</v>
      </c>
      <c r="K61" s="34" t="str">
        <f aca="false">IF(D61&gt;=0.95*'3. Assumptions'!$B$17,A61,"")</f>
        <v/>
      </c>
    </row>
    <row r="62" customFormat="false" ht="15" hidden="false" customHeight="false" outlineLevel="0" collapsed="false">
      <c r="A62" s="34" t="n">
        <v>50</v>
      </c>
      <c r="B62" s="48" t="n">
        <f aca="false">$B$4*(1-EXP(-A62/'3. Assumptions'!$B$46))</f>
        <v>33.0677848346034</v>
      </c>
      <c r="C62" s="48" t="n">
        <f aca="false">$B$4*SUMPRODUCT(('4. Survival and stay'!$A$5:$A$244&lt;=A62)*'4. Survival and stay'!$C$5:$C$244*(1-EXP(-(A62-'4. Survival and stay'!$A$5:$A$244)/'3. Assumptions'!$B$46)))</f>
        <v>414.086530016758</v>
      </c>
      <c r="D62" s="39" t="n">
        <f aca="false">C62/'2. The tape'!$B$11</f>
        <v>0.70184157629959</v>
      </c>
      <c r="E62" s="31" t="n">
        <f aca="false">$B$4*'2. The tape'!$B$15*'2. The tape'!$D$11*SUMPRODUCT(('4. Survival and stay'!$A$5:$A$244&lt;=A62)*'4. Survival and stay'!$C$5:$C$244*'5. The rent roll'!$D$5:$D$244*(1-EXP(-(A62-'4. Survival and stay'!$A$5:$A$244)/'3. Assumptions'!$B$46)))</f>
        <v>843926.188192667</v>
      </c>
      <c r="F62" s="49" t="n">
        <f aca="false">IF(C62&gt;0.000000001,E62/(C62*'2. The tape'!$B$15),'2. The tape'!$D$11)</f>
        <v>34.6925971975818</v>
      </c>
      <c r="G62" s="31" t="n">
        <f aca="false">E62*(1+'3. Assumptions'!$B$19+'3. Assumptions'!$B$20+'3. Assumptions'!$B$22)</f>
        <v>933382.36414109</v>
      </c>
      <c r="H62" s="31" t="n">
        <f aca="false">G62-'6. Income and costs'!$B$39-'3. Assumptions'!$B$31*B62*12-E62*('3. Assumptions'!$B$20*(1-'3. Assumptions'!$B$21)+'3. Assumptions'!$B$33)-G62*('3. Assumptions'!$B$26+'3. Assumptions'!$B$32)</f>
        <v>364560.967726315</v>
      </c>
      <c r="I62" s="34" t="str">
        <f aca="false">IF(H62&gt;0,"Yes","No")</f>
        <v>Yes</v>
      </c>
      <c r="J62" s="34" t="n">
        <f aca="false">IF(H62&gt;0,A62,"")</f>
        <v>50</v>
      </c>
      <c r="K62" s="34" t="str">
        <f aca="false">IF(D62&gt;=0.95*'3. Assumptions'!$B$17,A62,"")</f>
        <v/>
      </c>
    </row>
    <row r="63" customFormat="false" ht="15" hidden="false" customHeight="false" outlineLevel="0" collapsed="false">
      <c r="A63" s="34" t="n">
        <v>51</v>
      </c>
      <c r="B63" s="48" t="n">
        <f aca="false">$B$4*(1-EXP(-A63/'3. Assumptions'!$B$46))</f>
        <v>33.1337314582334</v>
      </c>
      <c r="C63" s="48" t="n">
        <f aca="false">$B$4*SUMPRODUCT(('4. Survival and stay'!$A$5:$A$244&lt;=A63)*'4. Survival and stay'!$C$5:$C$244*(1-EXP(-(A63-'4. Survival and stay'!$A$5:$A$244)/'3. Assumptions'!$B$46)))</f>
        <v>417.182686766041</v>
      </c>
      <c r="D63" s="39" t="n">
        <f aca="false">C63/'2. The tape'!$B$11</f>
        <v>0.70708929960346</v>
      </c>
      <c r="E63" s="31" t="n">
        <f aca="false">$B$4*'2. The tape'!$B$15*'2. The tape'!$D$11*SUMPRODUCT(('4. Survival and stay'!$A$5:$A$244&lt;=A63)*'4. Survival and stay'!$C$5:$C$244*'5. The rent roll'!$D$5:$D$244*(1-EXP(-(A63-'4. Survival and stay'!$A$5:$A$244)/'3. Assumptions'!$B$46)))</f>
        <v>851798.064623738</v>
      </c>
      <c r="F63" s="49" t="n">
        <f aca="false">IF(C63&gt;0.000000001,E63/(C63*'2. The tape'!$B$15),'2. The tape'!$D$11)</f>
        <v>34.7563230723492</v>
      </c>
      <c r="G63" s="31" t="n">
        <f aca="false">E63*(1+'3. Assumptions'!$B$19+'3. Assumptions'!$B$20+'3. Assumptions'!$B$22)</f>
        <v>942088.659473854</v>
      </c>
      <c r="H63" s="31" t="n">
        <f aca="false">G63-'6. Income and costs'!$B$39-'3. Assumptions'!$B$31*B63*12-E63*('3. Assumptions'!$B$20*(1-'3. Assumptions'!$B$21)+'3. Assumptions'!$B$33)-G63*('3. Assumptions'!$B$26+'3. Assumptions'!$B$32)</f>
        <v>372320.138530902</v>
      </c>
      <c r="I63" s="34" t="str">
        <f aca="false">IF(H63&gt;0,"Yes","No")</f>
        <v>Yes</v>
      </c>
      <c r="J63" s="34" t="n">
        <f aca="false">IF(H63&gt;0,A63,"")</f>
        <v>51</v>
      </c>
      <c r="K63" s="34" t="str">
        <f aca="false">IF(D63&gt;=0.95*'3. Assumptions'!$B$17,A63,"")</f>
        <v/>
      </c>
    </row>
    <row r="64" customFormat="false" ht="15" hidden="false" customHeight="false" outlineLevel="0" collapsed="false">
      <c r="A64" s="34" t="n">
        <v>52</v>
      </c>
      <c r="B64" s="48" t="n">
        <f aca="false">$B$4*(1-EXP(-A64/'3. Assumptions'!$B$46))</f>
        <v>33.1951319049424</v>
      </c>
      <c r="C64" s="48" t="n">
        <f aca="false">$B$4*SUMPRODUCT(('4. Survival and stay'!$A$5:$A$244&lt;=A64)*'4. Survival and stay'!$C$5:$C$244*(1-EXP(-(A64-'4. Survival and stay'!$A$5:$A$244)/'3. Assumptions'!$B$46)))</f>
        <v>420.118009036673</v>
      </c>
      <c r="D64" s="39" t="n">
        <f aca="false">C64/'2. The tape'!$B$11</f>
        <v>0.712064422096055</v>
      </c>
      <c r="E64" s="31" t="n">
        <f aca="false">$B$4*'2. The tape'!$B$15*'2. The tape'!$D$11*SUMPRODUCT(('4. Survival and stay'!$A$5:$A$244&lt;=A64)*'4. Survival and stay'!$C$5:$C$244*'5. The rent roll'!$D$5:$D$244*(1-EXP(-(A64-'4. Survival and stay'!$A$5:$A$244)/'3. Assumptions'!$B$46)))</f>
        <v>859290.732935884</v>
      </c>
      <c r="F64" s="49" t="n">
        <f aca="false">IF(C64&gt;0.000000001,E64/(C64*'2. The tape'!$B$15),'2. The tape'!$D$11)</f>
        <v>34.8170749779125</v>
      </c>
      <c r="G64" s="31" t="n">
        <f aca="false">E64*(1+'3. Assumptions'!$B$19+'3. Assumptions'!$B$20+'3. Assumptions'!$B$22)</f>
        <v>950375.550627088</v>
      </c>
      <c r="H64" s="31" t="n">
        <f aca="false">G64-'6. Income and costs'!$B$39-'3. Assumptions'!$B$31*B64*12-E64*('3. Assumptions'!$B$20*(1-'3. Assumptions'!$B$21)+'3. Assumptions'!$B$33)-G64*('3. Assumptions'!$B$26+'3. Assumptions'!$B$32)</f>
        <v>379707.604884366</v>
      </c>
      <c r="I64" s="34" t="str">
        <f aca="false">IF(H64&gt;0,"Yes","No")</f>
        <v>Yes</v>
      </c>
      <c r="J64" s="34" t="n">
        <f aca="false">IF(H64&gt;0,A64,"")</f>
        <v>52</v>
      </c>
      <c r="K64" s="34" t="str">
        <f aca="false">IF(D64&gt;=0.95*'3. Assumptions'!$B$17,A64,"")</f>
        <v/>
      </c>
    </row>
    <row r="65" customFormat="false" ht="15" hidden="false" customHeight="false" outlineLevel="0" collapsed="false">
      <c r="A65" s="34" t="n">
        <v>53</v>
      </c>
      <c r="B65" s="48" t="n">
        <f aca="false">$B$4*(1-EXP(-A65/'3. Assumptions'!$B$46))</f>
        <v>33.2522995755304</v>
      </c>
      <c r="C65" s="48" t="n">
        <f aca="false">$B$4*SUMPRODUCT(('4. Survival and stay'!$A$5:$A$244&lt;=A65)*'4. Survival and stay'!$C$5:$C$244*(1-EXP(-(A65-'4. Survival and stay'!$A$5:$A$244)/'3. Assumptions'!$B$46)))</f>
        <v>422.900086014115</v>
      </c>
      <c r="D65" s="39" t="n">
        <f aca="false">C65/'2. The tape'!$B$11</f>
        <v>0.716779806803585</v>
      </c>
      <c r="E65" s="31" t="n">
        <f aca="false">$B$4*'2. The tape'!$B$15*'2. The tape'!$D$11*SUMPRODUCT(('4. Survival and stay'!$A$5:$A$244&lt;=A65)*'4. Survival and stay'!$C$5:$C$244*'5. The rent roll'!$D$5:$D$244*(1-EXP(-(A65-'4. Survival and stay'!$A$5:$A$244)/'3. Assumptions'!$B$46)))</f>
        <v>866419.46478155</v>
      </c>
      <c r="F65" s="49" t="n">
        <f aca="false">IF(C65&gt;0.000000001,E65/(C65*'2. The tape'!$B$15),'2. The tape'!$D$11)</f>
        <v>34.8749730176294</v>
      </c>
      <c r="G65" s="31" t="n">
        <f aca="false">E65*(1+'3. Assumptions'!$B$19+'3. Assumptions'!$B$20+'3. Assumptions'!$B$22)</f>
        <v>958259.928048394</v>
      </c>
      <c r="H65" s="31" t="n">
        <f aca="false">G65-'6. Income and costs'!$B$39-'3. Assumptions'!$B$31*B65*12-E65*('3. Assumptions'!$B$20*(1-'3. Assumptions'!$B$21)+'3. Assumptions'!$B$33)-G65*('3. Assumptions'!$B$26+'3. Assumptions'!$B$32)</f>
        <v>386738.138842479</v>
      </c>
      <c r="I65" s="34" t="str">
        <f aca="false">IF(H65&gt;0,"Yes","No")</f>
        <v>Yes</v>
      </c>
      <c r="J65" s="34" t="n">
        <f aca="false">IF(H65&gt;0,A65,"")</f>
        <v>53</v>
      </c>
      <c r="K65" s="34" t="str">
        <f aca="false">IF(D65&gt;=0.95*'3. Assumptions'!$B$17,A65,"")</f>
        <v/>
      </c>
    </row>
    <row r="66" customFormat="false" ht="15" hidden="false" customHeight="false" outlineLevel="0" collapsed="false">
      <c r="A66" s="34" t="n">
        <v>54</v>
      </c>
      <c r="B66" s="48" t="n">
        <f aca="false">$B$4*(1-EXP(-A66/'3. Assumptions'!$B$46))</f>
        <v>33.3055262658173</v>
      </c>
      <c r="C66" s="48" t="n">
        <f aca="false">$B$4*SUMPRODUCT(('4. Survival and stay'!$A$5:$A$244&lt;=A66)*'4. Survival and stay'!$C$5:$C$244*(1-EXP(-(A66-'4. Survival and stay'!$A$5:$A$244)/'3. Assumptions'!$B$46)))</f>
        <v>425.536216343194</v>
      </c>
      <c r="D66" s="39" t="n">
        <f aca="false">C66/'2. The tape'!$B$11</f>
        <v>0.721247824310497</v>
      </c>
      <c r="E66" s="31" t="n">
        <f aca="false">$B$4*'2. The tape'!$B$15*'2. The tape'!$D$11*SUMPRODUCT(('4. Survival and stay'!$A$5:$A$244&lt;=A66)*'4. Survival and stay'!$C$5:$C$244*'5. The rent roll'!$D$5:$D$244*(1-EXP(-(A66-'4. Survival and stay'!$A$5:$A$244)/'3. Assumptions'!$B$46)))</f>
        <v>873199.201876337</v>
      </c>
      <c r="F66" s="49" t="n">
        <f aca="false">IF(C66&gt;0.000000001,E66/(C66*'2. The tape'!$B$15),'2. The tape'!$D$11)</f>
        <v>34.9301343153943</v>
      </c>
      <c r="G66" s="31" t="n">
        <f aca="false">E66*(1+'3. Assumptions'!$B$19+'3. Assumptions'!$B$20+'3. Assumptions'!$B$22)</f>
        <v>965758.317275229</v>
      </c>
      <c r="H66" s="31" t="n">
        <f aca="false">G66-'6. Income and costs'!$B$39-'3. Assumptions'!$B$31*B66*12-E66*('3. Assumptions'!$B$20*(1-'3. Assumptions'!$B$21)+'3. Assumptions'!$B$33)-G66*('3. Assumptions'!$B$26+'3. Assumptions'!$B$32)</f>
        <v>393426.215788904</v>
      </c>
      <c r="I66" s="34" t="str">
        <f aca="false">IF(H66&gt;0,"Yes","No")</f>
        <v>Yes</v>
      </c>
      <c r="J66" s="34" t="n">
        <f aca="false">IF(H66&gt;0,A66,"")</f>
        <v>54</v>
      </c>
      <c r="K66" s="34" t="str">
        <f aca="false">IF(D66&gt;=0.95*'3. Assumptions'!$B$17,A66,"")</f>
        <v/>
      </c>
    </row>
    <row r="67" customFormat="false" ht="15" hidden="false" customHeight="false" outlineLevel="0" collapsed="false">
      <c r="A67" s="34" t="n">
        <v>55</v>
      </c>
      <c r="B67" s="48" t="n">
        <f aca="false">$B$4*(1-EXP(-A67/'3. Assumptions'!$B$46))</f>
        <v>33.3550836560302</v>
      </c>
      <c r="C67" s="48" t="n">
        <f aca="false">$B$4*SUMPRODUCT(('4. Survival and stay'!$A$5:$A$244&lt;=A67)*'4. Survival and stay'!$C$5:$C$244*(1-EXP(-(A67-'4. Survival and stay'!$A$5:$A$244)/'3. Assumptions'!$B$46)))</f>
        <v>428.032037426665</v>
      </c>
      <c r="D67" s="39" t="n">
        <f aca="false">C67/'2. The tape'!$B$11</f>
        <v>0.72547802953672</v>
      </c>
      <c r="E67" s="31" t="n">
        <f aca="false">$B$4*'2. The tape'!$B$15*'2. The tape'!$D$11*SUMPRODUCT(('4. Survival and stay'!$A$5:$A$244&lt;=A67)*'4. Survival and stay'!$C$5:$C$244*'5. The rent roll'!$D$5:$D$244*(1-EXP(-(A67-'4. Survival and stay'!$A$5:$A$244)/'3. Assumptions'!$B$46)))</f>
        <v>879640.257468314</v>
      </c>
      <c r="F67" s="49" t="n">
        <f aca="false">IF(C67&gt;0.000000001,E67/(C67*'2. The tape'!$B$15),'2. The tape'!$D$11)</f>
        <v>34.9826152725487</v>
      </c>
      <c r="G67" s="31" t="n">
        <f aca="false">E67*(1+'3. Assumptions'!$B$19+'3. Assumptions'!$B$20+'3. Assumptions'!$B$22)</f>
        <v>972882.124759955</v>
      </c>
      <c r="H67" s="31" t="n">
        <f aca="false">G67-'6. Income and costs'!$B$39-'3. Assumptions'!$B$31*B67*12-E67*('3. Assumptions'!$B$20*(1-'3. Assumptions'!$B$21)+'3. Assumptions'!$B$33)-G67*('3. Assumptions'!$B$26+'3. Assumptions'!$B$32)</f>
        <v>399781.720642037</v>
      </c>
      <c r="I67" s="34" t="str">
        <f aca="false">IF(H67&gt;0,"Yes","No")</f>
        <v>Yes</v>
      </c>
      <c r="J67" s="34" t="n">
        <f aca="false">IF(H67&gt;0,A67,"")</f>
        <v>55</v>
      </c>
      <c r="K67" s="34" t="str">
        <f aca="false">IF(D67&gt;=0.95*'3. Assumptions'!$B$17,A67,"")</f>
        <v/>
      </c>
    </row>
    <row r="68" customFormat="false" ht="15" hidden="false" customHeight="false" outlineLevel="0" collapsed="false">
      <c r="A68" s="34" t="n">
        <v>56</v>
      </c>
      <c r="B68" s="48" t="n">
        <f aca="false">$B$4*(1-EXP(-A68/'3. Assumptions'!$B$46))</f>
        <v>33.4012246975167</v>
      </c>
      <c r="C68" s="48" t="n">
        <f aca="false">$B$4*SUMPRODUCT(('4. Survival and stay'!$A$5:$A$244&lt;=A68)*'4. Survival and stay'!$C$5:$C$244*(1-EXP(-(A68-'4. Survival and stay'!$A$5:$A$244)/'3. Assumptions'!$B$46)))</f>
        <v>430.394467480171</v>
      </c>
      <c r="D68" s="39" t="n">
        <f aca="false">C68/'2. The tape'!$B$11</f>
        <v>0.729482148271476</v>
      </c>
      <c r="E68" s="31" t="n">
        <f aca="false">$B$4*'2. The tape'!$B$15*'2. The tape'!$D$11*SUMPRODUCT(('4. Survival and stay'!$A$5:$A$244&lt;=A68)*'4. Survival and stay'!$C$5:$C$244*'5. The rent roll'!$D$5:$D$244*(1-EXP(-(A68-'4. Survival and stay'!$A$5:$A$244)/'3. Assumptions'!$B$46)))</f>
        <v>885757.421119514</v>
      </c>
      <c r="F68" s="49" t="n">
        <f aca="false">IF(C68&gt;0.000000001,E68/(C68*'2. The tape'!$B$15),'2. The tape'!$D$11)</f>
        <v>35.032535670415</v>
      </c>
      <c r="G68" s="31" t="n">
        <f aca="false">E68*(1+'3. Assumptions'!$B$19+'3. Assumptions'!$B$20+'3. Assumptions'!$B$22)</f>
        <v>979647.707758182</v>
      </c>
      <c r="H68" s="31" t="n">
        <f aca="false">G68-'6. Income and costs'!$B$39-'3. Assumptions'!$B$31*B68*12-E68*('3. Assumptions'!$B$20*(1-'3. Assumptions'!$B$21)+'3. Assumptions'!$B$33)-G68*('3. Assumptions'!$B$26+'3. Assumptions'!$B$32)</f>
        <v>405819.035722395</v>
      </c>
      <c r="I68" s="34" t="str">
        <f aca="false">IF(H68&gt;0,"Yes","No")</f>
        <v>Yes</v>
      </c>
      <c r="J68" s="34" t="n">
        <f aca="false">IF(H68&gt;0,A68,"")</f>
        <v>56</v>
      </c>
      <c r="K68" s="34" t="str">
        <f aca="false">IF(D68&gt;=0.95*'3. Assumptions'!$B$17,A68,"")</f>
        <v/>
      </c>
    </row>
    <row r="69" customFormat="false" ht="15" hidden="false" customHeight="false" outlineLevel="0" collapsed="false">
      <c r="A69" s="34" t="n">
        <v>57</v>
      </c>
      <c r="B69" s="48" t="n">
        <f aca="false">$B$4*(1-EXP(-A69/'3. Assumptions'!$B$46))</f>
        <v>33.4441849038616</v>
      </c>
      <c r="C69" s="48" t="n">
        <f aca="false">$B$4*SUMPRODUCT(('4. Survival and stay'!$A$5:$A$244&lt;=A69)*'4. Survival and stay'!$C$5:$C$244*(1-EXP(-(A69-'4. Survival and stay'!$A$5:$A$244)/'3. Assumptions'!$B$46)))</f>
        <v>432.63013095866</v>
      </c>
      <c r="D69" s="39" t="n">
        <f aca="false">C69/'2. The tape'!$B$11</f>
        <v>0.733271408404508</v>
      </c>
      <c r="E69" s="31" t="n">
        <f aca="false">$B$4*'2. The tape'!$B$15*'2. The tape'!$D$11*SUMPRODUCT(('4. Survival and stay'!$A$5:$A$244&lt;=A69)*'4. Survival and stay'!$C$5:$C$244*'5. The rent roll'!$D$5:$D$244*(1-EXP(-(A69-'4. Survival and stay'!$A$5:$A$244)/'3. Assumptions'!$B$46)))</f>
        <v>891565.031960932</v>
      </c>
      <c r="F69" s="49" t="n">
        <f aca="false">IF(C69&gt;0.000000001,E69/(C69*'2. The tape'!$B$15),'2. The tape'!$D$11)</f>
        <v>35.0800106811805</v>
      </c>
      <c r="G69" s="31" t="n">
        <f aca="false">E69*(1+'3. Assumptions'!$B$19+'3. Assumptions'!$B$20+'3. Assumptions'!$B$22)</f>
        <v>986070.925348791</v>
      </c>
      <c r="H69" s="31" t="n">
        <f aca="false">G69-'6. Income and costs'!$B$39-'3. Assumptions'!$B$31*B69*12-E69*('3. Assumptions'!$B$20*(1-'3. Assumptions'!$B$21)+'3. Assumptions'!$B$33)-G69*('3. Assumptions'!$B$26+'3. Assumptions'!$B$32)</f>
        <v>411552.120067589</v>
      </c>
      <c r="I69" s="34" t="str">
        <f aca="false">IF(H69&gt;0,"Yes","No")</f>
        <v>Yes</v>
      </c>
      <c r="J69" s="34" t="n">
        <f aca="false">IF(H69&gt;0,A69,"")</f>
        <v>57</v>
      </c>
      <c r="K69" s="34" t="str">
        <f aca="false">IF(D69&gt;=0.95*'3. Assumptions'!$B$17,A69,"")</f>
        <v/>
      </c>
    </row>
    <row r="70" customFormat="false" ht="15" hidden="false" customHeight="false" outlineLevel="0" collapsed="false">
      <c r="A70" s="34" t="n">
        <v>58</v>
      </c>
      <c r="B70" s="48" t="n">
        <f aca="false">$B$4*(1-EXP(-A70/'3. Assumptions'!$B$46))</f>
        <v>33.4841835529978</v>
      </c>
      <c r="C70" s="48" t="n">
        <f aca="false">$B$4*SUMPRODUCT(('4. Survival and stay'!$A$5:$A$244&lt;=A70)*'4. Survival and stay'!$C$5:$C$244*(1-EXP(-(A70-'4. Survival and stay'!$A$5:$A$244)/'3. Assumptions'!$B$46)))</f>
        <v>434.74536662717</v>
      </c>
      <c r="D70" s="39" t="n">
        <f aca="false">C70/'2. The tape'!$B$11</f>
        <v>0.736856553605373</v>
      </c>
      <c r="E70" s="31" t="n">
        <f aca="false">$B$4*'2. The tape'!$B$15*'2. The tape'!$D$11*SUMPRODUCT(('4. Survival and stay'!$A$5:$A$244&lt;=A70)*'4. Survival and stay'!$C$5:$C$244*'5. The rent roll'!$D$5:$D$244*(1-EXP(-(A70-'4. Survival and stay'!$A$5:$A$244)/'3. Assumptions'!$B$46)))</f>
        <v>897076.971897489</v>
      </c>
      <c r="F70" s="49" t="n">
        <f aca="false">IF(C70&gt;0.000000001,E70/(C70*'2. The tape'!$B$15),'2. The tape'!$D$11)</f>
        <v>35.1251509703849</v>
      </c>
      <c r="G70" s="31" t="n">
        <f aca="false">E70*(1+'3. Assumptions'!$B$19+'3. Assumptions'!$B$20+'3. Assumptions'!$B$22)</f>
        <v>992167.130918623</v>
      </c>
      <c r="H70" s="31" t="n">
        <f aca="false">G70-'6. Income and costs'!$B$39-'3. Assumptions'!$B$31*B70*12-E70*('3. Assumptions'!$B$20*(1-'3. Assumptions'!$B$21)+'3. Assumptions'!$B$33)-G70*('3. Assumptions'!$B$26+'3. Assumptions'!$B$32)</f>
        <v>416994.500827362</v>
      </c>
      <c r="I70" s="34" t="str">
        <f aca="false">IF(H70&gt;0,"Yes","No")</f>
        <v>Yes</v>
      </c>
      <c r="J70" s="34" t="n">
        <f aca="false">IF(H70&gt;0,A70,"")</f>
        <v>58</v>
      </c>
      <c r="K70" s="34" t="str">
        <f aca="false">IF(D70&gt;=0.95*'3. Assumptions'!$B$17,A70,"")</f>
        <v/>
      </c>
    </row>
    <row r="71" customFormat="false" ht="15" hidden="false" customHeight="false" outlineLevel="0" collapsed="false">
      <c r="A71" s="34" t="n">
        <v>59</v>
      </c>
      <c r="B71" s="48" t="n">
        <f aca="false">$B$4*(1-EXP(-A71/'3. Assumptions'!$B$46))</f>
        <v>33.5214248064468</v>
      </c>
      <c r="C71" s="48" t="n">
        <f aca="false">$B$4*SUMPRODUCT(('4. Survival and stay'!$A$5:$A$244&lt;=A71)*'4. Survival and stay'!$C$5:$C$244*(1-EXP(-(A71-'4. Survival and stay'!$A$5:$A$244)/'3. Assumptions'!$B$46)))</f>
        <v>436.746235885221</v>
      </c>
      <c r="D71" s="39" t="n">
        <f aca="false">C71/'2. The tape'!$B$11</f>
        <v>0.740247857432577</v>
      </c>
      <c r="E71" s="31" t="n">
        <f aca="false">$B$4*'2. The tape'!$B$15*'2. The tape'!$D$11*SUMPRODUCT(('4. Survival and stay'!$A$5:$A$244&lt;=A71)*'4. Survival and stay'!$C$5:$C$244*'5. The rent roll'!$D$5:$D$244*(1-EXP(-(A71-'4. Survival and stay'!$A$5:$A$244)/'3. Assumptions'!$B$46)))</f>
        <v>902306.661798222</v>
      </c>
      <c r="F71" s="49" t="n">
        <f aca="false">IF(C71&gt;0.000000001,E71/(C71*'2. The tape'!$B$15),'2. The tape'!$D$11)</f>
        <v>35.1680628094967</v>
      </c>
      <c r="G71" s="31" t="n">
        <f aca="false">E71*(1+'3. Assumptions'!$B$19+'3. Assumptions'!$B$20+'3. Assumptions'!$B$22)</f>
        <v>997951.167948833</v>
      </c>
      <c r="H71" s="31" t="n">
        <f aca="false">G71-'6. Income and costs'!$B$39-'3. Assumptions'!$B$31*B71*12-E71*('3. Assumptions'!$B$20*(1-'3. Assumptions'!$B$21)+'3. Assumptions'!$B$33)-G71*('3. Assumptions'!$B$26+'3. Assumptions'!$B$32)</f>
        <v>422159.267764503</v>
      </c>
      <c r="I71" s="34" t="str">
        <f aca="false">IF(H71&gt;0,"Yes","No")</f>
        <v>Yes</v>
      </c>
      <c r="J71" s="34" t="n">
        <f aca="false">IF(H71&gt;0,A71,"")</f>
        <v>59</v>
      </c>
      <c r="K71" s="34" t="str">
        <f aca="false">IF(D71&gt;=0.95*'3. Assumptions'!$B$17,A71,"")</f>
        <v/>
      </c>
    </row>
    <row r="72" customFormat="false" ht="15" hidden="false" customHeight="false" outlineLevel="0" collapsed="false">
      <c r="A72" s="34" t="n">
        <v>60</v>
      </c>
      <c r="B72" s="48" t="n">
        <f aca="false">$B$4*(1-EXP(-A72/'3. Assumptions'!$B$46))</f>
        <v>33.5560987514028</v>
      </c>
      <c r="C72" s="48" t="n">
        <f aca="false">$B$4*SUMPRODUCT(('4. Survival and stay'!$A$5:$A$244&lt;=A72)*'4. Survival and stay'!$C$5:$C$244*(1-EXP(-(A72-'4. Survival and stay'!$A$5:$A$244)/'3. Assumptions'!$B$46)))</f>
        <v>438.638531273467</v>
      </c>
      <c r="D72" s="39" t="n">
        <f aca="false">C72/'2. The tape'!$B$11</f>
        <v>0.743455137751639</v>
      </c>
      <c r="E72" s="31" t="n">
        <f aca="false">$B$4*'2. The tape'!$B$15*'2. The tape'!$D$11*SUMPRODUCT(('4. Survival and stay'!$A$5:$A$244&lt;=A72)*'4. Survival and stay'!$C$5:$C$244*'5. The rent roll'!$D$5:$D$244*(1-EXP(-(A72-'4. Survival and stay'!$A$5:$A$244)/'3. Assumptions'!$B$46)))</f>
        <v>907267.060298536</v>
      </c>
      <c r="F72" s="49" t="n">
        <f aca="false">IF(C72&gt;0.000000001,E72/(C72*'2. The tape'!$B$15),'2. The tape'!$D$11)</f>
        <v>35.2088481956302</v>
      </c>
      <c r="G72" s="31" t="n">
        <f aca="false">E72*(1+'3. Assumptions'!$B$19+'3. Assumptions'!$B$20+'3. Assumptions'!$B$22)</f>
        <v>1003437.36869018</v>
      </c>
      <c r="H72" s="31" t="n">
        <f aca="false">G72-'6. Income and costs'!$B$39-'3. Assumptions'!$B$31*B72*12-E72*('3. Assumptions'!$B$20*(1-'3. Assumptions'!$B$21)+'3. Assumptions'!$B$33)-G72*('3. Assumptions'!$B$26+'3. Assumptions'!$B$32)</f>
        <v>427059.070480473</v>
      </c>
      <c r="I72" s="34" t="str">
        <f aca="false">IF(H72&gt;0,"Yes","No")</f>
        <v>Yes</v>
      </c>
      <c r="J72" s="34" t="n">
        <f aca="false">IF(H72&gt;0,A72,"")</f>
        <v>60</v>
      </c>
      <c r="K72" s="34" t="str">
        <f aca="false">IF(D72&gt;=0.95*'3. Assumptions'!$B$17,A72,"")</f>
        <v/>
      </c>
    </row>
    <row r="73" customFormat="false" ht="15" hidden="false" customHeight="false" outlineLevel="0" collapsed="false">
      <c r="A73" s="34" t="n">
        <v>61</v>
      </c>
      <c r="B73" s="48" t="n">
        <f aca="false">$B$4*(1-EXP(-A73/'3. Assumptions'!$B$46))</f>
        <v>33.5883823709768</v>
      </c>
      <c r="C73" s="48" t="n">
        <f aca="false">$B$4*SUMPRODUCT(('4. Survival and stay'!$A$5:$A$244&lt;=A73)*'4. Survival and stay'!$C$5:$C$244*(1-EXP(-(A73-'4. Survival and stay'!$A$5:$A$244)/'3. Assumptions'!$B$46)))</f>
        <v>440.426904284921</v>
      </c>
      <c r="D73" s="39" t="n">
        <f aca="false">C73/'2. The tape'!$B$11</f>
        <v>0.746486278449018</v>
      </c>
      <c r="E73" s="31" t="n">
        <f aca="false">$B$4*'2. The tape'!$B$15*'2. The tape'!$D$11*SUMPRODUCT(('4. Survival and stay'!$A$5:$A$244&lt;=A73)*'4. Survival and stay'!$C$5:$C$244*'5. The rent roll'!$D$5:$D$244*(1-EXP(-(A73-'4. Survival and stay'!$A$5:$A$244)/'3. Assumptions'!$B$46)))</f>
        <v>911967.928011686</v>
      </c>
      <c r="F73" s="49" t="n">
        <f aca="false">IF(C73&gt;0.000000001,E73/(C73*'2. The tape'!$B$15),'2. The tape'!$D$11)</f>
        <v>35.2475696882274</v>
      </c>
      <c r="G73" s="31" t="n">
        <f aca="false">E73*(1+'3. Assumptions'!$B$19+'3. Assumptions'!$B$20+'3. Assumptions'!$B$22)</f>
        <v>1008636.52838092</v>
      </c>
      <c r="H73" s="31" t="n">
        <f aca="false">G73-'6. Income and costs'!$B$39-'3. Assumptions'!$B$31*B73*12-E73*('3. Assumptions'!$B$20*(1-'3. Assumptions'!$B$21)+'3. Assumptions'!$B$33)-G73*('3. Assumptions'!$B$26+'3. Assumptions'!$B$32)</f>
        <v>431703.385608256</v>
      </c>
      <c r="I73" s="34" t="str">
        <f aca="false">IF(H73&gt;0,"Yes","No")</f>
        <v>Yes</v>
      </c>
      <c r="J73" s="34" t="n">
        <f aca="false">IF(H73&gt;0,A73,"")</f>
        <v>61</v>
      </c>
      <c r="K73" s="34" t="str">
        <f aca="false">IF(D73&gt;=0.95*'3. Assumptions'!$B$17,A73,"")</f>
        <v/>
      </c>
    </row>
    <row r="74" customFormat="false" ht="15" hidden="false" customHeight="false" outlineLevel="0" collapsed="false">
      <c r="A74" s="34" t="n">
        <v>62</v>
      </c>
      <c r="B74" s="48" t="n">
        <f aca="false">$B$4*(1-EXP(-A74/'3. Assumptions'!$B$46))</f>
        <v>33.6184404475563</v>
      </c>
      <c r="C74" s="48" t="n">
        <f aca="false">$B$4*SUMPRODUCT(('4. Survival and stay'!$A$5:$A$244&lt;=A74)*'4. Survival and stay'!$C$5:$C$244*(1-EXP(-(A74-'4. Survival and stay'!$A$5:$A$244)/'3. Assumptions'!$B$46)))</f>
        <v>442.116754980082</v>
      </c>
      <c r="D74" s="39" t="n">
        <f aca="false">C74/'2. The tape'!$B$11</f>
        <v>0.74935043216963</v>
      </c>
      <c r="E74" s="31" t="n">
        <f aca="false">$B$4*'2. The tape'!$B$15*'2. The tape'!$D$11*SUMPRODUCT(('4. Survival and stay'!$A$5:$A$244&lt;=A74)*'4. Survival and stay'!$C$5:$C$244*'5. The rent roll'!$D$5:$D$244*(1-EXP(-(A74-'4. Survival and stay'!$A$5:$A$244)/'3. Assumptions'!$B$46)))</f>
        <v>916421.67498647</v>
      </c>
      <c r="F74" s="49" t="n">
        <f aca="false">IF(C74&gt;0.000000001,E74/(C74*'2. The tape'!$B$15),'2. The tape'!$D$11)</f>
        <v>35.2843264879405</v>
      </c>
      <c r="G74" s="31" t="n">
        <f aca="false">E74*(1+'3. Assumptions'!$B$19+'3. Assumptions'!$B$20+'3. Assumptions'!$B$22)</f>
        <v>1013562.37253504</v>
      </c>
      <c r="H74" s="31" t="n">
        <f aca="false">G74-'6. Income and costs'!$B$39-'3. Assumptions'!$B$31*B74*12-E74*('3. Assumptions'!$B$20*(1-'3. Assumptions'!$B$21)+'3. Assumptions'!$B$33)-G74*('3. Assumptions'!$B$26+'3. Assumptions'!$B$32)</f>
        <v>436104.353387797</v>
      </c>
      <c r="I74" s="34" t="str">
        <f aca="false">IF(H74&gt;0,"Yes","No")</f>
        <v>Yes</v>
      </c>
      <c r="J74" s="34" t="n">
        <f aca="false">IF(H74&gt;0,A74,"")</f>
        <v>62</v>
      </c>
      <c r="K74" s="34" t="str">
        <f aca="false">IF(D74&gt;=0.95*'3. Assumptions'!$B$17,A74,"")</f>
        <v/>
      </c>
    </row>
    <row r="75" customFormat="false" ht="15" hidden="false" customHeight="false" outlineLevel="0" collapsed="false">
      <c r="A75" s="34" t="n">
        <v>63</v>
      </c>
      <c r="B75" s="48" t="n">
        <f aca="false">$B$4*(1-EXP(-A75/'3. Assumptions'!$B$46))</f>
        <v>33.646426403889</v>
      </c>
      <c r="C75" s="48" t="n">
        <f aca="false">$B$4*SUMPRODUCT(('4. Survival and stay'!$A$5:$A$244&lt;=A75)*'4. Survival and stay'!$C$5:$C$244*(1-EXP(-(A75-'4. Survival and stay'!$A$5:$A$244)/'3. Assumptions'!$B$46)))</f>
        <v>443.713228464233</v>
      </c>
      <c r="D75" s="39" t="n">
        <f aca="false">C75/'2. The tape'!$B$11</f>
        <v>0.752056319430903</v>
      </c>
      <c r="E75" s="31" t="n">
        <f aca="false">$B$4*'2. The tape'!$B$15*'2. The tape'!$D$11*SUMPRODUCT(('4. Survival and stay'!$A$5:$A$244&lt;=A75)*'4. Survival and stay'!$C$5:$C$244*'5. The rent roll'!$D$5:$D$244*(1-EXP(-(A75-'4. Survival and stay'!$A$5:$A$244)/'3. Assumptions'!$B$46)))</f>
        <v>920640.220262686</v>
      </c>
      <c r="F75" s="49" t="n">
        <f aca="false">IF(C75&gt;0.000000001,E75/(C75*'2. The tape'!$B$15),'2. The tape'!$D$11)</f>
        <v>35.3192132404285</v>
      </c>
      <c r="G75" s="31" t="n">
        <f aca="false">E75*(1+'3. Assumptions'!$B$19+'3. Assumptions'!$B$20+'3. Assumptions'!$B$22)</f>
        <v>1018228.08361053</v>
      </c>
      <c r="H75" s="31" t="n">
        <f aca="false">G75-'6. Income and costs'!$B$39-'3. Assumptions'!$B$31*B75*12-E75*('3. Assumptions'!$B$20*(1-'3. Assumptions'!$B$21)+'3. Assumptions'!$B$33)-G75*('3. Assumptions'!$B$26+'3. Assumptions'!$B$32)</f>
        <v>440273.641056863</v>
      </c>
      <c r="I75" s="34" t="str">
        <f aca="false">IF(H75&gt;0,"Yes","No")</f>
        <v>Yes</v>
      </c>
      <c r="J75" s="34" t="n">
        <f aca="false">IF(H75&gt;0,A75,"")</f>
        <v>63</v>
      </c>
      <c r="K75" s="34" t="str">
        <f aca="false">IF(D75&gt;=0.95*'3. Assumptions'!$B$17,A75,"")</f>
        <v/>
      </c>
    </row>
    <row r="76" customFormat="false" ht="15" hidden="false" customHeight="false" outlineLevel="0" collapsed="false">
      <c r="A76" s="34" t="n">
        <v>64</v>
      </c>
      <c r="B76" s="48" t="n">
        <f aca="false">$B$4*(1-EXP(-A76/'3. Assumptions'!$B$46))</f>
        <v>33.6724830861847</v>
      </c>
      <c r="C76" s="48" t="n">
        <f aca="false">$B$4*SUMPRODUCT(('4. Survival and stay'!$A$5:$A$244&lt;=A76)*'4. Survival and stay'!$C$5:$C$244*(1-EXP(-(A76-'4. Survival and stay'!$A$5:$A$244)/'3. Assumptions'!$B$46)))</f>
        <v>445.221224662231</v>
      </c>
      <c r="D76" s="39" t="n">
        <f aca="false">C76/'2. The tape'!$B$11</f>
        <v>0.754612245190222</v>
      </c>
      <c r="E76" s="31" t="n">
        <f aca="false">$B$4*'2. The tape'!$B$15*'2. The tape'!$D$11*SUMPRODUCT(('4. Survival and stay'!$A$5:$A$244&lt;=A76)*'4. Survival and stay'!$C$5:$C$244*'5. The rent roll'!$D$5:$D$244*(1-EXP(-(A76-'4. Survival and stay'!$A$5:$A$244)/'3. Assumptions'!$B$46)))</f>
        <v>924635.001480332</v>
      </c>
      <c r="F76" s="49" t="n">
        <f aca="false">IF(C76&gt;0.000000001,E76/(C76*'2. The tape'!$B$15),'2. The tape'!$D$11)</f>
        <v>35.3523202453655</v>
      </c>
      <c r="G76" s="31" t="n">
        <f aca="false">E76*(1+'3. Assumptions'!$B$19+'3. Assumptions'!$B$20+'3. Assumptions'!$B$22)</f>
        <v>1022646.31163725</v>
      </c>
      <c r="H76" s="31" t="n">
        <f aca="false">G76-'6. Income and costs'!$B$39-'3. Assumptions'!$B$31*B76*12-E76*('3. Assumptions'!$B$20*(1-'3. Assumptions'!$B$21)+'3. Assumptions'!$B$33)-G76*('3. Assumptions'!$B$26+'3. Assumptions'!$B$32)</f>
        <v>444222.451258342</v>
      </c>
      <c r="I76" s="34" t="str">
        <f aca="false">IF(H76&gt;0,"Yes","No")</f>
        <v>Yes</v>
      </c>
      <c r="J76" s="34" t="n">
        <f aca="false">IF(H76&gt;0,A76,"")</f>
        <v>64</v>
      </c>
      <c r="K76" s="34" t="str">
        <f aca="false">IF(D76&gt;=0.95*'3. Assumptions'!$B$17,A76,"")</f>
        <v/>
      </c>
    </row>
    <row r="77" customFormat="false" ht="15" hidden="false" customHeight="false" outlineLevel="0" collapsed="false">
      <c r="A77" s="34" t="n">
        <v>65</v>
      </c>
      <c r="B77" s="48" t="n">
        <f aca="false">$B$4*(1-EXP(-A77/'3. Assumptions'!$B$46))</f>
        <v>33.6967434932329</v>
      </c>
      <c r="C77" s="48" t="n">
        <f aca="false">$B$4*SUMPRODUCT(('4. Survival and stay'!$A$5:$A$244&lt;=A77)*'4. Survival and stay'!$C$5:$C$244*(1-EXP(-(A77-'4. Survival and stay'!$A$5:$A$244)/'3. Assumptions'!$B$46)))</f>
        <v>446.645407938228</v>
      </c>
      <c r="D77" s="39" t="n">
        <f aca="false">C77/'2. The tape'!$B$11</f>
        <v>0.757026115149539</v>
      </c>
      <c r="E77" s="31" t="n">
        <f aca="false">$B$4*'2. The tape'!$B$15*'2. The tape'!$D$11*SUMPRODUCT(('4. Survival and stay'!$A$5:$A$244&lt;=A77)*'4. Survival and stay'!$C$5:$C$244*'5. The rent roll'!$D$5:$D$244*(1-EXP(-(A77-'4. Survival and stay'!$A$5:$A$244)/'3. Assumptions'!$B$46)))</f>
        <v>928416.985438296</v>
      </c>
      <c r="F77" s="49" t="n">
        <f aca="false">IF(C77&gt;0.000000001,E77/(C77*'2. The tape'!$B$15),'2. The tape'!$D$11)</f>
        <v>35.3837336547087</v>
      </c>
      <c r="G77" s="31" t="n">
        <f aca="false">E77*(1+'3. Assumptions'!$B$19+'3. Assumptions'!$B$20+'3. Assumptions'!$B$22)</f>
        <v>1026829.18589476</v>
      </c>
      <c r="H77" s="31" t="n">
        <f aca="false">G77-'6. Income and costs'!$B$39-'3. Assumptions'!$B$31*B77*12-E77*('3. Assumptions'!$B$20*(1-'3. Assumptions'!$B$21)+'3. Assumptions'!$B$33)-G77*('3. Assumptions'!$B$26+'3. Assumptions'!$B$32)</f>
        <v>447961.531477264</v>
      </c>
      <c r="I77" s="34" t="str">
        <f aca="false">IF(H77&gt;0,"Yes","No")</f>
        <v>Yes</v>
      </c>
      <c r="J77" s="34" t="n">
        <f aca="false">IF(H77&gt;0,A77,"")</f>
        <v>65</v>
      </c>
      <c r="K77" s="34" t="n">
        <f aca="false">IF(D77&gt;=0.95*'3. Assumptions'!$B$17,A77,"")</f>
        <v>65</v>
      </c>
    </row>
    <row r="78" customFormat="false" ht="15" hidden="false" customHeight="false" outlineLevel="0" collapsed="false">
      <c r="A78" s="34" t="n">
        <v>66</v>
      </c>
      <c r="B78" s="48" t="n">
        <f aca="false">$B$4*(1-EXP(-A78/'3. Assumptions'!$B$46))</f>
        <v>33.7193314552559</v>
      </c>
      <c r="C78" s="48" t="n">
        <f aca="false">$B$4*SUMPRODUCT(('4. Survival and stay'!$A$5:$A$244&lt;=A78)*'4. Survival and stay'!$C$5:$C$244*(1-EXP(-(A78-'4. Survival and stay'!$A$5:$A$244)/'3. Assumptions'!$B$46)))</f>
        <v>447.990216536508</v>
      </c>
      <c r="D78" s="39" t="n">
        <f aca="false">C78/'2. The tape'!$B$11</f>
        <v>0.759305451756794</v>
      </c>
      <c r="E78" s="31" t="n">
        <f aca="false">$B$4*'2. The tape'!$B$15*'2. The tape'!$D$11*SUMPRODUCT(('4. Survival and stay'!$A$5:$A$244&lt;=A78)*'4. Survival and stay'!$C$5:$C$244*'5. The rent roll'!$D$5:$D$244*(1-EXP(-(A78-'4. Survival and stay'!$A$5:$A$244)/'3. Assumptions'!$B$46)))</f>
        <v>931996.679429913</v>
      </c>
      <c r="F78" s="49" t="n">
        <f aca="false">IF(C78&gt;0.000000001,E78/(C78*'2. The tape'!$B$15),'2. The tape'!$D$11)</f>
        <v>35.4135356608986</v>
      </c>
      <c r="G78" s="31" t="n">
        <f aca="false">E78*(1+'3. Assumptions'!$B$19+'3. Assumptions'!$B$20+'3. Assumptions'!$B$22)</f>
        <v>1030788.32744948</v>
      </c>
      <c r="H78" s="31" t="n">
        <f aca="false">G78-'6. Income and costs'!$B$39-'3. Assumptions'!$B$31*B78*12-E78*('3. Assumptions'!$B$20*(1-'3. Assumptions'!$B$21)+'3. Assumptions'!$B$33)-G78*('3. Assumptions'!$B$26+'3. Assumptions'!$B$32)</f>
        <v>451501.18432956</v>
      </c>
      <c r="I78" s="34" t="str">
        <f aca="false">IF(H78&gt;0,"Yes","No")</f>
        <v>Yes</v>
      </c>
      <c r="J78" s="34" t="n">
        <f aca="false">IF(H78&gt;0,A78,"")</f>
        <v>66</v>
      </c>
      <c r="K78" s="34" t="n">
        <f aca="false">IF(D78&gt;=0.95*'3. Assumptions'!$B$17,A78,"")</f>
        <v>66</v>
      </c>
    </row>
    <row r="79" customFormat="false" ht="15" hidden="false" customHeight="false" outlineLevel="0" collapsed="false">
      <c r="A79" s="34" t="n">
        <v>67</v>
      </c>
      <c r="B79" s="48" t="n">
        <f aca="false">$B$4*(1-EXP(-A79/'3. Assumptions'!$B$46))</f>
        <v>33.7403622659649</v>
      </c>
      <c r="C79" s="48" t="n">
        <f aca="false">$B$4*SUMPRODUCT(('4. Survival and stay'!$A$5:$A$244&lt;=A79)*'4. Survival and stay'!$C$5:$C$244*(1-EXP(-(A79-'4. Survival and stay'!$A$5:$A$244)/'3. Assumptions'!$B$46)))</f>
        <v>449.259307686818</v>
      </c>
      <c r="D79" s="39" t="n">
        <f aca="false">C79/'2. The tape'!$B$11</f>
        <v>0.761456453706471</v>
      </c>
      <c r="E79" s="31" t="n">
        <f aca="false">$B$4*'2. The tape'!$B$15*'2. The tape'!$D$11*SUMPRODUCT(('4. Survival and stay'!$A$5:$A$244&lt;=A79)*'4. Survival and stay'!$C$5:$C$244*'5. The rent roll'!$D$5:$D$244*(1-EXP(-(A79-'4. Survival and stay'!$A$5:$A$244)/'3. Assumptions'!$B$46)))</f>
        <v>935382.390316898</v>
      </c>
      <c r="F79" s="49" t="n">
        <f aca="false">IF(C79&gt;0.000000001,E79/(C79*'2. The tape'!$B$15),'2. The tape'!$D$11)</f>
        <v>35.4417827629634</v>
      </c>
      <c r="G79" s="31" t="n">
        <f aca="false">E79*(1+'3. Assumptions'!$B$19+'3. Assumptions'!$B$20+'3. Assumptions'!$B$22)</f>
        <v>1034532.92369049</v>
      </c>
      <c r="H79" s="31" t="n">
        <f aca="false">G79-'6. Income and costs'!$B$39-'3. Assumptions'!$B$31*B79*12-E79*('3. Assumptions'!$B$20*(1-'3. Assumptions'!$B$21)+'3. Assumptions'!$B$33)-G79*('3. Assumptions'!$B$26+'3. Assumptions'!$B$32)</f>
        <v>454849.528511029</v>
      </c>
      <c r="I79" s="34" t="str">
        <f aca="false">IF(H79&gt;0,"Yes","No")</f>
        <v>Yes</v>
      </c>
      <c r="J79" s="34" t="n">
        <f aca="false">IF(H79&gt;0,A79,"")</f>
        <v>67</v>
      </c>
      <c r="K79" s="34" t="n">
        <f aca="false">IF(D79&gt;=0.95*'3. Assumptions'!$B$17,A79,"")</f>
        <v>67</v>
      </c>
    </row>
    <row r="80" customFormat="false" ht="15" hidden="false" customHeight="false" outlineLevel="0" collapsed="false">
      <c r="A80" s="34" t="n">
        <v>68</v>
      </c>
      <c r="B80" s="48" t="n">
        <f aca="false">$B$4*(1-EXP(-A80/'3. Assumptions'!$B$46))</f>
        <v>33.759943271043</v>
      </c>
      <c r="C80" s="48" t="n">
        <f aca="false">$B$4*SUMPRODUCT(('4. Survival and stay'!$A$5:$A$244&lt;=A80)*'4. Survival and stay'!$C$5:$C$244*(1-EXP(-(A80-'4. Survival and stay'!$A$5:$A$244)/'3. Assumptions'!$B$46)))</f>
        <v>450.45677130996</v>
      </c>
      <c r="D80" s="39" t="n">
        <f aca="false">C80/'2. The tape'!$B$11</f>
        <v>0.763486053067729</v>
      </c>
      <c r="E80" s="31" t="n">
        <f aca="false">$B$4*'2. The tape'!$B$15*'2. The tape'!$D$11*SUMPRODUCT(('4. Survival and stay'!$A$5:$A$244&lt;=A80)*'4. Survival and stay'!$C$5:$C$244*'5. The rent roll'!$D$5:$D$244*(1-EXP(-(A80-'4. Survival and stay'!$A$5:$A$244)/'3. Assumptions'!$B$46)))</f>
        <v>938583.980150531</v>
      </c>
      <c r="F80" s="49" t="n">
        <f aca="false">IF(C80&gt;0.000000001,E80/(C80*'2. The tape'!$B$15),'2. The tape'!$D$11)</f>
        <v>35.468552992581</v>
      </c>
      <c r="G80" s="31" t="n">
        <f aca="false">E80*(1+'3. Assumptions'!$B$19+'3. Assumptions'!$B$20+'3. Assumptions'!$B$22)</f>
        <v>1038073.88204649</v>
      </c>
      <c r="H80" s="31" t="n">
        <f aca="false">G80-'6. Income and costs'!$B$39-'3. Assumptions'!$B$31*B80*12-E80*('3. Assumptions'!$B$20*(1-'3. Assumptions'!$B$21)+'3. Assumptions'!$B$33)-G80*('3. Assumptions'!$B$26+'3. Assumptions'!$B$32)</f>
        <v>458016.247416675</v>
      </c>
      <c r="I80" s="34" t="str">
        <f aca="false">IF(H80&gt;0,"Yes","No")</f>
        <v>Yes</v>
      </c>
      <c r="J80" s="34" t="n">
        <f aca="false">IF(H80&gt;0,A80,"")</f>
        <v>68</v>
      </c>
      <c r="K80" s="34" t="n">
        <f aca="false">IF(D80&gt;=0.95*'3. Assumptions'!$B$17,A80,"")</f>
        <v>68</v>
      </c>
    </row>
    <row r="81" customFormat="false" ht="15" hidden="false" customHeight="false" outlineLevel="0" collapsed="false">
      <c r="A81" s="34" t="n">
        <v>69</v>
      </c>
      <c r="B81" s="48" t="n">
        <f aca="false">$B$4*(1-EXP(-A81/'3. Assumptions'!$B$46))</f>
        <v>33.7781744160605</v>
      </c>
      <c r="C81" s="48" t="n">
        <f aca="false">$B$4*SUMPRODUCT(('4. Survival and stay'!$A$5:$A$244&lt;=A81)*'4. Survival and stay'!$C$5:$C$244*(1-EXP(-(A81-'4. Survival and stay'!$A$5:$A$244)/'3. Assumptions'!$B$46)))</f>
        <v>451.586490512633</v>
      </c>
      <c r="D81" s="39" t="n">
        <f aca="false">C81/'2. The tape'!$B$11</f>
        <v>0.765400831377344</v>
      </c>
      <c r="E81" s="31" t="n">
        <f aca="false">$B$4*'2. The tape'!$B$15*'2. The tape'!$D$11*SUMPRODUCT(('4. Survival and stay'!$A$5:$A$244&lt;=A81)*'4. Survival and stay'!$C$5:$C$244*'5. The rent roll'!$D$5:$D$244*(1-EXP(-(A81-'4. Survival and stay'!$A$5:$A$244)/'3. Assumptions'!$B$46)))</f>
        <v>941610.864574909</v>
      </c>
      <c r="F81" s="49" t="n">
        <f aca="false">IF(C81&gt;0.000000001,E81/(C81*'2. The tape'!$B$15),'2. The tape'!$D$11)</f>
        <v>35.4939205534968</v>
      </c>
      <c r="G81" s="31" t="n">
        <f aca="false">E81*(1+'3. Assumptions'!$B$19+'3. Assumptions'!$B$20+'3. Assumptions'!$B$22)</f>
        <v>1041421.61621985</v>
      </c>
      <c r="H81" s="31" t="n">
        <f aca="false">G81-'6. Income and costs'!$B$39-'3. Assumptions'!$B$31*B81*12-E81*('3. Assumptions'!$B$20*(1-'3. Assumptions'!$B$21)+'3. Assumptions'!$B$33)-G81*('3. Assumptions'!$B$26+'3. Assumptions'!$B$32)</f>
        <v>461010.589970551</v>
      </c>
      <c r="I81" s="34" t="str">
        <f aca="false">IF(H81&gt;0,"Yes","No")</f>
        <v>Yes</v>
      </c>
      <c r="J81" s="34" t="n">
        <f aca="false">IF(H81&gt;0,A81,"")</f>
        <v>69</v>
      </c>
      <c r="K81" s="34" t="n">
        <f aca="false">IF(D81&gt;=0.95*'3. Assumptions'!$B$17,A81,"")</f>
        <v>69</v>
      </c>
    </row>
    <row r="82" customFormat="false" ht="15" hidden="false" customHeight="false" outlineLevel="0" collapsed="false">
      <c r="A82" s="34" t="n">
        <v>70</v>
      </c>
      <c r="B82" s="48" t="n">
        <f aca="false">$B$4*(1-EXP(-A82/'3. Assumptions'!$B$46))</f>
        <v>33.7951487566176</v>
      </c>
      <c r="C82" s="48" t="n">
        <f aca="false">$B$4*SUMPRODUCT(('4. Survival and stay'!$A$5:$A$244&lt;=A82)*'4. Survival and stay'!$C$5:$C$244*(1-EXP(-(A82-'4. Survival and stay'!$A$5:$A$244)/'3. Assumptions'!$B$46)))</f>
        <v>452.652150848232</v>
      </c>
      <c r="D82" s="39" t="n">
        <f aca="false">C82/'2. The tape'!$B$11</f>
        <v>0.767207035335986</v>
      </c>
      <c r="E82" s="31" t="n">
        <f aca="false">$B$4*'2. The tape'!$B$15*'2. The tape'!$D$11*SUMPRODUCT(('4. Survival and stay'!$A$5:$A$244&lt;=A82)*'4. Survival and stay'!$C$5:$C$244*'5. The rent roll'!$D$5:$D$244*(1-EXP(-(A82-'4. Survival and stay'!$A$5:$A$244)/'3. Assumptions'!$B$46)))</f>
        <v>944472.028076239</v>
      </c>
      <c r="F82" s="49" t="n">
        <f aca="false">IF(C82&gt;0.000000001,E82/(C82*'2. The tape'!$B$15),'2. The tape'!$D$11)</f>
        <v>35.5179560182011</v>
      </c>
      <c r="G82" s="31" t="n">
        <f aca="false">E82*(1+'3. Assumptions'!$B$19+'3. Assumptions'!$B$20+'3. Assumptions'!$B$22)</f>
        <v>1044586.06305232</v>
      </c>
      <c r="H82" s="31" t="n">
        <f aca="false">G82-'6. Income and costs'!$B$39-'3. Assumptions'!$B$31*B82*12-E82*('3. Assumptions'!$B$20*(1-'3. Assumptions'!$B$21)+'3. Assumptions'!$B$33)-G82*('3. Assumptions'!$B$26+'3. Assumptions'!$B$32)</f>
        <v>463841.385077462</v>
      </c>
      <c r="I82" s="34" t="str">
        <f aca="false">IF(H82&gt;0,"Yes","No")</f>
        <v>Yes</v>
      </c>
      <c r="J82" s="34" t="n">
        <f aca="false">IF(H82&gt;0,A82,"")</f>
        <v>70</v>
      </c>
      <c r="K82" s="34" t="n">
        <f aca="false">IF(D82&gt;=0.95*'3. Assumptions'!$B$17,A82,"")</f>
        <v>70</v>
      </c>
    </row>
    <row r="83" customFormat="false" ht="15" hidden="false" customHeight="false" outlineLevel="0" collapsed="false">
      <c r="A83" s="34" t="n">
        <v>71</v>
      </c>
      <c r="B83" s="48" t="n">
        <f aca="false">$B$4*(1-EXP(-A83/'3. Assumptions'!$B$46))</f>
        <v>33.8109529333204</v>
      </c>
      <c r="C83" s="48" t="n">
        <f aca="false">$B$4*SUMPRODUCT(('4. Survival and stay'!$A$5:$A$244&lt;=A83)*'4. Survival and stay'!$C$5:$C$244*(1-EXP(-(A83-'4. Survival and stay'!$A$5:$A$244)/'3. Assumptions'!$B$46)))</f>
        <v>453.657249271496</v>
      </c>
      <c r="D83" s="39" t="n">
        <f aca="false">C83/'2. The tape'!$B$11</f>
        <v>0.768910591985587</v>
      </c>
      <c r="E83" s="31" t="n">
        <f aca="false">$B$4*'2. The tape'!$B$15*'2. The tape'!$D$11*SUMPRODUCT(('4. Survival and stay'!$A$5:$A$244&lt;=A83)*'4. Survival and stay'!$C$5:$C$244*'5. The rent roll'!$D$5:$D$244*(1-EXP(-(A83-'4. Survival and stay'!$A$5:$A$244)/'3. Assumptions'!$B$46)))</f>
        <v>947176.039213289</v>
      </c>
      <c r="F83" s="49" t="n">
        <f aca="false">IF(C83&gt;0.000000001,E83/(C83*'2. The tape'!$B$15),'2. The tape'!$D$11)</f>
        <v>35.5407265122423</v>
      </c>
      <c r="G83" s="31" t="n">
        <f aca="false">E83*(1+'3. Assumptions'!$B$19+'3. Assumptions'!$B$20+'3. Assumptions'!$B$22)</f>
        <v>1047576.6993699</v>
      </c>
      <c r="H83" s="31" t="n">
        <f aca="false">G83-'6. Income and costs'!$B$39-'3. Assumptions'!$B$31*B83*12-E83*('3. Assumptions'!$B$20*(1-'3. Assumptions'!$B$21)+'3. Assumptions'!$B$33)-G83*('3. Assumptions'!$B$26+'3. Assumptions'!$B$32)</f>
        <v>466517.056109136</v>
      </c>
      <c r="I83" s="34" t="str">
        <f aca="false">IF(H83&gt;0,"Yes","No")</f>
        <v>Yes</v>
      </c>
      <c r="J83" s="34" t="n">
        <f aca="false">IF(H83&gt;0,A83,"")</f>
        <v>71</v>
      </c>
      <c r="K83" s="34" t="n">
        <f aca="false">IF(D83&gt;=0.95*'3. Assumptions'!$B$17,A83,"")</f>
        <v>71</v>
      </c>
    </row>
    <row r="84" customFormat="false" ht="15" hidden="false" customHeight="false" outlineLevel="0" collapsed="false">
      <c r="A84" s="34" t="n">
        <v>72</v>
      </c>
      <c r="B84" s="48" t="n">
        <f aca="false">$B$4*(1-EXP(-A84/'3. Assumptions'!$B$46))</f>
        <v>33.8256676140122</v>
      </c>
      <c r="C84" s="48" t="n">
        <f aca="false">$B$4*SUMPRODUCT(('4. Survival and stay'!$A$5:$A$244&lt;=A84)*'4. Survival and stay'!$C$5:$C$244*(1-EXP(-(A84-'4. Survival and stay'!$A$5:$A$244)/'3. Assumptions'!$B$46)))</f>
        <v>454.605102786011</v>
      </c>
      <c r="D84" s="39" t="n">
        <f aca="false">C84/'2. The tape'!$B$11</f>
        <v>0.770517123366119</v>
      </c>
      <c r="E84" s="31" t="n">
        <f aca="false">$B$4*'2. The tape'!$B$15*'2. The tape'!$D$11*SUMPRODUCT(('4. Survival and stay'!$A$5:$A$244&lt;=A84)*'4. Survival and stay'!$C$5:$C$244*'5. The rent roll'!$D$5:$D$244*(1-EXP(-(A84-'4. Survival and stay'!$A$5:$A$244)/'3. Assumptions'!$B$46)))</f>
        <v>949731.065761647</v>
      </c>
      <c r="F84" s="49" t="n">
        <f aca="false">IF(C84&gt;0.000000001,E84/(C84*'2. The tape'!$B$15),'2. The tape'!$D$11)</f>
        <v>35.5622958872533</v>
      </c>
      <c r="G84" s="31" t="n">
        <f aca="false">E84*(1+'3. Assumptions'!$B$19+'3. Assumptions'!$B$20+'3. Assumptions'!$B$22)</f>
        <v>1050402.55873238</v>
      </c>
      <c r="H84" s="31" t="n">
        <f aca="false">G84-'6. Income and costs'!$B$39-'3. Assumptions'!$B$31*B84*12-E84*('3. Assumptions'!$B$20*(1-'3. Assumptions'!$B$21)+'3. Assumptions'!$B$33)-G84*('3. Assumptions'!$B$26+'3. Assumptions'!$B$32)</f>
        <v>469045.635353923</v>
      </c>
      <c r="I84" s="34" t="str">
        <f aca="false">IF(H84&gt;0,"Yes","No")</f>
        <v>Yes</v>
      </c>
      <c r="J84" s="34" t="n">
        <f aca="false">IF(H84&gt;0,A84,"")</f>
        <v>72</v>
      </c>
      <c r="K84" s="34" t="n">
        <f aca="false">IF(D84&gt;=0.95*'3. Assumptions'!$B$17,A84,"")</f>
        <v>72</v>
      </c>
    </row>
    <row r="85" customFormat="false" ht="15" hidden="false" customHeight="false" outlineLevel="0" collapsed="false">
      <c r="A85" s="34" t="n">
        <v>73</v>
      </c>
      <c r="B85" s="48" t="n">
        <f aca="false">$B$4*(1-EXP(-A85/'3. Assumptions'!$B$46))</f>
        <v>33.8393679055195</v>
      </c>
      <c r="C85" s="48" t="n">
        <f aca="false">$B$4*SUMPRODUCT(('4. Survival and stay'!$A$5:$A$244&lt;=A85)*'4. Survival and stay'!$C$5:$C$244*(1-EXP(-(A85-'4. Survival and stay'!$A$5:$A$244)/'3. Assumptions'!$B$46)))</f>
        <v>455.498495471632</v>
      </c>
      <c r="D85" s="39" t="n">
        <f aca="false">C85/'2. The tape'!$B$11</f>
        <v>0.772031348257004</v>
      </c>
      <c r="E85" s="31" t="n">
        <f aca="false">$B$4*'2. The tape'!$B$15*'2. The tape'!$D$11*SUMPRODUCT(('4. Survival and stay'!$A$5:$A$244&lt;=A85)*'4. Survival and stay'!$C$5:$C$244*'5. The rent roll'!$D$5:$D$244*(1-EXP(-(A85-'4. Survival and stay'!$A$5:$A$244)/'3. Assumptions'!$B$46)))</f>
        <v>952143.767040927</v>
      </c>
      <c r="F85" s="49" t="n">
        <f aca="false">IF(C85&gt;0.000000001,E85/(C85*'2. The tape'!$B$15),'2. The tape'!$D$11)</f>
        <v>35.5827111532333</v>
      </c>
      <c r="G85" s="31" t="n">
        <f aca="false">E85*(1+'3. Assumptions'!$B$19+'3. Assumptions'!$B$20+'3. Assumptions'!$B$22)</f>
        <v>1053071.00634726</v>
      </c>
      <c r="H85" s="31" t="n">
        <f aca="false">G85-'6. Income and costs'!$B$39-'3. Assumptions'!$B$31*B85*12-E85*('3. Assumptions'!$B$20*(1-'3. Assumptions'!$B$21)+'3. Assumptions'!$B$33)-G85*('3. Assumptions'!$B$26+'3. Assumptions'!$B$32)</f>
        <v>471433.657522469</v>
      </c>
      <c r="I85" s="34" t="str">
        <f aca="false">IF(H85&gt;0,"Yes","No")</f>
        <v>Yes</v>
      </c>
      <c r="J85" s="34" t="n">
        <f aca="false">IF(H85&gt;0,A85,"")</f>
        <v>73</v>
      </c>
      <c r="K85" s="34" t="n">
        <f aca="false">IF(D85&gt;=0.95*'3. Assumptions'!$B$17,A85,"")</f>
        <v>73</v>
      </c>
    </row>
    <row r="86" customFormat="false" ht="15" hidden="false" customHeight="false" outlineLevel="0" collapsed="false">
      <c r="A86" s="34" t="n">
        <v>74</v>
      </c>
      <c r="B86" s="48" t="n">
        <f aca="false">$B$4*(1-EXP(-A86/'3. Assumptions'!$B$46))</f>
        <v>33.8521237370132</v>
      </c>
      <c r="C86" s="48" t="n">
        <f aca="false">$B$4*SUMPRODUCT(('4. Survival and stay'!$A$5:$A$244&lt;=A86)*'4. Survival and stay'!$C$5:$C$244*(1-EXP(-(A86-'4. Survival and stay'!$A$5:$A$244)/'3. Assumptions'!$B$46)))</f>
        <v>456.340458082937</v>
      </c>
      <c r="D86" s="39" t="n">
        <f aca="false">C86/'2. The tape'!$B$11</f>
        <v>0.773458403530401</v>
      </c>
      <c r="E86" s="31" t="n">
        <f aca="false">$B$4*'2. The tape'!$B$15*'2. The tape'!$D$11*SUMPRODUCT(('4. Survival and stay'!$A$5:$A$244&lt;=A86)*'4. Survival and stay'!$C$5:$C$244*'5. The rent roll'!$D$5:$D$244*(1-EXP(-(A86-'4. Survival and stay'!$A$5:$A$244)/'3. Assumptions'!$B$46)))</f>
        <v>954421.706117487</v>
      </c>
      <c r="F86" s="49" t="n">
        <f aca="false">IF(C86&gt;0.000000001,E86/(C86*'2. The tape'!$B$15),'2. The tape'!$D$11)</f>
        <v>35.6020320686444</v>
      </c>
      <c r="G86" s="31" t="n">
        <f aca="false">E86*(1+'3. Assumptions'!$B$19+'3. Assumptions'!$B$20+'3. Assumptions'!$B$22)</f>
        <v>1055590.40696594</v>
      </c>
      <c r="H86" s="31" t="n">
        <f aca="false">G86-'6. Income and costs'!$B$39-'3. Assumptions'!$B$31*B86*12-E86*('3. Assumptions'!$B$20*(1-'3. Assumptions'!$B$21)+'3. Assumptions'!$B$33)-G86*('3. Assumptions'!$B$26+'3. Assumptions'!$B$32)</f>
        <v>473688.567445049</v>
      </c>
      <c r="I86" s="34" t="str">
        <f aca="false">IF(H86&gt;0,"Yes","No")</f>
        <v>Yes</v>
      </c>
      <c r="J86" s="34" t="n">
        <f aca="false">IF(H86&gt;0,A86,"")</f>
        <v>74</v>
      </c>
      <c r="K86" s="34" t="n">
        <f aca="false">IF(D86&gt;=0.95*'3. Assumptions'!$B$17,A86,"")</f>
        <v>74</v>
      </c>
    </row>
    <row r="87" customFormat="false" ht="15" hidden="false" customHeight="false" outlineLevel="0" collapsed="false">
      <c r="A87" s="34" t="n">
        <v>75</v>
      </c>
      <c r="B87" s="48" t="n">
        <f aca="false">$B$4*(1-EXP(-A87/'3. Assumptions'!$B$46))</f>
        <v>33.864000216941</v>
      </c>
      <c r="C87" s="48" t="n">
        <f aca="false">$B$4*SUMPRODUCT(('4. Survival and stay'!$A$5:$A$244&lt;=A87)*'4. Survival and stay'!$C$5:$C$244*(1-EXP(-(A87-'4. Survival and stay'!$A$5:$A$244)/'3. Assumptions'!$B$46)))</f>
        <v>457.133860563672</v>
      </c>
      <c r="D87" s="39" t="n">
        <f aca="false">C87/'2. The tape'!$B$11</f>
        <v>0.774803153497749</v>
      </c>
      <c r="E87" s="31" t="n">
        <f aca="false">$B$4*'2. The tape'!$B$15*'2. The tape'!$D$11*SUMPRODUCT(('4. Survival and stay'!$A$5:$A$244&lt;=A87)*'4. Survival and stay'!$C$5:$C$244*'5. The rent roll'!$D$5:$D$244*(1-EXP(-(A87-'4. Survival and stay'!$A$5:$A$244)/'3. Assumptions'!$B$46)))</f>
        <v>956572.074202313</v>
      </c>
      <c r="F87" s="49" t="n">
        <f aca="false">IF(C87&gt;0.000000001,E87/(C87*'2. The tape'!$B$15),'2. The tape'!$D$11)</f>
        <v>35.6203153554204</v>
      </c>
      <c r="G87" s="31" t="n">
        <f aca="false">E87*(1+'3. Assumptions'!$B$19+'3. Assumptions'!$B$20+'3. Assumptions'!$B$22)</f>
        <v>1057968.71406776</v>
      </c>
      <c r="H87" s="31" t="n">
        <f aca="false">G87-'6. Income and costs'!$B$39-'3. Assumptions'!$B$31*B87*12-E87*('3. Assumptions'!$B$20*(1-'3. Assumptions'!$B$21)+'3. Assumptions'!$B$33)-G87*('3. Assumptions'!$B$26+'3. Assumptions'!$B$32)</f>
        <v>475817.446004158</v>
      </c>
      <c r="I87" s="34" t="str">
        <f aca="false">IF(H87&gt;0,"Yes","No")</f>
        <v>Yes</v>
      </c>
      <c r="J87" s="34" t="n">
        <f aca="false">IF(H87&gt;0,A87,"")</f>
        <v>75</v>
      </c>
      <c r="K87" s="34" t="n">
        <f aca="false">IF(D87&gt;=0.95*'3. Assumptions'!$B$17,A87,"")</f>
        <v>75</v>
      </c>
    </row>
    <row r="88" customFormat="false" ht="15" hidden="false" customHeight="false" outlineLevel="0" collapsed="false">
      <c r="A88" s="34" t="n">
        <v>76</v>
      </c>
      <c r="B88" s="48" t="n">
        <f aca="false">$B$4*(1-EXP(-A88/'3. Assumptions'!$B$46))</f>
        <v>33.8750579653558</v>
      </c>
      <c r="C88" s="48" t="n">
        <f aca="false">$B$4*SUMPRODUCT(('4. Survival and stay'!$A$5:$A$244&lt;=A88)*'4. Survival and stay'!$C$5:$C$244*(1-EXP(-(A88-'4. Survival and stay'!$A$5:$A$244)/'3. Assumptions'!$B$46)))</f>
        <v>457.881419932565</v>
      </c>
      <c r="D88" s="39" t="n">
        <f aca="false">C88/'2. The tape'!$B$11</f>
        <v>0.776070203275534</v>
      </c>
      <c r="E88" s="31" t="n">
        <f aca="false">$B$4*'2. The tape'!$B$15*'2. The tape'!$D$11*SUMPRODUCT(('4. Survival and stay'!$A$5:$A$244&lt;=A88)*'4. Survival and stay'!$C$5:$C$244*'5. The rent roll'!$D$5:$D$244*(1-EXP(-(A88-'4. Survival and stay'!$A$5:$A$244)/'3. Assumptions'!$B$46)))</f>
        <v>958601.706342517</v>
      </c>
      <c r="F88" s="49" t="n">
        <f aca="false">IF(C88&gt;0.000000001,E88/(C88*'2. The tape'!$B$15),'2. The tape'!$D$11)</f>
        <v>35.6376148593502</v>
      </c>
      <c r="G88" s="31" t="n">
        <f aca="false">E88*(1+'3. Assumptions'!$B$19+'3. Assumptions'!$B$20+'3. Assumptions'!$B$22)</f>
        <v>1060213.48721482</v>
      </c>
      <c r="H88" s="31" t="n">
        <f aca="false">G88-'6. Income and costs'!$B$39-'3. Assumptions'!$B$31*B88*12-E88*('3. Assumptions'!$B$20*(1-'3. Assumptions'!$B$21)+'3. Assumptions'!$B$33)-G88*('3. Assumptions'!$B$26+'3. Assumptions'!$B$32)</f>
        <v>477827.025297067</v>
      </c>
      <c r="I88" s="34" t="str">
        <f aca="false">IF(H88&gt;0,"Yes","No")</f>
        <v>Yes</v>
      </c>
      <c r="J88" s="34" t="n">
        <f aca="false">IF(H88&gt;0,A88,"")</f>
        <v>76</v>
      </c>
      <c r="K88" s="34" t="n">
        <f aca="false">IF(D88&gt;=0.95*'3. Assumptions'!$B$17,A88,"")</f>
        <v>76</v>
      </c>
    </row>
    <row r="89" customFormat="false" ht="15" hidden="false" customHeight="false" outlineLevel="0" collapsed="false">
      <c r="A89" s="34" t="n">
        <v>77</v>
      </c>
      <c r="B89" s="48" t="n">
        <f aca="false">$B$4*(1-EXP(-A89/'3. Assumptions'!$B$46))</f>
        <v>33.8853534233321</v>
      </c>
      <c r="C89" s="48" t="n">
        <f aca="false">$B$4*SUMPRODUCT(('4. Survival and stay'!$A$5:$A$244&lt;=A89)*'4. Survival and stay'!$C$5:$C$244*(1-EXP(-(A89-'4. Survival and stay'!$A$5:$A$244)/'3. Assumptions'!$B$46)))</f>
        <v>458.585707838308</v>
      </c>
      <c r="D89" s="39" t="n">
        <f aca="false">C89/'2. The tape'!$B$11</f>
        <v>0.777263911590352</v>
      </c>
      <c r="E89" s="31" t="n">
        <f aca="false">$B$4*'2. The tape'!$B$15*'2. The tape'!$D$11*SUMPRODUCT(('4. Survival and stay'!$A$5:$A$244&lt;=A89)*'4. Survival and stay'!$C$5:$C$244*'5. The rent roll'!$D$5:$D$244*(1-EXP(-(A89-'4. Survival and stay'!$A$5:$A$244)/'3. Assumptions'!$B$46)))</f>
        <v>960517.096692335</v>
      </c>
      <c r="F89" s="49" t="n">
        <f aca="false">IF(C89&gt;0.000000001,E89/(C89*'2. The tape'!$B$15),'2. The tape'!$D$11)</f>
        <v>35.6539817003918</v>
      </c>
      <c r="G89" s="31" t="n">
        <f aca="false">E89*(1+'3. Assumptions'!$B$19+'3. Assumptions'!$B$20+'3. Assumptions'!$B$22)</f>
        <v>1062331.90894172</v>
      </c>
      <c r="H89" s="31" t="n">
        <f aca="false">G89-'6. Income and costs'!$B$39-'3. Assumptions'!$B$31*B89*12-E89*('3. Assumptions'!$B$20*(1-'3. Assumptions'!$B$21)+'3. Assumptions'!$B$33)-G89*('3. Assumptions'!$B$26+'3. Assumptions'!$B$32)</f>
        <v>479723.703413255</v>
      </c>
      <c r="I89" s="34" t="str">
        <f aca="false">IF(H89&gt;0,"Yes","No")</f>
        <v>Yes</v>
      </c>
      <c r="J89" s="34" t="n">
        <f aca="false">IF(H89&gt;0,A89,"")</f>
        <v>77</v>
      </c>
      <c r="K89" s="34" t="n">
        <f aca="false">IF(D89&gt;=0.95*'3. Assumptions'!$B$17,A89,"")</f>
        <v>77</v>
      </c>
    </row>
    <row r="90" customFormat="false" ht="15" hidden="false" customHeight="false" outlineLevel="0" collapsed="false">
      <c r="A90" s="34" t="n">
        <v>78</v>
      </c>
      <c r="B90" s="48" t="n">
        <f aca="false">$B$4*(1-EXP(-A90/'3. Assumptions'!$B$46))</f>
        <v>33.8949391410538</v>
      </c>
      <c r="C90" s="48" t="n">
        <f aca="false">$B$4*SUMPRODUCT(('4. Survival and stay'!$A$5:$A$244&lt;=A90)*'4. Survival and stay'!$C$5:$C$244*(1-EXP(-(A90-'4. Survival and stay'!$A$5:$A$244)/'3. Assumptions'!$B$46)))</f>
        <v>459.249157792372</v>
      </c>
      <c r="D90" s="39" t="n">
        <f aca="false">C90/'2. The tape'!$B$11</f>
        <v>0.778388403037918</v>
      </c>
      <c r="E90" s="31" t="n">
        <f aca="false">$B$4*'2. The tape'!$B$15*'2. The tape'!$D$11*SUMPRODUCT(('4. Survival and stay'!$A$5:$A$244&lt;=A90)*'4. Survival and stay'!$C$5:$C$244*'5. The rent roll'!$D$5:$D$244*(1-EXP(-(A90-'4. Survival and stay'!$A$5:$A$244)/'3. Assumptions'!$B$46)))</f>
        <v>962324.413348634</v>
      </c>
      <c r="F90" s="49" t="n">
        <f aca="false">IF(C90&gt;0.000000001,E90/(C90*'2. The tape'!$B$15),'2. The tape'!$D$11)</f>
        <v>35.6694644137763</v>
      </c>
      <c r="G90" s="31" t="n">
        <f aca="false">E90*(1+'3. Assumptions'!$B$19+'3. Assumptions'!$B$20+'3. Assumptions'!$B$22)</f>
        <v>1064330.80116359</v>
      </c>
      <c r="H90" s="31" t="n">
        <f aca="false">G90-'6. Income and costs'!$B$39-'3. Assumptions'!$B$31*B90*12-E90*('3. Assumptions'!$B$20*(1-'3. Assumptions'!$B$21)+'3. Assumptions'!$B$33)-G90*('3. Assumptions'!$B$26+'3. Assumptions'!$B$32)</f>
        <v>481513.558809371</v>
      </c>
      <c r="I90" s="34" t="str">
        <f aca="false">IF(H90&gt;0,"Yes","No")</f>
        <v>Yes</v>
      </c>
      <c r="J90" s="34" t="n">
        <f aca="false">IF(H90&gt;0,A90,"")</f>
        <v>78</v>
      </c>
      <c r="K90" s="34" t="n">
        <f aca="false">IF(D90&gt;=0.95*'3. Assumptions'!$B$17,A90,"")</f>
        <v>78</v>
      </c>
    </row>
    <row r="91" customFormat="false" ht="15" hidden="false" customHeight="false" outlineLevel="0" collapsed="false">
      <c r="A91" s="34" t="n">
        <v>79</v>
      </c>
      <c r="B91" s="48" t="n">
        <f aca="false">$B$4*(1-EXP(-A91/'3. Assumptions'!$B$46))</f>
        <v>33.9038640460413</v>
      </c>
      <c r="C91" s="48" t="n">
        <f aca="false">$B$4*SUMPRODUCT(('4. Survival and stay'!$A$5:$A$244&lt;=A91)*'4. Survival and stay'!$C$5:$C$244*(1-EXP(-(A91-'4. Survival and stay'!$A$5:$A$244)/'3. Assumptions'!$B$46)))</f>
        <v>459.87384067769</v>
      </c>
      <c r="D91" s="39" t="n">
        <f aca="false">C91/'2. The tape'!$B$11</f>
        <v>0.779447187589306</v>
      </c>
      <c r="E91" s="31" t="n">
        <f aca="false">$B$4*'2. The tape'!$B$15*'2. The tape'!$D$11*SUMPRODUCT(('4. Survival and stay'!$A$5:$A$244&lt;=A91)*'4. Survival and stay'!$C$5:$C$244*'5. The rent roll'!$D$5:$D$244*(1-EXP(-(A91-'4. Survival and stay'!$A$5:$A$244)/'3. Assumptions'!$B$46)))</f>
        <v>964028.793700111</v>
      </c>
      <c r="F91" s="49" t="n">
        <f aca="false">IF(C91&gt;0.000000001,E91/(C91*'2. The tape'!$B$15),'2. The tape'!$D$11)</f>
        <v>35.6841004234077</v>
      </c>
      <c r="G91" s="31" t="n">
        <f aca="false">E91*(1+'3. Assumptions'!$B$19+'3. Assumptions'!$B$20+'3. Assumptions'!$B$22)</f>
        <v>1066215.84583232</v>
      </c>
      <c r="H91" s="31" t="n">
        <f aca="false">G91-'6. Income and costs'!$B$39-'3. Assumptions'!$B$31*B91*12-E91*('3. Assumptions'!$B$20*(1-'3. Assumptions'!$B$21)+'3. Assumptions'!$B$33)-G91*('3. Assumptions'!$B$26+'3. Assumptions'!$B$32)</f>
        <v>483201.646398586</v>
      </c>
      <c r="I91" s="34" t="str">
        <f aca="false">IF(H91&gt;0,"Yes","No")</f>
        <v>Yes</v>
      </c>
      <c r="J91" s="34" t="n">
        <f aca="false">IF(H91&gt;0,A91,"")</f>
        <v>79</v>
      </c>
      <c r="K91" s="34" t="n">
        <f aca="false">IF(D91&gt;=0.95*'3. Assumptions'!$B$17,A91,"")</f>
        <v>79</v>
      </c>
    </row>
    <row r="92" customFormat="false" ht="15" hidden="false" customHeight="false" outlineLevel="0" collapsed="false">
      <c r="A92" s="34" t="n">
        <v>80</v>
      </c>
      <c r="B92" s="48" t="n">
        <f aca="false">$B$4*(1-EXP(-A92/'3. Assumptions'!$B$46))</f>
        <v>33.9121736928875</v>
      </c>
      <c r="C92" s="48" t="n">
        <f aca="false">$B$4*SUMPRODUCT(('4. Survival and stay'!$A$5:$A$244&lt;=A92)*'4. Survival and stay'!$C$5:$C$244*(1-EXP(-(A92-'4. Survival and stay'!$A$5:$A$244)/'3. Assumptions'!$B$46)))</f>
        <v>460.461965527984</v>
      </c>
      <c r="D92" s="39" t="n">
        <f aca="false">C92/'2. The tape'!$B$11</f>
        <v>0.780444009369465</v>
      </c>
      <c r="E92" s="31" t="n">
        <f aca="false">$B$4*'2. The tape'!$B$15*'2. The tape'!$D$11*SUMPRODUCT(('4. Survival and stay'!$A$5:$A$244&lt;=A92)*'4. Survival and stay'!$C$5:$C$244*'5. The rent roll'!$D$5:$D$244*(1-EXP(-(A92-'4. Survival and stay'!$A$5:$A$244)/'3. Assumptions'!$B$46)))</f>
        <v>965635.893826556</v>
      </c>
      <c r="F92" s="49" t="n">
        <f aca="false">IF(C92&gt;0.000000001,E92/(C92*'2. The tape'!$B$15),'2. The tape'!$D$11)</f>
        <v>35.6979347096573</v>
      </c>
      <c r="G92" s="31" t="n">
        <f aca="false">E92*(1+'3. Assumptions'!$B$19+'3. Assumptions'!$B$20+'3. Assumptions'!$B$22)</f>
        <v>1067993.29857217</v>
      </c>
      <c r="H92" s="31" t="n">
        <f aca="false">G92-'6. Income and costs'!$B$39-'3. Assumptions'!$B$31*B92*12-E92*('3. Assumptions'!$B$20*(1-'3. Assumptions'!$B$21)+'3. Assumptions'!$B$33)-G92*('3. Assumptions'!$B$26+'3. Assumptions'!$B$32)</f>
        <v>484793.544050676</v>
      </c>
      <c r="I92" s="34" t="str">
        <f aca="false">IF(H92&gt;0,"Yes","No")</f>
        <v>Yes</v>
      </c>
      <c r="J92" s="34" t="n">
        <f aca="false">IF(H92&gt;0,A92,"")</f>
        <v>80</v>
      </c>
      <c r="K92" s="34" t="n">
        <f aca="false">IF(D92&gt;=0.95*'3. Assumptions'!$B$17,A92,"")</f>
        <v>80</v>
      </c>
    </row>
    <row r="93" customFormat="false" ht="15" hidden="false" customHeight="false" outlineLevel="0" collapsed="false">
      <c r="A93" s="34" t="n">
        <v>81</v>
      </c>
      <c r="B93" s="48" t="n">
        <f aca="false">$B$4*(1-EXP(-A93/'3. Assumptions'!$B$46))</f>
        <v>33.9199104957785</v>
      </c>
      <c r="C93" s="48" t="n">
        <f aca="false">$B$4*SUMPRODUCT(('4. Survival and stay'!$A$5:$A$244&lt;=A93)*'4. Survival and stay'!$C$5:$C$244*(1-EXP(-(A93-'4. Survival and stay'!$A$5:$A$244)/'3. Assumptions'!$B$46)))</f>
        <v>461.015619912435</v>
      </c>
      <c r="D93" s="39" t="n">
        <f aca="false">C93/'2. The tape'!$B$11</f>
        <v>0.781382406631245</v>
      </c>
      <c r="E93" s="31" t="n">
        <f aca="false">$B$4*'2. The tape'!$B$15*'2. The tape'!$D$11*SUMPRODUCT(('4. Survival and stay'!$A$5:$A$244&lt;=A93)*'4. Survival and stay'!$C$5:$C$244*'5. The rent roll'!$D$5:$D$244*(1-EXP(-(A93-'4. Survival and stay'!$A$5:$A$244)/'3. Assumptions'!$B$46)))</f>
        <v>967151.075657528</v>
      </c>
      <c r="F93" s="49" t="n">
        <f aca="false">IF(C93&gt;0.000000001,E93/(C93*'2. The tape'!$B$15),'2. The tape'!$D$11)</f>
        <v>35.7110099091665</v>
      </c>
      <c r="G93" s="31" t="n">
        <f aca="false">E93*(1+'3. Assumptions'!$B$19+'3. Assumptions'!$B$20+'3. Assumptions'!$B$22)</f>
        <v>1069669.08967723</v>
      </c>
      <c r="H93" s="31" t="n">
        <f aca="false">G93-'6. Income and costs'!$B$39-'3. Assumptions'!$B$31*B93*12-E93*('3. Assumptions'!$B$20*(1-'3. Assumptions'!$B$21)+'3. Assumptions'!$B$33)-G93*('3. Assumptions'!$B$26+'3. Assumptions'!$B$32)</f>
        <v>486294.540720955</v>
      </c>
      <c r="I93" s="34" t="str">
        <f aca="false">IF(H93&gt;0,"Yes","No")</f>
        <v>Yes</v>
      </c>
      <c r="J93" s="34" t="n">
        <f aca="false">IF(H93&gt;0,A93,"")</f>
        <v>81</v>
      </c>
      <c r="K93" s="34" t="n">
        <f aca="false">IF(D93&gt;=0.95*'3. Assumptions'!$B$17,A93,"")</f>
        <v>81</v>
      </c>
    </row>
    <row r="94" customFormat="false" ht="15" hidden="false" customHeight="false" outlineLevel="0" collapsed="false">
      <c r="A94" s="34" t="n">
        <v>82</v>
      </c>
      <c r="B94" s="48" t="n">
        <f aca="false">$B$4*(1-EXP(-A94/'3. Assumptions'!$B$46))</f>
        <v>33.9271139449842</v>
      </c>
      <c r="C94" s="48" t="n">
        <f aca="false">$B$4*SUMPRODUCT(('4. Survival and stay'!$A$5:$A$244&lt;=A94)*'4. Survival and stay'!$C$5:$C$244*(1-EXP(-(A94-'4. Survival and stay'!$A$5:$A$244)/'3. Assumptions'!$B$46)))</f>
        <v>461.536776259575</v>
      </c>
      <c r="D94" s="39" t="n">
        <f aca="false">C94/'2. The tape'!$B$11</f>
        <v>0.782265722473857</v>
      </c>
      <c r="E94" s="31" t="n">
        <f aca="false">$B$4*'2. The tape'!$B$15*'2. The tape'!$D$11*SUMPRODUCT(('4. Survival and stay'!$A$5:$A$244&lt;=A94)*'4. Survival and stay'!$C$5:$C$244*'5. The rent roll'!$D$5:$D$244*(1-EXP(-(A94-'4. Survival and stay'!$A$5:$A$244)/'3. Assumptions'!$B$46)))</f>
        <v>968579.420881933</v>
      </c>
      <c r="F94" s="49" t="n">
        <f aca="false">IF(C94&gt;0.000000001,E94/(C94*'2. The tape'!$B$15),'2. The tape'!$D$11)</f>
        <v>35.7233664397408</v>
      </c>
      <c r="G94" s="31" t="n">
        <f aca="false">E94*(1+'3. Assumptions'!$B$19+'3. Assumptions'!$B$20+'3. Assumptions'!$B$22)</f>
        <v>1071248.83949542</v>
      </c>
      <c r="H94" s="31" t="n">
        <f aca="false">G94-'6. Income and costs'!$B$39-'3. Assumptions'!$B$31*B94*12-E94*('3. Assumptions'!$B$20*(1-'3. Assumptions'!$B$21)+'3. Assumptions'!$B$33)-G94*('3. Assumptions'!$B$26+'3. Assumptions'!$B$32)</f>
        <v>487709.650009281</v>
      </c>
      <c r="I94" s="34" t="str">
        <f aca="false">IF(H94&gt;0,"Yes","No")</f>
        <v>Yes</v>
      </c>
      <c r="J94" s="34" t="n">
        <f aca="false">IF(H94&gt;0,A94,"")</f>
        <v>82</v>
      </c>
      <c r="K94" s="34" t="n">
        <f aca="false">IF(D94&gt;=0.95*'3. Assumptions'!$B$17,A94,"")</f>
        <v>82</v>
      </c>
    </row>
    <row r="95" customFormat="false" ht="15" hidden="false" customHeight="false" outlineLevel="0" collapsed="false">
      <c r="A95" s="34" t="n">
        <v>83</v>
      </c>
      <c r="B95" s="48" t="n">
        <f aca="false">$B$4*(1-EXP(-A95/'3. Assumptions'!$B$46))</f>
        <v>33.9338208084252</v>
      </c>
      <c r="C95" s="48" t="n">
        <f aca="false">$B$4*SUMPRODUCT(('4. Survival and stay'!$A$5:$A$244&lt;=A95)*'4. Survival and stay'!$C$5:$C$244*(1-EXP(-(A95-'4. Survival and stay'!$A$5:$A$244)/'3. Assumptions'!$B$46)))</f>
        <v>462.027297881526</v>
      </c>
      <c r="D95" s="39" t="n">
        <f aca="false">C95/'2. The tape'!$B$11</f>
        <v>0.783097115053434</v>
      </c>
      <c r="E95" s="31" t="n">
        <f aca="false">$B$4*'2. The tape'!$B$15*'2. The tape'!$D$11*SUMPRODUCT(('4. Survival and stay'!$A$5:$A$244&lt;=A95)*'4. Survival and stay'!$C$5:$C$244*'5. The rent roll'!$D$5:$D$244*(1-EXP(-(A95-'4. Survival and stay'!$A$5:$A$244)/'3. Assumptions'!$B$46)))</f>
        <v>969925.74432221</v>
      </c>
      <c r="F95" s="49" t="n">
        <f aca="false">IF(C95&gt;0.000000001,E95/(C95*'2. The tape'!$B$15),'2. The tape'!$D$11)</f>
        <v>35.7350426176763</v>
      </c>
      <c r="G95" s="31" t="n">
        <f aca="false">E95*(1+'3. Assumptions'!$B$19+'3. Assumptions'!$B$20+'3. Assumptions'!$B$22)</f>
        <v>1072737.87322036</v>
      </c>
      <c r="H95" s="31" t="n">
        <f aca="false">G95-'6. Income and costs'!$B$39-'3. Assumptions'!$B$31*B95*12-E95*('3. Assumptions'!$B$20*(1-'3. Assumptions'!$B$21)+'3. Assumptions'!$B$33)-G95*('3. Assumptions'!$B$26+'3. Assumptions'!$B$32)</f>
        <v>489043.623207136</v>
      </c>
      <c r="I95" s="34" t="str">
        <f aca="false">IF(H95&gt;0,"Yes","No")</f>
        <v>Yes</v>
      </c>
      <c r="J95" s="34" t="n">
        <f aca="false">IF(H95&gt;0,A95,"")</f>
        <v>83</v>
      </c>
      <c r="K95" s="34" t="n">
        <f aca="false">IF(D95&gt;=0.95*'3. Assumptions'!$B$17,A95,"")</f>
        <v>83</v>
      </c>
    </row>
    <row r="96" customFormat="false" ht="15" hidden="false" customHeight="false" outlineLevel="0" collapsed="false">
      <c r="A96" s="34" t="n">
        <v>84</v>
      </c>
      <c r="B96" s="48" t="n">
        <f aca="false">$B$4*(1-EXP(-A96/'3. Assumptions'!$B$46))</f>
        <v>33.9400653193436</v>
      </c>
      <c r="C96" s="48" t="n">
        <f aca="false">$B$4*SUMPRODUCT(('4. Survival and stay'!$A$5:$A$244&lt;=A96)*'4. Survival and stay'!$C$5:$C$244*(1-EXP(-(A96-'4. Survival and stay'!$A$5:$A$244)/'3. Assumptions'!$B$46)))</f>
        <v>462.488944710161</v>
      </c>
      <c r="D96" s="39" t="n">
        <f aca="false">C96/'2. The tape'!$B$11</f>
        <v>0.783879567305358</v>
      </c>
      <c r="E96" s="31" t="n">
        <f aca="false">$B$4*'2. The tape'!$B$15*'2. The tape'!$D$11*SUMPRODUCT(('4. Survival and stay'!$A$5:$A$244&lt;=A96)*'4. Survival and stay'!$C$5:$C$244*'5. The rent roll'!$D$5:$D$244*(1-EXP(-(A96-'4. Survival and stay'!$A$5:$A$244)/'3. Assumptions'!$B$46)))</f>
        <v>971194.60678187</v>
      </c>
      <c r="F96" s="49" t="n">
        <f aca="false">IF(C96&gt;0.000000001,E96/(C96*'2. The tape'!$B$15),'2. The tape'!$D$11)</f>
        <v>35.7460747681172</v>
      </c>
      <c r="G96" s="31" t="n">
        <f aca="false">E96*(1+'3. Assumptions'!$B$19+'3. Assumptions'!$B$20+'3. Assumptions'!$B$22)</f>
        <v>1074141.23510075</v>
      </c>
      <c r="H96" s="31" t="n">
        <f aca="false">G96-'6. Income and costs'!$B$39-'3. Assumptions'!$B$31*B96*12-E96*('3. Assumptions'!$B$20*(1-'3. Assumptions'!$B$21)+'3. Assumptions'!$B$33)-G96*('3. Assumptions'!$B$26+'3. Assumptions'!$B$32)</f>
        <v>490300.961839982</v>
      </c>
      <c r="I96" s="34" t="str">
        <f aca="false">IF(H96&gt;0,"Yes","No")</f>
        <v>Yes</v>
      </c>
      <c r="J96" s="34" t="n">
        <f aca="false">IF(H96&gt;0,A96,"")</f>
        <v>84</v>
      </c>
      <c r="K96" s="34" t="n">
        <f aca="false">IF(D96&gt;=0.95*'3. Assumptions'!$B$17,A96,"")</f>
        <v>84</v>
      </c>
    </row>
    <row r="97" customFormat="false" ht="15" hidden="false" customHeight="false" outlineLevel="0" collapsed="false">
      <c r="A97" s="34" t="n">
        <v>85</v>
      </c>
      <c r="B97" s="48" t="n">
        <f aca="false">$B$4*(1-EXP(-A97/'3. Assumptions'!$B$46))</f>
        <v>33.9458793510372</v>
      </c>
      <c r="C97" s="48" t="n">
        <f aca="false">$B$4*SUMPRODUCT(('4. Survival and stay'!$A$5:$A$244&lt;=A97)*'4. Survival and stay'!$C$5:$C$244*(1-EXP(-(A97-'4. Survival and stay'!$A$5:$A$244)/'3. Assumptions'!$B$46)))</f>
        <v>462.923230544503</v>
      </c>
      <c r="D97" s="39" t="n">
        <f aca="false">C97/'2. The tape'!$B$11</f>
        <v>0.784615644990683</v>
      </c>
      <c r="E97" s="31" t="n">
        <f aca="false">$B$4*'2. The tape'!$B$15*'2. The tape'!$D$11*SUMPRODUCT(('4. Survival and stay'!$A$5:$A$244&lt;=A97)*'4. Survival and stay'!$C$5:$C$244*'5. The rent roll'!$D$5:$D$244*(1-EXP(-(A97-'4. Survival and stay'!$A$5:$A$244)/'3. Assumptions'!$B$46)))</f>
        <v>972389.866851953</v>
      </c>
      <c r="F97" s="49" t="n">
        <f aca="false">IF(C97&gt;0.000000001,E97/(C97*'2. The tape'!$B$15),'2. The tape'!$D$11)</f>
        <v>35.7564918426826</v>
      </c>
      <c r="G97" s="31" t="n">
        <f aca="false">E97*(1+'3. Assumptions'!$B$19+'3. Assumptions'!$B$20+'3. Assumptions'!$B$22)</f>
        <v>1075463.19273826</v>
      </c>
      <c r="H97" s="31" t="n">
        <f aca="false">G97-'6. Income and costs'!$B$39-'3. Assumptions'!$B$31*B97*12-E97*('3. Assumptions'!$B$20*(1-'3. Assumptions'!$B$21)+'3. Assumptions'!$B$33)-G97*('3. Assumptions'!$B$26+'3. Assumptions'!$B$32)</f>
        <v>491485.469938225</v>
      </c>
      <c r="I97" s="34" t="str">
        <f aca="false">IF(H97&gt;0,"Yes","No")</f>
        <v>Yes</v>
      </c>
      <c r="J97" s="34" t="n">
        <f aca="false">IF(H97&gt;0,A97,"")</f>
        <v>85</v>
      </c>
      <c r="K97" s="34" t="n">
        <f aca="false">IF(D97&gt;=0.95*'3. Assumptions'!$B$17,A97,"")</f>
        <v>85</v>
      </c>
    </row>
    <row r="98" customFormat="false" ht="15" hidden="false" customHeight="false" outlineLevel="0" collapsed="false">
      <c r="A98" s="34" t="n">
        <v>86</v>
      </c>
      <c r="B98" s="48" t="n">
        <f aca="false">$B$4*(1-EXP(-A98/'3. Assumptions'!$B$46))</f>
        <v>33.9512925795471</v>
      </c>
      <c r="C98" s="48" t="n">
        <f aca="false">$B$4*SUMPRODUCT(('4. Survival and stay'!$A$5:$A$244&lt;=A98)*'4. Survival and stay'!$C$5:$C$244*(1-EXP(-(A98-'4. Survival and stay'!$A$5:$A$244)/'3. Assumptions'!$B$46)))</f>
        <v>463.331744742396</v>
      </c>
      <c r="D98" s="39" t="n">
        <f aca="false">C98/'2. The tape'!$B$11</f>
        <v>0.785308041936264</v>
      </c>
      <c r="E98" s="31" t="n">
        <f aca="false">$B$4*'2. The tape'!$B$15*'2. The tape'!$D$11*SUMPRODUCT(('4. Survival and stay'!$A$5:$A$244&lt;=A98)*'4. Survival and stay'!$C$5:$C$244*'5. The rent roll'!$D$5:$D$244*(1-EXP(-(A98-'4. Survival and stay'!$A$5:$A$244)/'3. Assumptions'!$B$46)))</f>
        <v>973515.676157426</v>
      </c>
      <c r="F98" s="49" t="n">
        <f aca="false">IF(C98&gt;0.000000001,E98/(C98*'2. The tape'!$B$15),'2. The tape'!$D$11)</f>
        <v>35.7663272559514</v>
      </c>
      <c r="G98" s="31" t="n">
        <f aca="false">E98*(1+'3. Assumptions'!$B$19+'3. Assumptions'!$B$20+'3. Assumptions'!$B$22)</f>
        <v>1076708.33783011</v>
      </c>
      <c r="H98" s="31" t="n">
        <f aca="false">G98-'6. Income and costs'!$B$39-'3. Assumptions'!$B$31*B98*12-E98*('3. Assumptions'!$B$20*(1-'3. Assumptions'!$B$21)+'3. Assumptions'!$B$33)-G98*('3. Assumptions'!$B$26+'3. Assumptions'!$B$32)</f>
        <v>492601.247417908</v>
      </c>
      <c r="I98" s="34" t="str">
        <f aca="false">IF(H98&gt;0,"Yes","No")</f>
        <v>Yes</v>
      </c>
      <c r="J98" s="34" t="n">
        <f aca="false">IF(H98&gt;0,A98,"")</f>
        <v>86</v>
      </c>
      <c r="K98" s="34" t="n">
        <f aca="false">IF(D98&gt;=0.95*'3. Assumptions'!$B$17,A98,"")</f>
        <v>86</v>
      </c>
    </row>
    <row r="99" customFormat="false" ht="15" hidden="false" customHeight="false" outlineLevel="0" collapsed="false">
      <c r="A99" s="34" t="n">
        <v>87</v>
      </c>
      <c r="B99" s="48" t="n">
        <f aca="false">$B$4*(1-EXP(-A99/'3. Assumptions'!$B$46))</f>
        <v>33.9563326351307</v>
      </c>
      <c r="C99" s="48" t="n">
        <f aca="false">$B$4*SUMPRODUCT(('4. Survival and stay'!$A$5:$A$244&lt;=A99)*'4. Survival and stay'!$C$5:$C$244*(1-EXP(-(A99-'4. Survival and stay'!$A$5:$A$244)/'3. Assumptions'!$B$46)))</f>
        <v>463.71598683517</v>
      </c>
      <c r="D99" s="39" t="n">
        <f aca="false">C99/'2. The tape'!$B$11</f>
        <v>0.785959299720628</v>
      </c>
      <c r="E99" s="31" t="n">
        <f aca="false">$B$4*'2. The tape'!$B$15*'2. The tape'!$D$11*SUMPRODUCT(('4. Survival and stay'!$A$5:$A$244&lt;=A99)*'4. Survival and stay'!$C$5:$C$244*'5. The rent roll'!$D$5:$D$244*(1-EXP(-(A99-'4. Survival and stay'!$A$5:$A$244)/'3. Assumptions'!$B$46)))</f>
        <v>974575.961455994</v>
      </c>
      <c r="F99" s="49" t="n">
        <f aca="false">IF(C99&gt;0.000000001,E99/(C99*'2. The tape'!$B$15),'2. The tape'!$D$11)</f>
        <v>35.7756126434948</v>
      </c>
      <c r="G99" s="31" t="n">
        <f aca="false">E99*(1+'3. Assumptions'!$B$19+'3. Assumptions'!$B$20+'3. Assumptions'!$B$22)</f>
        <v>1077881.01337033</v>
      </c>
      <c r="H99" s="31" t="n">
        <f aca="false">G99-'6. Income and costs'!$B$39-'3. Assumptions'!$B$31*B99*12-E99*('3. Assumptions'!$B$20*(1-'3. Assumptions'!$B$21)+'3. Assumptions'!$B$33)-G99*('3. Assumptions'!$B$26+'3. Assumptions'!$B$32)</f>
        <v>493652.172792694</v>
      </c>
      <c r="I99" s="34" t="str">
        <f aca="false">IF(H99&gt;0,"Yes","No")</f>
        <v>Yes</v>
      </c>
      <c r="J99" s="34" t="n">
        <f aca="false">IF(H99&gt;0,A99,"")</f>
        <v>87</v>
      </c>
      <c r="K99" s="34" t="n">
        <f aca="false">IF(D99&gt;=0.95*'3. Assumptions'!$B$17,A99,"")</f>
        <v>87</v>
      </c>
    </row>
    <row r="100" customFormat="false" ht="15" hidden="false" customHeight="false" outlineLevel="0" collapsed="false">
      <c r="A100" s="34" t="n">
        <v>88</v>
      </c>
      <c r="B100" s="48" t="n">
        <f aca="false">$B$4*(1-EXP(-A100/'3. Assumptions'!$B$46))</f>
        <v>33.9610252432923</v>
      </c>
      <c r="C100" s="48" t="n">
        <f aca="false">$B$4*SUMPRODUCT(('4. Survival and stay'!$A$5:$A$244&lt;=A100)*'4. Survival and stay'!$C$5:$C$244*(1-EXP(-(A100-'4. Survival and stay'!$A$5:$A$244)/'3. Assumptions'!$B$46)))</f>
        <v>464.077371407363</v>
      </c>
      <c r="D100" s="39" t="n">
        <f aca="false">C100/'2. The tape'!$B$11</f>
        <v>0.786571815944683</v>
      </c>
      <c r="E100" s="31" t="n">
        <f aca="false">$B$4*'2. The tape'!$B$15*'2. The tape'!$D$11*SUMPRODUCT(('4. Survival and stay'!$A$5:$A$244&lt;=A100)*'4. Survival and stay'!$C$5:$C$244*'5. The rent roll'!$D$5:$D$244*(1-EXP(-(A100-'4. Survival and stay'!$A$5:$A$244)/'3. Assumptions'!$B$46)))</f>
        <v>975574.436061104</v>
      </c>
      <c r="F100" s="49" t="n">
        <f aca="false">IF(C100&gt;0.000000001,E100/(C100*'2. The tape'!$B$15),'2. The tape'!$D$11)</f>
        <v>35.7843779573565</v>
      </c>
      <c r="G100" s="31" t="n">
        <f aca="false">E100*(1+'3. Assumptions'!$B$19+'3. Assumptions'!$B$20+'3. Assumptions'!$B$22)</f>
        <v>1078985.32628358</v>
      </c>
      <c r="H100" s="31" t="n">
        <f aca="false">G100-'6. Income and costs'!$B$39-'3. Assumptions'!$B$31*B100*12-E100*('3. Assumptions'!$B$20*(1-'3. Assumptions'!$B$21)+'3. Assumptions'!$B$33)-G100*('3. Assumptions'!$B$26+'3. Assumptions'!$B$32)</f>
        <v>494641.914364639</v>
      </c>
      <c r="I100" s="34" t="str">
        <f aca="false">IF(H100&gt;0,"Yes","No")</f>
        <v>Yes</v>
      </c>
      <c r="J100" s="34" t="n">
        <f aca="false">IF(H100&gt;0,A100,"")</f>
        <v>88</v>
      </c>
      <c r="K100" s="34" t="n">
        <f aca="false">IF(D100&gt;=0.95*'3. Assumptions'!$B$17,A100,"")</f>
        <v>88</v>
      </c>
    </row>
    <row r="101" customFormat="false" ht="15" hidden="false" customHeight="false" outlineLevel="0" collapsed="false">
      <c r="A101" s="34" t="n">
        <v>89</v>
      </c>
      <c r="B101" s="48" t="n">
        <f aca="false">$B$4*(1-EXP(-A101/'3. Assumptions'!$B$46))</f>
        <v>33.9653943560912</v>
      </c>
      <c r="C101" s="48" t="n">
        <f aca="false">$B$4*SUMPRODUCT(('4. Survival and stay'!$A$5:$A$244&lt;=A101)*'4. Survival and stay'!$C$5:$C$244*(1-EXP(-(A101-'4. Survival and stay'!$A$5:$A$244)/'3. Assumptions'!$B$46)))</f>
        <v>464.417232727335</v>
      </c>
      <c r="D101" s="39" t="n">
        <f aca="false">C101/'2. The tape'!$B$11</f>
        <v>0.787147852080229</v>
      </c>
      <c r="E101" s="31" t="n">
        <f aca="false">$B$4*'2. The tape'!$B$15*'2. The tape'!$D$11*SUMPRODUCT(('4. Survival and stay'!$A$5:$A$244&lt;=A101)*'4. Survival and stay'!$C$5:$C$244*'5. The rent roll'!$D$5:$D$244*(1-EXP(-(A101-'4. Survival and stay'!$A$5:$A$244)/'3. Assumptions'!$B$46)))</f>
        <v>976514.6107487</v>
      </c>
      <c r="F101" s="49" t="n">
        <f aca="false">IF(C101&gt;0.000000001,E101/(C101*'2. The tape'!$B$15),'2. The tape'!$D$11)</f>
        <v>35.7926515559457</v>
      </c>
      <c r="G101" s="31" t="n">
        <f aca="false">E101*(1+'3. Assumptions'!$B$19+'3. Assumptions'!$B$20+'3. Assumptions'!$B$22)</f>
        <v>1080025.15948806</v>
      </c>
      <c r="H101" s="31" t="n">
        <f aca="false">G101-'6. Income and costs'!$B$39-'3. Assumptions'!$B$31*B101*12-E101*('3. Assumptions'!$B$20*(1-'3. Assumptions'!$B$21)+'3. Assumptions'!$B$33)-G101*('3. Assumptions'!$B$26+'3. Assumptions'!$B$32)</f>
        <v>495573.9409143</v>
      </c>
      <c r="I101" s="34" t="str">
        <f aca="false">IF(H101&gt;0,"Yes","No")</f>
        <v>Yes</v>
      </c>
      <c r="J101" s="34" t="n">
        <f aca="false">IF(H101&gt;0,A101,"")</f>
        <v>89</v>
      </c>
      <c r="K101" s="34" t="n">
        <f aca="false">IF(D101&gt;=0.95*'3. Assumptions'!$B$17,A101,"")</f>
        <v>89</v>
      </c>
    </row>
    <row r="102" customFormat="false" ht="15" hidden="false" customHeight="false" outlineLevel="0" collapsed="false">
      <c r="A102" s="34" t="n">
        <v>90</v>
      </c>
      <c r="B102" s="48" t="n">
        <f aca="false">$B$4*(1-EXP(-A102/'3. Assumptions'!$B$46))</f>
        <v>33.9694622743987</v>
      </c>
      <c r="C102" s="48" t="n">
        <f aca="false">$B$4*SUMPRODUCT(('4. Survival and stay'!$A$5:$A$244&lt;=A102)*'4. Survival and stay'!$C$5:$C$244*(1-EXP(-(A102-'4. Survival and stay'!$A$5:$A$244)/'3. Assumptions'!$B$46)))</f>
        <v>464.736829140156</v>
      </c>
      <c r="D102" s="39" t="n">
        <f aca="false">C102/'2. The tape'!$B$11</f>
        <v>0.787689540915519</v>
      </c>
      <c r="E102" s="31" t="n">
        <f aca="false">$B$4*'2. The tape'!$B$15*'2. The tape'!$D$11*SUMPRODUCT(('4. Survival and stay'!$A$5:$A$244&lt;=A102)*'4. Survival and stay'!$C$5:$C$244*'5. The rent roll'!$D$5:$D$244*(1-EXP(-(A102-'4. Survival and stay'!$A$5:$A$244)/'3. Assumptions'!$B$46)))</f>
        <v>977399.804165312</v>
      </c>
      <c r="F102" s="49" t="n">
        <f aca="false">IF(C102&gt;0.000000001,E102/(C102*'2. The tape'!$B$15),'2. The tape'!$D$11)</f>
        <v>35.8004602887489</v>
      </c>
      <c r="G102" s="31" t="n">
        <f aca="false">E102*(1+'3. Assumptions'!$B$19+'3. Assumptions'!$B$20+'3. Assumptions'!$B$22)</f>
        <v>1081004.18340684</v>
      </c>
      <c r="H102" s="31" t="n">
        <f aca="false">G102-'6. Income and costs'!$B$39-'3. Assumptions'!$B$31*B102*12-E102*('3. Assumptions'!$B$20*(1-'3. Assumptions'!$B$21)+'3. Assumptions'!$B$33)-G102*('3. Assumptions'!$B$26+'3. Assumptions'!$B$32)</f>
        <v>496451.531906685</v>
      </c>
      <c r="I102" s="34" t="str">
        <f aca="false">IF(H102&gt;0,"Yes","No")</f>
        <v>Yes</v>
      </c>
      <c r="J102" s="34" t="n">
        <f aca="false">IF(H102&gt;0,A102,"")</f>
        <v>90</v>
      </c>
      <c r="K102" s="34" t="n">
        <f aca="false">IF(D102&gt;=0.95*'3. Assumptions'!$B$17,A102,"")</f>
        <v>90</v>
      </c>
    </row>
    <row r="103" customFormat="false" ht="15" hidden="false" customHeight="false" outlineLevel="0" collapsed="false">
      <c r="A103" s="34" t="n">
        <v>91</v>
      </c>
      <c r="B103" s="48" t="n">
        <f aca="false">$B$4*(1-EXP(-A103/'3. Assumptions'!$B$46))</f>
        <v>33.9732497617256</v>
      </c>
      <c r="C103" s="48" t="n">
        <f aca="false">$B$4*SUMPRODUCT(('4. Survival and stay'!$A$5:$A$244&lt;=A103)*'4. Survival and stay'!$C$5:$C$244*(1-EXP(-(A103-'4. Survival and stay'!$A$5:$A$244)/'3. Assumptions'!$B$46)))</f>
        <v>465.037252308097</v>
      </c>
      <c r="D103" s="39" t="n">
        <f aca="false">C103/'2. The tape'!$B$11</f>
        <v>0.788198732725588</v>
      </c>
      <c r="E103" s="31" t="n">
        <f aca="false">$B$4*'2. The tape'!$B$15*'2. The tape'!$D$11*SUMPRODUCT(('4. Survival and stay'!$A$5:$A$244&lt;=A103)*'4. Survival and stay'!$C$5:$C$244*'5. The rent roll'!$D$5:$D$244*(1-EXP(-(A103-'4. Survival and stay'!$A$5:$A$244)/'3. Assumptions'!$B$46)))</f>
        <v>978232.857802228</v>
      </c>
      <c r="F103" s="49" t="n">
        <f aca="false">IF(C103&gt;0.000000001,E103/(C103*'2. The tape'!$B$15),'2. The tape'!$D$11)</f>
        <v>35.8078260888627</v>
      </c>
      <c r="G103" s="31" t="n">
        <f aca="false">E103*(1+'3. Assumptions'!$B$19+'3. Assumptions'!$B$20+'3. Assumptions'!$B$22)</f>
        <v>1081925.54072926</v>
      </c>
      <c r="H103" s="31" t="n">
        <f aca="false">G103-'6. Income and costs'!$B$39-'3. Assumptions'!$B$31*B103*12-E103*('3. Assumptions'!$B$20*(1-'3. Assumptions'!$B$21)+'3. Assumptions'!$B$33)-G103*('3. Assumptions'!$B$26+'3. Assumptions'!$B$32)</f>
        <v>497277.492756736</v>
      </c>
      <c r="I103" s="34" t="str">
        <f aca="false">IF(H103&gt;0,"Yes","No")</f>
        <v>Yes</v>
      </c>
      <c r="J103" s="34" t="n">
        <f aca="false">IF(H103&gt;0,A103,"")</f>
        <v>91</v>
      </c>
      <c r="K103" s="34" t="n">
        <f aca="false">IF(D103&gt;=0.95*'3. Assumptions'!$B$17,A103,"")</f>
        <v>91</v>
      </c>
    </row>
    <row r="104" customFormat="false" ht="15" hidden="false" customHeight="false" outlineLevel="0" collapsed="false">
      <c r="A104" s="34" t="n">
        <v>92</v>
      </c>
      <c r="B104" s="48" t="n">
        <f aca="false">$B$4*(1-EXP(-A104/'3. Assumptions'!$B$46))</f>
        <v>33.9767761502043</v>
      </c>
      <c r="C104" s="48" t="n">
        <f aca="false">$B$4*SUMPRODUCT(('4. Survival and stay'!$A$5:$A$244&lt;=A104)*'4. Survival and stay'!$C$5:$C$244*(1-EXP(-(A104-'4. Survival and stay'!$A$5:$A$244)/'3. Assumptions'!$B$46)))</f>
        <v>465.319633868276</v>
      </c>
      <c r="D104" s="39" t="n">
        <f aca="false">C104/'2. The tape'!$B$11</f>
        <v>0.788677345539451</v>
      </c>
      <c r="E104" s="31" t="n">
        <f aca="false">$B$4*'2. The tape'!$B$15*'2. The tape'!$D$11*SUMPRODUCT(('4. Survival and stay'!$A$5:$A$244&lt;=A104)*'4. Survival and stay'!$C$5:$C$244*'5. The rent roll'!$D$5:$D$244*(1-EXP(-(A104-'4. Survival and stay'!$A$5:$A$244)/'3. Assumptions'!$B$46)))</f>
        <v>979016.775311833</v>
      </c>
      <c r="F104" s="49" t="n">
        <f aca="false">IF(C104&gt;0.000000001,E104/(C104*'2. The tape'!$B$15),'2. The tape'!$D$11)</f>
        <v>35.8147735055779</v>
      </c>
      <c r="G104" s="31" t="n">
        <f aca="false">E104*(1+'3. Assumptions'!$B$19+'3. Assumptions'!$B$20+'3. Assumptions'!$B$22)</f>
        <v>1082792.55349489</v>
      </c>
      <c r="H104" s="31" t="n">
        <f aca="false">G104-'6. Income and costs'!$B$39-'3. Assumptions'!$B$31*B104*12-E104*('3. Assumptions'!$B$20*(1-'3. Assumptions'!$B$21)+'3. Assumptions'!$B$33)-G104*('3. Assumptions'!$B$26+'3. Assumptions'!$B$32)</f>
        <v>498054.792944957</v>
      </c>
      <c r="I104" s="34" t="str">
        <f aca="false">IF(H104&gt;0,"Yes","No")</f>
        <v>Yes</v>
      </c>
      <c r="J104" s="34" t="n">
        <f aca="false">IF(H104&gt;0,A104,"")</f>
        <v>92</v>
      </c>
      <c r="K104" s="34" t="n">
        <f aca="false">IF(D104&gt;=0.95*'3. Assumptions'!$B$17,A104,"")</f>
        <v>92</v>
      </c>
    </row>
    <row r="105" customFormat="false" ht="15" hidden="false" customHeight="false" outlineLevel="0" collapsed="false">
      <c r="A105" s="34" t="n">
        <v>93</v>
      </c>
      <c r="B105" s="48" t="n">
        <f aca="false">$B$4*(1-EXP(-A105/'3. Assumptions'!$B$46))</f>
        <v>33.9800594392636</v>
      </c>
      <c r="C105" s="48" t="n">
        <f aca="false">$B$4*SUMPRODUCT(('4. Survival and stay'!$A$5:$A$244&lt;=A105)*'4. Survival and stay'!$C$5:$C$244*(1-EXP(-(A105-'4. Survival and stay'!$A$5:$A$244)/'3. Assumptions'!$B$46)))</f>
        <v>465.585040088414</v>
      </c>
      <c r="D105" s="39" t="n">
        <f aca="false">C105/'2. The tape'!$B$11</f>
        <v>0.789127186590532</v>
      </c>
      <c r="E105" s="31" t="n">
        <f aca="false">$B$4*'2. The tape'!$B$15*'2. The tape'!$D$11*SUMPRODUCT(('4. Survival and stay'!$A$5:$A$244&lt;=A105)*'4. Survival and stay'!$C$5:$C$244*'5. The rent roll'!$D$5:$D$244*(1-EXP(-(A105-'4. Survival and stay'!$A$5:$A$244)/'3. Assumptions'!$B$46)))</f>
        <v>979754.392565889</v>
      </c>
      <c r="F105" s="49" t="n">
        <f aca="false">IF(C105&gt;0.000000001,E105/(C105*'2. The tape'!$B$15),'2. The tape'!$D$11)</f>
        <v>35.8213257548461</v>
      </c>
      <c r="G105" s="31" t="n">
        <f aca="false">E105*(1+'3. Assumptions'!$B$19+'3. Assumptions'!$B$20+'3. Assumptions'!$B$22)</f>
        <v>1083608.35817787</v>
      </c>
      <c r="H105" s="31" t="n">
        <f aca="false">G105-'6. Income and costs'!$B$39-'3. Assumptions'!$B$31*B105*12-E105*('3. Assumptions'!$B$20*(1-'3. Assumptions'!$B$21)+'3. Assumptions'!$B$33)-G105*('3. Assumptions'!$B$26+'3. Assumptions'!$B$32)</f>
        <v>498786.236463026</v>
      </c>
      <c r="I105" s="34" t="str">
        <f aca="false">IF(H105&gt;0,"Yes","No")</f>
        <v>Yes</v>
      </c>
      <c r="J105" s="34" t="n">
        <f aca="false">IF(H105&gt;0,A105,"")</f>
        <v>93</v>
      </c>
      <c r="K105" s="34" t="n">
        <f aca="false">IF(D105&gt;=0.95*'3. Assumptions'!$B$17,A105,"")</f>
        <v>93</v>
      </c>
    </row>
    <row r="106" customFormat="false" ht="15" hidden="false" customHeight="false" outlineLevel="0" collapsed="false">
      <c r="A106" s="34" t="n">
        <v>94</v>
      </c>
      <c r="B106" s="48" t="n">
        <f aca="false">$B$4*(1-EXP(-A106/'3. Assumptions'!$B$46))</f>
        <v>33.9831163875017</v>
      </c>
      <c r="C106" s="48" t="n">
        <f aca="false">$B$4*SUMPRODUCT(('4. Survival and stay'!$A$5:$A$244&lt;=A106)*'4. Survival and stay'!$C$5:$C$244*(1-EXP(-(A106-'4. Survival and stay'!$A$5:$A$244)/'3. Assumptions'!$B$46)))</f>
        <v>465.83447553249</v>
      </c>
      <c r="D106" s="39" t="n">
        <f aca="false">C106/'2. The tape'!$B$11</f>
        <v>0.789549958529644</v>
      </c>
      <c r="E106" s="31" t="n">
        <f aca="false">$B$4*'2. The tape'!$B$15*'2. The tape'!$D$11*SUMPRODUCT(('4. Survival and stay'!$A$5:$A$244&lt;=A106)*'4. Survival and stay'!$C$5:$C$244*'5. The rent roll'!$D$5:$D$244*(1-EXP(-(A106-'4. Survival and stay'!$A$5:$A$244)/'3. Assumptions'!$B$46)))</f>
        <v>980448.386609551</v>
      </c>
      <c r="F106" s="49" t="n">
        <f aca="false">IF(C106&gt;0.000000001,E106/(C106*'2. The tape'!$B$15),'2. The tape'!$D$11)</f>
        <v>35.8275047915336</v>
      </c>
      <c r="G106" s="31" t="n">
        <f aca="false">E106*(1+'3. Assumptions'!$B$19+'3. Assumptions'!$B$20+'3. Assumptions'!$B$22)</f>
        <v>1084375.91559016</v>
      </c>
      <c r="H106" s="31" t="n">
        <f aca="false">G106-'6. Income and costs'!$B$39-'3. Assumptions'!$B$31*B106*12-E106*('3. Assumptions'!$B$20*(1-'3. Assumptions'!$B$21)+'3. Assumptions'!$B$33)-G106*('3. Assumptions'!$B$26+'3. Assumptions'!$B$32)</f>
        <v>499474.470614079</v>
      </c>
      <c r="I106" s="34" t="str">
        <f aca="false">IF(H106&gt;0,"Yes","No")</f>
        <v>Yes</v>
      </c>
      <c r="J106" s="34" t="n">
        <f aca="false">IF(H106&gt;0,A106,"")</f>
        <v>94</v>
      </c>
      <c r="K106" s="34" t="n">
        <f aca="false">IF(D106&gt;=0.95*'3. Assumptions'!$B$17,A106,"")</f>
        <v>94</v>
      </c>
    </row>
    <row r="107" customFormat="false" ht="15" hidden="false" customHeight="false" outlineLevel="0" collapsed="false">
      <c r="A107" s="34" t="n">
        <v>95</v>
      </c>
      <c r="B107" s="48" t="n">
        <f aca="false">$B$4*(1-EXP(-A107/'3. Assumptions'!$B$46))</f>
        <v>33.9859625982257</v>
      </c>
      <c r="C107" s="48" t="n">
        <f aca="false">$B$4*SUMPRODUCT(('4. Survival and stay'!$A$5:$A$244&lt;=A107)*'4. Survival and stay'!$C$5:$C$244*(1-EXP(-(A107-'4. Survival and stay'!$A$5:$A$244)/'3. Assumptions'!$B$46)))</f>
        <v>466.068886529612</v>
      </c>
      <c r="D107" s="39" t="n">
        <f aca="false">C107/'2. The tape'!$B$11</f>
        <v>0.789947265304427</v>
      </c>
      <c r="E107" s="31" t="n">
        <f aca="false">$B$4*'2. The tape'!$B$15*'2. The tape'!$D$11*SUMPRODUCT(('4. Survival and stay'!$A$5:$A$244&lt;=A107)*'4. Survival and stay'!$C$5:$C$244*'5. The rent roll'!$D$5:$D$244*(1-EXP(-(A107-'4. Survival and stay'!$A$5:$A$244)/'3. Assumptions'!$B$46)))</f>
        <v>981101.284171847</v>
      </c>
      <c r="F107" s="49" t="n">
        <f aca="false">IF(C107&gt;0.000000001,E107/(C107*'2. The tape'!$B$15),'2. The tape'!$D$11)</f>
        <v>35.8333313775506</v>
      </c>
      <c r="G107" s="31" t="n">
        <f aca="false">E107*(1+'3. Assumptions'!$B$19+'3. Assumptions'!$B$20+'3. Assumptions'!$B$22)</f>
        <v>1085098.02029406</v>
      </c>
      <c r="H107" s="31" t="n">
        <f aca="false">G107-'6. Income and costs'!$B$39-'3. Assumptions'!$B$31*B107*12-E107*('3. Assumptions'!$B$20*(1-'3. Assumptions'!$B$21)+'3. Assumptions'!$B$33)-G107*('3. Assumptions'!$B$26+'3. Assumptions'!$B$32)</f>
        <v>500121.994379759</v>
      </c>
      <c r="I107" s="34" t="str">
        <f aca="false">IF(H107&gt;0,"Yes","No")</f>
        <v>Yes</v>
      </c>
      <c r="J107" s="34" t="n">
        <f aca="false">IF(H107&gt;0,A107,"")</f>
        <v>95</v>
      </c>
      <c r="K107" s="34" t="n">
        <f aca="false">IF(D107&gt;=0.95*'3. Assumptions'!$B$17,A107,"")</f>
        <v>95</v>
      </c>
    </row>
    <row r="108" customFormat="false" ht="15" hidden="false" customHeight="false" outlineLevel="0" collapsed="false">
      <c r="A108" s="34" t="n">
        <v>96</v>
      </c>
      <c r="B108" s="48" t="n">
        <f aca="false">$B$4*(1-EXP(-A108/'3. Assumptions'!$B$46))</f>
        <v>33.988612599094</v>
      </c>
      <c r="C108" s="48" t="n">
        <f aca="false">$B$4*SUMPRODUCT(('4. Survival and stay'!$A$5:$A$244&lt;=A108)*'4. Survival and stay'!$C$5:$C$244*(1-EXP(-(A108-'4. Survival and stay'!$A$5:$A$244)/'3. Assumptions'!$B$46)))</f>
        <v>466.289164455931</v>
      </c>
      <c r="D108" s="39" t="n">
        <f aca="false">C108/'2. The tape'!$B$11</f>
        <v>0.790320617721916</v>
      </c>
      <c r="E108" s="31" t="n">
        <f aca="false">$B$4*'2. The tape'!$B$15*'2. The tape'!$D$11*SUMPRODUCT(('4. Survival and stay'!$A$5:$A$244&lt;=A108)*'4. Survival and stay'!$C$5:$C$244*'5. The rent roll'!$D$5:$D$244*(1-EXP(-(A108-'4. Survival and stay'!$A$5:$A$244)/'3. Assumptions'!$B$46)))</f>
        <v>981715.469751629</v>
      </c>
      <c r="F108" s="49" t="n">
        <f aca="false">IF(C108&gt;0.000000001,E108/(C108*'2. The tape'!$B$15),'2. The tape'!$D$11)</f>
        <v>35.8388251461307</v>
      </c>
      <c r="G108" s="31" t="n">
        <f aca="false">E108*(1+'3. Assumptions'!$B$19+'3. Assumptions'!$B$20+'3. Assumptions'!$B$22)</f>
        <v>1085777.3095453</v>
      </c>
      <c r="H108" s="31" t="n">
        <f aca="false">G108-'6. Income and costs'!$B$39-'3. Assumptions'!$B$31*B108*12-E108*('3. Assumptions'!$B$20*(1-'3. Assumptions'!$B$21)+'3. Assumptions'!$B$33)-G108*('3. Assumptions'!$B$26+'3. Assumptions'!$B$32)</f>
        <v>500731.166372372</v>
      </c>
      <c r="I108" s="34" t="str">
        <f aca="false">IF(H108&gt;0,"Yes","No")</f>
        <v>Yes</v>
      </c>
      <c r="J108" s="34" t="n">
        <f aca="false">IF(H108&gt;0,A108,"")</f>
        <v>96</v>
      </c>
      <c r="K108" s="34" t="n">
        <f aca="false">IF(D108&gt;=0.95*'3. Assumptions'!$B$17,A108,"")</f>
        <v>96</v>
      </c>
    </row>
    <row r="109" customFormat="false" ht="15" hidden="false" customHeight="false" outlineLevel="0" collapsed="false">
      <c r="A109" s="34" t="n">
        <v>97</v>
      </c>
      <c r="B109" s="48" t="n">
        <f aca="false">$B$4*(1-EXP(-A109/'3. Assumptions'!$B$46))</f>
        <v>33.9910799162687</v>
      </c>
      <c r="C109" s="48" t="n">
        <f aca="false">$B$4*SUMPRODUCT(('4. Survival and stay'!$A$5:$A$244&lt;=A109)*'4. Survival and stay'!$C$5:$C$244*(1-EXP(-(A109-'4. Survival and stay'!$A$5:$A$244)/'3. Assumptions'!$B$46)))</f>
        <v>466.496088041889</v>
      </c>
      <c r="D109" s="39" t="n">
        <f aca="false">C109/'2. The tape'!$B$11</f>
        <v>0.790671335664219</v>
      </c>
      <c r="E109" s="31" t="n">
        <f aca="false">$B$4*'2. The tape'!$B$15*'2. The tape'!$D$11*SUMPRODUCT(('4. Survival and stay'!$A$5:$A$244&lt;=A109)*'4. Survival and stay'!$C$5:$C$244*'5. The rent roll'!$D$5:$D$244*(1-EXP(-(A109-'4. Survival and stay'!$A$5:$A$244)/'3. Assumptions'!$B$46)))</f>
        <v>982293.004388669</v>
      </c>
      <c r="F109" s="49" t="n">
        <f aca="false">IF(C109&gt;0.000000001,E109/(C109*'2. The tape'!$B$15),'2. The tape'!$D$11)</f>
        <v>35.8440024406559</v>
      </c>
      <c r="G109" s="31" t="n">
        <f aca="false">E109*(1+'3. Assumptions'!$B$19+'3. Assumptions'!$B$20+'3. Assumptions'!$B$22)</f>
        <v>1086416.06285387</v>
      </c>
      <c r="H109" s="31" t="n">
        <f aca="false">G109-'6. Income and costs'!$B$39-'3. Assumptions'!$B$31*B109*12-E109*('3. Assumptions'!$B$20*(1-'3. Assumptions'!$B$21)+'3. Assumptions'!$B$33)-G109*('3. Assumptions'!$B$26+'3. Assumptions'!$B$32)</f>
        <v>501304.023788509</v>
      </c>
      <c r="I109" s="34" t="str">
        <f aca="false">IF(H109&gt;0,"Yes","No")</f>
        <v>Yes</v>
      </c>
      <c r="J109" s="34" t="n">
        <f aca="false">IF(H109&gt;0,A109,"")</f>
        <v>97</v>
      </c>
      <c r="K109" s="34" t="n">
        <f aca="false">IF(D109&gt;=0.95*'3. Assumptions'!$B$17,A109,"")</f>
        <v>97</v>
      </c>
    </row>
    <row r="110" customFormat="false" ht="15" hidden="false" customHeight="false" outlineLevel="0" collapsed="false">
      <c r="A110" s="34" t="n">
        <v>98</v>
      </c>
      <c r="B110" s="48" t="n">
        <f aca="false">$B$4*(1-EXP(-A110/'3. Assumptions'!$B$46))</f>
        <v>33.9933771434557</v>
      </c>
      <c r="C110" s="48" t="n">
        <f aca="false">$B$4*SUMPRODUCT(('4. Survival and stay'!$A$5:$A$244&lt;=A110)*'4. Survival and stay'!$C$5:$C$244*(1-EXP(-(A110-'4. Survival and stay'!$A$5:$A$244)/'3. Assumptions'!$B$46)))</f>
        <v>466.690456136587</v>
      </c>
      <c r="D110" s="39" t="n">
        <f aca="false">C110/'2. The tape'!$B$11</f>
        <v>0.791000773112859</v>
      </c>
      <c r="E110" s="31" t="n">
        <f aca="false">$B$4*'2. The tape'!$B$15*'2. The tape'!$D$11*SUMPRODUCT(('4. Survival and stay'!$A$5:$A$244&lt;=A110)*'4. Survival and stay'!$C$5:$C$244*'5. The rent roll'!$D$5:$D$244*(1-EXP(-(A110-'4. Survival and stay'!$A$5:$A$244)/'3. Assumptions'!$B$46)))</f>
        <v>982836.036358373</v>
      </c>
      <c r="F110" s="49" t="n">
        <f aca="false">IF(C110&gt;0.000000001,E110/(C110*'2. The tape'!$B$15),'2. The tape'!$D$11)</f>
        <v>35.8488811210826</v>
      </c>
      <c r="G110" s="31" t="n">
        <f aca="false">E110*(1+'3. Assumptions'!$B$19+'3. Assumptions'!$B$20+'3. Assumptions'!$B$22)</f>
        <v>1087016.65621236</v>
      </c>
      <c r="H110" s="31" t="n">
        <f aca="false">G110-'6. Income and costs'!$B$39-'3. Assumptions'!$B$31*B110*12-E110*('3. Assumptions'!$B$20*(1-'3. Assumptions'!$B$21)+'3. Assumptions'!$B$33)-G110*('3. Assumptions'!$B$26+'3. Assumptions'!$B$32)</f>
        <v>501842.692330976</v>
      </c>
      <c r="I110" s="34" t="str">
        <f aca="false">IF(H110&gt;0,"Yes","No")</f>
        <v>Yes</v>
      </c>
      <c r="J110" s="34" t="n">
        <f aca="false">IF(H110&gt;0,A110,"")</f>
        <v>98</v>
      </c>
      <c r="K110" s="34" t="n">
        <f aca="false">IF(D110&gt;=0.95*'3. Assumptions'!$B$17,A110,"")</f>
        <v>98</v>
      </c>
    </row>
    <row r="111" customFormat="false" ht="15" hidden="false" customHeight="false" outlineLevel="0" collapsed="false">
      <c r="A111" s="34" t="n">
        <v>99</v>
      </c>
      <c r="B111" s="48" t="n">
        <f aca="false">$B$4*(1-EXP(-A111/'3. Assumptions'!$B$46))</f>
        <v>33.9955160061861</v>
      </c>
      <c r="C111" s="48" t="n">
        <f aca="false">$B$4*SUMPRODUCT(('4. Survival and stay'!$A$5:$A$244&lt;=A111)*'4. Survival and stay'!$C$5:$C$244*(1-EXP(-(A111-'4. Survival and stay'!$A$5:$A$244)/'3. Assumptions'!$B$46)))</f>
        <v>466.87302061586</v>
      </c>
      <c r="D111" s="39" t="n">
        <f aca="false">C111/'2. The tape'!$B$11</f>
        <v>0.791310204433661</v>
      </c>
      <c r="E111" s="31" t="n">
        <f aca="false">$B$4*'2. The tape'!$B$15*'2. The tape'!$D$11*SUMPRODUCT(('4. Survival and stay'!$A$5:$A$244&lt;=A111)*'4. Survival and stay'!$C$5:$C$244*'5. The rent roll'!$D$5:$D$244*(1-EXP(-(A111-'4. Survival and stay'!$A$5:$A$244)/'3. Assumptions'!$B$46)))</f>
        <v>983346.590999537</v>
      </c>
      <c r="F111" s="49" t="n">
        <f aca="false">IF(C111&gt;0.000000001,E111/(C111*'2. The tape'!$B$15),'2. The tape'!$D$11)</f>
        <v>35.8534780589642</v>
      </c>
      <c r="G111" s="31" t="n">
        <f aca="false">E111*(1+'3. Assumptions'!$B$19+'3. Assumptions'!$B$20+'3. Assumptions'!$B$22)</f>
        <v>1087581.32964549</v>
      </c>
      <c r="H111" s="31" t="n">
        <f aca="false">G111-'6. Income and costs'!$B$39-'3. Assumptions'!$B$31*B111*12-E111*('3. Assumptions'!$B$20*(1-'3. Assumptions'!$B$21)+'3. Assumptions'!$B$33)-G111*('3. Assumptions'!$B$26+'3. Assumptions'!$B$32)</f>
        <v>502349.17628113</v>
      </c>
      <c r="I111" s="34" t="str">
        <f aca="false">IF(H111&gt;0,"Yes","No")</f>
        <v>Yes</v>
      </c>
      <c r="J111" s="34" t="n">
        <f aca="false">IF(H111&gt;0,A111,"")</f>
        <v>99</v>
      </c>
      <c r="K111" s="34" t="n">
        <f aca="false">IF(D111&gt;=0.95*'3. Assumptions'!$B$17,A111,"")</f>
        <v>99</v>
      </c>
    </row>
    <row r="112" customFormat="false" ht="15" hidden="false" customHeight="false" outlineLevel="0" collapsed="false">
      <c r="A112" s="34" t="n">
        <v>100</v>
      </c>
      <c r="B112" s="48" t="n">
        <f aca="false">$B$4*(1-EXP(-A112/'3. Assumptions'!$B$46))</f>
        <v>33.9975074216653</v>
      </c>
      <c r="C112" s="48" t="n">
        <f aca="false">$B$4*SUMPRODUCT(('4. Survival and stay'!$A$5:$A$244&lt;=A112)*'4. Survival and stay'!$C$5:$C$244*(1-EXP(-(A112-'4. Survival and stay'!$A$5:$A$244)/'3. Assumptions'!$B$46)))</f>
        <v>467.044489082027</v>
      </c>
      <c r="D112" s="39" t="n">
        <f aca="false">C112/'2. The tape'!$B$11</f>
        <v>0.791600828952588</v>
      </c>
      <c r="E112" s="31" t="n">
        <f aca="false">$B$4*'2. The tape'!$B$15*'2. The tape'!$D$11*SUMPRODUCT(('4. Survival and stay'!$A$5:$A$244&lt;=A112)*'4. Survival and stay'!$C$5:$C$244*'5. The rent roll'!$D$5:$D$244*(1-EXP(-(A112-'4. Survival and stay'!$A$5:$A$244)/'3. Assumptions'!$B$46)))</f>
        <v>983826.577516144</v>
      </c>
      <c r="F112" s="49" t="n">
        <f aca="false">IF(C112&gt;0.000000001,E112/(C112*'2. The tape'!$B$15),'2. The tape'!$D$11)</f>
        <v>35.8578091916806</v>
      </c>
      <c r="G112" s="31" t="n">
        <f aca="false">E112*(1+'3. Assumptions'!$B$19+'3. Assumptions'!$B$20+'3. Assumptions'!$B$22)</f>
        <v>1088112.19473285</v>
      </c>
      <c r="H112" s="31" t="n">
        <f aca="false">G112-'6. Income and costs'!$B$39-'3. Assumptions'!$B$31*B112*12-E112*('3. Assumptions'!$B$20*(1-'3. Assumptions'!$B$21)+'3. Assumptions'!$B$33)-G112*('3. Assumptions'!$B$26+'3. Assumptions'!$B$32)</f>
        <v>502825.365198943</v>
      </c>
      <c r="I112" s="34" t="str">
        <f aca="false">IF(H112&gt;0,"Yes","No")</f>
        <v>Yes</v>
      </c>
      <c r="J112" s="34" t="n">
        <f aca="false">IF(H112&gt;0,A112,"")</f>
        <v>100</v>
      </c>
      <c r="K112" s="34" t="n">
        <f aca="false">IF(D112&gt;=0.95*'3. Assumptions'!$B$17,A112,"")</f>
        <v>100</v>
      </c>
    </row>
    <row r="113" customFormat="false" ht="15" hidden="false" customHeight="false" outlineLevel="0" collapsed="false">
      <c r="A113" s="34" t="n">
        <v>101</v>
      </c>
      <c r="B113" s="48" t="n">
        <f aca="false">$B$4*(1-EXP(-A113/'3. Assumptions'!$B$46))</f>
        <v>33.9993615544969</v>
      </c>
      <c r="C113" s="48" t="n">
        <f aca="false">$B$4*SUMPRODUCT(('4. Survival and stay'!$A$5:$A$244&lt;=A113)*'4. Survival and stay'!$C$5:$C$244*(1-EXP(-(A113-'4. Survival and stay'!$A$5:$A$244)/'3. Assumptions'!$B$46)))</f>
        <v>467.205527413325</v>
      </c>
      <c r="D113" s="39" t="n">
        <f aca="false">C113/'2. The tape'!$B$11</f>
        <v>0.791873775276823</v>
      </c>
      <c r="E113" s="31" t="n">
        <f aca="false">$B$4*'2. The tape'!$B$15*'2. The tape'!$D$11*SUMPRODUCT(('4. Survival and stay'!$A$5:$A$244&lt;=A113)*'4. Survival and stay'!$C$5:$C$244*'5. The rent roll'!$D$5:$D$244*(1-EXP(-(A113-'4. Survival and stay'!$A$5:$A$244)/'3. Assumptions'!$B$46)))</f>
        <v>984277.795421532</v>
      </c>
      <c r="F113" s="49" t="n">
        <f aca="false">IF(C113&gt;0.000000001,E113/(C113*'2. The tape'!$B$15),'2. The tape'!$D$11)</f>
        <v>35.8618895736092</v>
      </c>
      <c r="G113" s="31" t="n">
        <f aca="false">E113*(1+'3. Assumptions'!$B$19+'3. Assumptions'!$B$20+'3. Assumptions'!$B$22)</f>
        <v>1088611.24173621</v>
      </c>
      <c r="H113" s="31" t="n">
        <f aca="false">G113-'6. Income and costs'!$B$39-'3. Assumptions'!$B$31*B113*12-E113*('3. Assumptions'!$B$20*(1-'3. Assumptions'!$B$21)+'3. Assumptions'!$B$33)-G113*('3. Assumptions'!$B$26+'3. Assumptions'!$B$32)</f>
        <v>503273.040272274</v>
      </c>
      <c r="I113" s="34" t="str">
        <f aca="false">IF(H113&gt;0,"Yes","No")</f>
        <v>Yes</v>
      </c>
      <c r="J113" s="34" t="n">
        <f aca="false">IF(H113&gt;0,A113,"")</f>
        <v>101</v>
      </c>
      <c r="K113" s="34" t="n">
        <f aca="false">IF(D113&gt;=0.95*'3. Assumptions'!$B$17,A113,"")</f>
        <v>101</v>
      </c>
    </row>
    <row r="114" customFormat="false" ht="15" hidden="false" customHeight="false" outlineLevel="0" collapsed="false">
      <c r="A114" s="34" t="n">
        <v>102</v>
      </c>
      <c r="B114" s="48" t="n">
        <f aca="false">$B$4*(1-EXP(-A114/'3. Assumptions'!$B$46))</f>
        <v>34.001087868565</v>
      </c>
      <c r="C114" s="48" t="n">
        <f aca="false">$B$4*SUMPRODUCT(('4. Survival and stay'!$A$5:$A$244&lt;=A114)*'4. Survival and stay'!$C$5:$C$244*(1-EXP(-(A114-'4. Survival and stay'!$A$5:$A$244)/'3. Assumptions'!$B$46)))</f>
        <v>467.356762171027</v>
      </c>
      <c r="D114" s="39" t="n">
        <f aca="false">C114/'2. The tape'!$B$11</f>
        <v>0.792130105374622</v>
      </c>
      <c r="E114" s="31" t="n">
        <f aca="false">$B$4*'2. The tape'!$B$15*'2. The tape'!$D$11*SUMPRODUCT(('4. Survival and stay'!$A$5:$A$244&lt;=A114)*'4. Survival and stay'!$C$5:$C$244*'5. The rent roll'!$D$5:$D$244*(1-EXP(-(A114-'4. Survival and stay'!$A$5:$A$244)/'3. Assumptions'!$B$46)))</f>
        <v>984701.940642178</v>
      </c>
      <c r="F114" s="49" t="n">
        <f aca="false">IF(C114&gt;0.000000001,E114/(C114*'2. The tape'!$B$15),'2. The tape'!$D$11)</f>
        <v>35.8657334244295</v>
      </c>
      <c r="G114" s="31" t="n">
        <f aca="false">E114*(1+'3. Assumptions'!$B$19+'3. Assumptions'!$B$20+'3. Assumptions'!$B$22)</f>
        <v>1089080.34635025</v>
      </c>
      <c r="H114" s="31" t="n">
        <f aca="false">G114-'6. Income and costs'!$B$39-'3. Assumptions'!$B$31*B114*12-E114*('3. Assumptions'!$B$20*(1-'3. Assumptions'!$B$21)+'3. Assumptions'!$B$33)-G114*('3. Assumptions'!$B$26+'3. Assumptions'!$B$32)</f>
        <v>503693.880332127</v>
      </c>
      <c r="I114" s="34" t="str">
        <f aca="false">IF(H114&gt;0,"Yes","No")</f>
        <v>Yes</v>
      </c>
      <c r="J114" s="34" t="n">
        <f aca="false">IF(H114&gt;0,A114,"")</f>
        <v>102</v>
      </c>
      <c r="K114" s="34" t="n">
        <f aca="false">IF(D114&gt;=0.95*'3. Assumptions'!$B$17,A114,"")</f>
        <v>102</v>
      </c>
    </row>
    <row r="115" customFormat="false" ht="15" hidden="false" customHeight="false" outlineLevel="0" collapsed="false">
      <c r="A115" s="34" t="n">
        <v>103</v>
      </c>
      <c r="B115" s="48" t="n">
        <f aca="false">$B$4*(1-EXP(-A115/'3. Assumptions'!$B$46))</f>
        <v>34.0026951753399</v>
      </c>
      <c r="C115" s="48" t="n">
        <f aca="false">$B$4*SUMPRODUCT(('4. Survival and stay'!$A$5:$A$244&lt;=A115)*'4. Survival and stay'!$C$5:$C$244*(1-EXP(-(A115-'4. Survival and stay'!$A$5:$A$244)/'3. Assumptions'!$B$46)))</f>
        <v>467.498743932977</v>
      </c>
      <c r="D115" s="39" t="n">
        <f aca="false">C115/'2. The tape'!$B$11</f>
        <v>0.792370752428774</v>
      </c>
      <c r="E115" s="31" t="n">
        <f aca="false">$B$4*'2. The tape'!$B$15*'2. The tape'!$D$11*SUMPRODUCT(('4. Survival and stay'!$A$5:$A$244&lt;=A115)*'4. Survival and stay'!$C$5:$C$244*'5. The rent roll'!$D$5:$D$244*(1-EXP(-(A115-'4. Survival and stay'!$A$5:$A$244)/'3. Assumptions'!$B$46)))</f>
        <v>985100.490306955</v>
      </c>
      <c r="F115" s="49" t="n">
        <f aca="false">IF(C115&gt;0.000000001,E115/(C115*'2. The tape'!$B$15),'2. The tape'!$D$11)</f>
        <v>35.8693527568667</v>
      </c>
      <c r="G115" s="31" t="n">
        <f aca="false">E115*(1+'3. Assumptions'!$B$19+'3. Assumptions'!$B$20+'3. Assumptions'!$B$22)</f>
        <v>1089521.14227949</v>
      </c>
      <c r="H115" s="31" t="n">
        <f aca="false">G115-'6. Income and costs'!$B$39-'3. Assumptions'!$B$31*B115*12-E115*('3. Assumptions'!$B$20*(1-'3. Assumptions'!$B$21)+'3. Assumptions'!$B$33)-G115*('3. Assumptions'!$B$26+'3. Assumptions'!$B$32)</f>
        <v>504089.346756186</v>
      </c>
      <c r="I115" s="34" t="str">
        <f aca="false">IF(H115&gt;0,"Yes","No")</f>
        <v>Yes</v>
      </c>
      <c r="J115" s="34" t="n">
        <f aca="false">IF(H115&gt;0,A115,"")</f>
        <v>103</v>
      </c>
      <c r="K115" s="34" t="n">
        <f aca="false">IF(D115&gt;=0.95*'3. Assumptions'!$B$17,A115,"")</f>
        <v>103</v>
      </c>
    </row>
    <row r="116" customFormat="false" ht="15" hidden="false" customHeight="false" outlineLevel="0" collapsed="false">
      <c r="A116" s="34" t="n">
        <v>104</v>
      </c>
      <c r="B116" s="48" t="n">
        <f aca="false">$B$4*(1-EXP(-A116/'3. Assumptions'!$B$46))</f>
        <v>34.0041916788535</v>
      </c>
      <c r="C116" s="48" t="n">
        <f aca="false">$B$4*SUMPRODUCT(('4. Survival and stay'!$A$5:$A$244&lt;=A116)*'4. Survival and stay'!$C$5:$C$244*(1-EXP(-(A116-'4. Survival and stay'!$A$5:$A$244)/'3. Assumptions'!$B$46)))</f>
        <v>467.632032589895</v>
      </c>
      <c r="D116" s="39" t="n">
        <f aca="false">C116/'2. The tape'!$B$11</f>
        <v>0.792596665406603</v>
      </c>
      <c r="E116" s="31" t="n">
        <f aca="false">$B$4*'2. The tape'!$B$15*'2. The tape'!$D$11*SUMPRODUCT(('4. Survival and stay'!$A$5:$A$244&lt;=A116)*'4. Survival and stay'!$C$5:$C$244*'5. The rent roll'!$D$5:$D$244*(1-EXP(-(A116-'4. Survival and stay'!$A$5:$A$244)/'3. Assumptions'!$B$46)))</f>
        <v>985474.9665872</v>
      </c>
      <c r="F116" s="49" t="n">
        <f aca="false">IF(C116&gt;0.000000001,E116/(C116*'2. The tape'!$B$15),'2. The tape'!$D$11)</f>
        <v>35.8727604495322</v>
      </c>
      <c r="G116" s="31" t="n">
        <f aca="false">E116*(1+'3. Assumptions'!$B$19+'3. Assumptions'!$B$20+'3. Assumptions'!$B$22)</f>
        <v>1089935.31304544</v>
      </c>
      <c r="H116" s="31" t="n">
        <f aca="false">G116-'6. Income and costs'!$B$39-'3. Assumptions'!$B$31*B116*12-E116*('3. Assumptions'!$B$20*(1-'3. Assumptions'!$B$21)+'3. Assumptions'!$B$33)-G116*('3. Assumptions'!$B$26+'3. Assumptions'!$B$32)</f>
        <v>504460.946811482</v>
      </c>
      <c r="I116" s="34" t="str">
        <f aca="false">IF(H116&gt;0,"Yes","No")</f>
        <v>Yes</v>
      </c>
      <c r="J116" s="34" t="n">
        <f aca="false">IF(H116&gt;0,A116,"")</f>
        <v>104</v>
      </c>
      <c r="K116" s="34" t="n">
        <f aca="false">IF(D116&gt;=0.95*'3. Assumptions'!$B$17,A116,"")</f>
        <v>104</v>
      </c>
    </row>
    <row r="117" customFormat="false" ht="15" hidden="false" customHeight="false" outlineLevel="0" collapsed="false">
      <c r="A117" s="34" t="n">
        <v>105</v>
      </c>
      <c r="B117" s="48" t="n">
        <f aca="false">$B$4*(1-EXP(-A117/'3. Assumptions'!$B$46))</f>
        <v>34.0055850175748</v>
      </c>
      <c r="C117" s="48" t="n">
        <f aca="false">$B$4*SUMPRODUCT(('4. Survival and stay'!$A$5:$A$244&lt;=A117)*'4. Survival and stay'!$C$5:$C$244*(1-EXP(-(A117-'4. Survival and stay'!$A$5:$A$244)/'3. Assumptions'!$B$46)))</f>
        <v>467.757154621202</v>
      </c>
      <c r="D117" s="39" t="n">
        <f aca="false">C117/'2. The tape'!$B$11</f>
        <v>0.792808736646106</v>
      </c>
      <c r="E117" s="31" t="n">
        <f aca="false">$B$4*'2. The tape'!$B$15*'2. The tape'!$D$11*SUMPRODUCT(('4. Survival and stay'!$A$5:$A$244&lt;=A117)*'4. Survival and stay'!$C$5:$C$244*'5. The rent roll'!$D$5:$D$244*(1-EXP(-(A117-'4. Survival and stay'!$A$5:$A$244)/'3. Assumptions'!$B$46)))</f>
        <v>985826.802833944</v>
      </c>
      <c r="F117" s="49" t="n">
        <f aca="false">IF(C117&gt;0.000000001,E117/(C117*'2. The tape'!$B$15),'2. The tape'!$D$11)</f>
        <v>35.8759686556751</v>
      </c>
      <c r="G117" s="31" t="n">
        <f aca="false">E117*(1+'3. Assumptions'!$B$19+'3. Assumptions'!$B$20+'3. Assumptions'!$B$22)</f>
        <v>1090324.44393434</v>
      </c>
      <c r="H117" s="31" t="n">
        <f aca="false">G117-'6. Income and costs'!$B$39-'3. Assumptions'!$B$31*B117*12-E117*('3. Assumptions'!$B$20*(1-'3. Assumptions'!$B$21)+'3. Assumptions'!$B$33)-G117*('3. Assumptions'!$B$26+'3. Assumptions'!$B$32)</f>
        <v>504810.099945985</v>
      </c>
      <c r="I117" s="34" t="str">
        <f aca="false">IF(H117&gt;0,"Yes","No")</f>
        <v>Yes</v>
      </c>
      <c r="J117" s="34" t="n">
        <f aca="false">IF(H117&gt;0,A117,"")</f>
        <v>105</v>
      </c>
      <c r="K117" s="34" t="n">
        <f aca="false">IF(D117&gt;=0.95*'3. Assumptions'!$B$17,A117,"")</f>
        <v>105</v>
      </c>
    </row>
    <row r="118" customFormat="false" ht="15" hidden="false" customHeight="false" outlineLevel="0" collapsed="false">
      <c r="A118" s="34" t="n">
        <v>106</v>
      </c>
      <c r="B118" s="48" t="n">
        <f aca="false">$B$4*(1-EXP(-A118/'3. Assumptions'!$B$46))</f>
        <v>34.0068823033977</v>
      </c>
      <c r="C118" s="48" t="n">
        <f aca="false">$B$4*SUMPRODUCT(('4. Survival and stay'!$A$5:$A$244&lt;=A118)*'4. Survival and stay'!$C$5:$C$244*(1-EXP(-(A118-'4. Survival and stay'!$A$5:$A$244)/'3. Assumptions'!$B$46)))</f>
        <v>467.874605053428</v>
      </c>
      <c r="D118" s="39" t="n">
        <f aca="false">C118/'2. The tape'!$B$11</f>
        <v>0.793007805175301</v>
      </c>
      <c r="E118" s="31" t="n">
        <f aca="false">$B$4*'2. The tape'!$B$15*'2. The tape'!$D$11*SUMPRODUCT(('4. Survival and stay'!$A$5:$A$244&lt;=A118)*'4. Survival and stay'!$C$5:$C$244*'5. The rent roll'!$D$5:$D$244*(1-EXP(-(A118-'4. Survival and stay'!$A$5:$A$244)/'3. Assumptions'!$B$46)))</f>
        <v>986157.348629365</v>
      </c>
      <c r="F118" s="49" t="n">
        <f aca="false">IF(C118&gt;0.000000001,E118/(C118*'2. The tape'!$B$15),'2. The tape'!$D$11)</f>
        <v>35.8789888435474</v>
      </c>
      <c r="G118" s="31" t="n">
        <f aca="false">E118*(1+'3. Assumptions'!$B$19+'3. Assumptions'!$B$20+'3. Assumptions'!$B$22)</f>
        <v>1090690.02758408</v>
      </c>
      <c r="H118" s="31" t="n">
        <f aca="false">G118-'6. Income and costs'!$B$39-'3. Assumptions'!$B$31*B118*12-E118*('3. Assumptions'!$B$20*(1-'3. Assumptions'!$B$21)+'3. Assumptions'!$B$33)-G118*('3. Assumptions'!$B$26+'3. Assumptions'!$B$32)</f>
        <v>505138.142772772</v>
      </c>
      <c r="I118" s="34" t="str">
        <f aca="false">IF(H118&gt;0,"Yes","No")</f>
        <v>Yes</v>
      </c>
      <c r="J118" s="34" t="n">
        <f aca="false">IF(H118&gt;0,A118,"")</f>
        <v>106</v>
      </c>
      <c r="K118" s="34" t="n">
        <f aca="false">IF(D118&gt;=0.95*'3. Assumptions'!$B$17,A118,"")</f>
        <v>106</v>
      </c>
    </row>
    <row r="119" customFormat="false" ht="15" hidden="false" customHeight="false" outlineLevel="0" collapsed="false">
      <c r="A119" s="34" t="n">
        <v>107</v>
      </c>
      <c r="B119" s="48" t="n">
        <f aca="false">$B$4*(1-EXP(-A119/'3. Assumptions'!$B$46))</f>
        <v>34.008090157942</v>
      </c>
      <c r="C119" s="48" t="n">
        <f aca="false">$B$4*SUMPRODUCT(('4. Survival and stay'!$A$5:$A$244&lt;=A119)*'4. Survival and stay'!$C$5:$C$244*(1-EXP(-(A119-'4. Survival and stay'!$A$5:$A$244)/'3. Assumptions'!$B$46)))</f>
        <v>467.984849306551</v>
      </c>
      <c r="D119" s="39" t="n">
        <f aca="false">C119/'2. The tape'!$B$11</f>
        <v>0.793194659841611</v>
      </c>
      <c r="E119" s="31" t="n">
        <f aca="false">$B$4*'2. The tape'!$B$15*'2. The tape'!$D$11*SUMPRODUCT(('4. Survival and stay'!$A$5:$A$244&lt;=A119)*'4. Survival and stay'!$C$5:$C$244*'5. The rent roll'!$D$5:$D$244*(1-EXP(-(A119-'4. Survival and stay'!$A$5:$A$244)/'3. Assumptions'!$B$46)))</f>
        <v>986467.874561252</v>
      </c>
      <c r="F119" s="49" t="n">
        <f aca="false">IF(C119&gt;0.000000001,E119/(C119*'2. The tape'!$B$15),'2. The tape'!$D$11)</f>
        <v>35.8818318344979</v>
      </c>
      <c r="G119" s="31" t="n">
        <f aca="false">E119*(1+'3. Assumptions'!$B$19+'3. Assumptions'!$B$20+'3. Assumptions'!$B$22)</f>
        <v>1091033.46926474</v>
      </c>
      <c r="H119" s="31" t="n">
        <f aca="false">G119-'6. Income and costs'!$B$39-'3. Assumptions'!$B$31*B119*12-E119*('3. Assumptions'!$B$20*(1-'3. Assumptions'!$B$21)+'3. Assumptions'!$B$33)-G119*('3. Assumptions'!$B$26+'3. Assumptions'!$B$32)</f>
        <v>505446.333781744</v>
      </c>
      <c r="I119" s="34" t="str">
        <f aca="false">IF(H119&gt;0,"Yes","No")</f>
        <v>Yes</v>
      </c>
      <c r="J119" s="34" t="n">
        <f aca="false">IF(H119&gt;0,A119,"")</f>
        <v>107</v>
      </c>
      <c r="K119" s="34" t="n">
        <f aca="false">IF(D119&gt;=0.95*'3. Assumptions'!$B$17,A119,"")</f>
        <v>107</v>
      </c>
    </row>
    <row r="120" customFormat="false" ht="15" hidden="false" customHeight="false" outlineLevel="0" collapsed="false">
      <c r="A120" s="34" t="n">
        <v>108</v>
      </c>
      <c r="B120" s="48" t="n">
        <f aca="false">$B$4*(1-EXP(-A120/'3. Assumptions'!$B$46))</f>
        <v>34.0092147463516</v>
      </c>
      <c r="C120" s="48" t="n">
        <f aca="false">$B$4*SUMPRODUCT(('4. Survival and stay'!$A$5:$A$244&lt;=A120)*'4. Survival and stay'!$C$5:$C$244*(1-EXP(-(A120-'4. Survival and stay'!$A$5:$A$244)/'3. Assumptions'!$B$46)))</f>
        <v>468.088324934468</v>
      </c>
      <c r="D120" s="39" t="n">
        <f aca="false">C120/'2. The tape'!$B$11</f>
        <v>0.793370042261811</v>
      </c>
      <c r="E120" s="31" t="n">
        <f aca="false">$B$4*'2. The tape'!$B$15*'2. The tape'!$D$11*SUMPRODUCT(('4. Survival and stay'!$A$5:$A$244&lt;=A120)*'4. Survival and stay'!$C$5:$C$244*'5. The rent roll'!$D$5:$D$244*(1-EXP(-(A120-'4. Survival and stay'!$A$5:$A$244)/'3. Assumptions'!$B$46)))</f>
        <v>986759.57673487</v>
      </c>
      <c r="F120" s="49" t="n">
        <f aca="false">IF(C120&gt;0.000000001,E120/(C120*'2. The tape'!$B$15),'2. The tape'!$D$11)</f>
        <v>35.8845078389318</v>
      </c>
      <c r="G120" s="31" t="n">
        <f aca="false">E120*(1+'3. Assumptions'!$B$19+'3. Assumptions'!$B$20+'3. Assumptions'!$B$22)</f>
        <v>1091356.09186877</v>
      </c>
      <c r="H120" s="31" t="n">
        <f aca="false">G120-'6. Income and costs'!$B$39-'3. Assumptions'!$B$31*B120*12-E120*('3. Assumptions'!$B$20*(1-'3. Assumptions'!$B$21)+'3. Assumptions'!$B$33)-G120*('3. Assumptions'!$B$26+'3. Assumptions'!$B$32)</f>
        <v>505735.857792943</v>
      </c>
      <c r="I120" s="34" t="str">
        <f aca="false">IF(H120&gt;0,"Yes","No")</f>
        <v>Yes</v>
      </c>
      <c r="J120" s="34" t="n">
        <f aca="false">IF(H120&gt;0,A120,"")</f>
        <v>108</v>
      </c>
      <c r="K120" s="34" t="n">
        <f aca="false">IF(D120&gt;=0.95*'3. Assumptions'!$B$17,A120,"")</f>
        <v>108</v>
      </c>
    </row>
    <row r="121" customFormat="false" ht="15" hidden="false" customHeight="false" outlineLevel="0" collapsed="false">
      <c r="A121" s="34" t="n">
        <v>109</v>
      </c>
      <c r="B121" s="48" t="n">
        <f aca="false">$B$4*(1-EXP(-A121/'3. Assumptions'!$B$46))</f>
        <v>34.0102618087622</v>
      </c>
      <c r="C121" s="48" t="n">
        <f aca="false">$B$4*SUMPRODUCT(('4. Survival and stay'!$A$5:$A$244&lt;=A121)*'4. Survival and stay'!$C$5:$C$244*(1-EXP(-(A121-'4. Survival and stay'!$A$5:$A$244)/'3. Assumptions'!$B$46)))</f>
        <v>468.185418326246</v>
      </c>
      <c r="D121" s="39" t="n">
        <f aca="false">C121/'2. The tape'!$B$11</f>
        <v>0.793534607332621</v>
      </c>
      <c r="E121" s="31" t="n">
        <f aca="false">$B$4*'2. The tape'!$B$15*'2. The tape'!$D$11*SUMPRODUCT(('4. Survival and stay'!$A$5:$A$244&lt;=A121)*'4. Survival and stay'!$C$5:$C$244*'5. The rent roll'!$D$5:$D$244*(1-EXP(-(A121-'4. Survival and stay'!$A$5:$A$244)/'3. Assumptions'!$B$46)))</f>
        <v>987033.503544788</v>
      </c>
      <c r="F121" s="49" t="n">
        <f aca="false">IF(C121&gt;0.000000001,E121/(C121*'2. The tape'!$B$15),'2. The tape'!$D$11)</f>
        <v>35.8870255844292</v>
      </c>
      <c r="G121" s="31" t="n">
        <f aca="false">E121*(1+'3. Assumptions'!$B$19+'3. Assumptions'!$B$20+'3. Assumptions'!$B$22)</f>
        <v>1091659.05492054</v>
      </c>
      <c r="H121" s="31" t="n">
        <f aca="false">G121-'6. Income and costs'!$B$39-'3. Assumptions'!$B$31*B121*12-E121*('3. Assumptions'!$B$20*(1-'3. Assumptions'!$B$21)+'3. Assumptions'!$B$33)-G121*('3. Assumptions'!$B$26+'3. Assumptions'!$B$32)</f>
        <v>506007.752799855</v>
      </c>
      <c r="I121" s="34" t="str">
        <f aca="false">IF(H121&gt;0,"Yes","No")</f>
        <v>Yes</v>
      </c>
      <c r="J121" s="34" t="n">
        <f aca="false">IF(H121&gt;0,A121,"")</f>
        <v>109</v>
      </c>
      <c r="K121" s="34" t="n">
        <f aca="false">IF(D121&gt;=0.95*'3. Assumptions'!$B$17,A121,"")</f>
        <v>109</v>
      </c>
    </row>
    <row r="122" customFormat="false" ht="15" hidden="false" customHeight="false" outlineLevel="0" collapsed="false">
      <c r="A122" s="34" t="n">
        <v>110</v>
      </c>
      <c r="B122" s="48" t="n">
        <f aca="false">$B$4*(1-EXP(-A122/'3. Assumptions'!$B$46))</f>
        <v>34.0112366896007</v>
      </c>
      <c r="C122" s="48" t="n">
        <f aca="false">$B$4*SUMPRODUCT(('4. Survival and stay'!$A$5:$A$244&lt;=A122)*'4. Survival and stay'!$C$5:$C$244*(1-EXP(-(A122-'4. Survival and stay'!$A$5:$A$244)/'3. Assumptions'!$B$46)))</f>
        <v>468.276519508283</v>
      </c>
      <c r="D122" s="39" t="n">
        <f aca="false">C122/'2. The tape'!$B$11</f>
        <v>0.793689016115734</v>
      </c>
      <c r="E122" s="31" t="n">
        <f aca="false">$B$4*'2. The tape'!$B$15*'2. The tape'!$D$11*SUMPRODUCT(('4. Survival and stay'!$A$5:$A$244&lt;=A122)*'4. Survival and stay'!$C$5:$C$244*'5. The rent roll'!$D$5:$D$244*(1-EXP(-(A122-'4. Survival and stay'!$A$5:$A$244)/'3. Assumptions'!$B$46)))</f>
        <v>987290.725179243</v>
      </c>
      <c r="F122" s="49" t="n">
        <f aca="false">IF(C122&gt;0.000000001,E122/(C122*'2. The tape'!$B$15),'2. The tape'!$D$11)</f>
        <v>35.889394283027</v>
      </c>
      <c r="G122" s="31" t="n">
        <f aca="false">E122*(1+'3. Assumptions'!$B$19+'3. Assumptions'!$B$20+'3. Assumptions'!$B$22)</f>
        <v>1091943.54204824</v>
      </c>
      <c r="H122" s="31" t="n">
        <f aca="false">G122-'6. Income and costs'!$B$39-'3. Assumptions'!$B$31*B122*12-E122*('3. Assumptions'!$B$20*(1-'3. Assumptions'!$B$21)+'3. Assumptions'!$B$33)-G122*('3. Assumptions'!$B$26+'3. Assumptions'!$B$32)</f>
        <v>506263.079153609</v>
      </c>
      <c r="I122" s="34" t="str">
        <f aca="false">IF(H122&gt;0,"Yes","No")</f>
        <v>Yes</v>
      </c>
      <c r="J122" s="34" t="n">
        <f aca="false">IF(H122&gt;0,A122,"")</f>
        <v>110</v>
      </c>
      <c r="K122" s="34" t="n">
        <f aca="false">IF(D122&gt;=0.95*'3. Assumptions'!$B$17,A122,"")</f>
        <v>110</v>
      </c>
    </row>
    <row r="123" customFormat="false" ht="15" hidden="false" customHeight="false" outlineLevel="0" collapsed="false">
      <c r="A123" s="34" t="n">
        <v>111</v>
      </c>
      <c r="B123" s="48" t="n">
        <f aca="false">$B$4*(1-EXP(-A123/'3. Assumptions'!$B$46))</f>
        <v>34.0121443648641</v>
      </c>
      <c r="C123" s="48" t="n">
        <f aca="false">$B$4*SUMPRODUCT(('4. Survival and stay'!$A$5:$A$244&lt;=A123)*'4. Survival and stay'!$C$5:$C$244*(1-EXP(-(A123-'4. Survival and stay'!$A$5:$A$244)/'3. Assumptions'!$B$46)))</f>
        <v>468.361994941132</v>
      </c>
      <c r="D123" s="39" t="n">
        <f aca="false">C123/'2. The tape'!$B$11</f>
        <v>0.793833889730732</v>
      </c>
      <c r="E123" s="31" t="n">
        <f aca="false">$B$4*'2. The tape'!$B$15*'2. The tape'!$D$11*SUMPRODUCT(('4. Survival and stay'!$A$5:$A$244&lt;=A123)*'4. Survival and stay'!$C$5:$C$244*'5. The rent roll'!$D$5:$D$244*(1-EXP(-(A123-'4. Survival and stay'!$A$5:$A$244)/'3. Assumptions'!$B$46)))</f>
        <v>987532.2483712</v>
      </c>
      <c r="F123" s="49" t="n">
        <f aca="false">IF(C123&gt;0.000000001,E123/(C123*'2. The tape'!$B$15),'2. The tape'!$D$11)</f>
        <v>35.8916226194006</v>
      </c>
      <c r="G123" s="31" t="n">
        <f aca="false">E123*(1+'3. Assumptions'!$B$19+'3. Assumptions'!$B$20+'3. Assumptions'!$B$22)</f>
        <v>1092210.66669855</v>
      </c>
      <c r="H123" s="31" t="n">
        <f aca="false">G123-'6. Income and costs'!$B$39-'3. Assumptions'!$B$31*B123*12-E123*('3. Assumptions'!$B$20*(1-'3. Assumptions'!$B$21)+'3. Assumptions'!$B$33)-G123*('3. Assumptions'!$B$26+'3. Assumptions'!$B$32)</f>
        <v>506502.834411417</v>
      </c>
      <c r="I123" s="34" t="str">
        <f aca="false">IF(H123&gt;0,"Yes","No")</f>
        <v>Yes</v>
      </c>
      <c r="J123" s="34" t="n">
        <f aca="false">IF(H123&gt;0,A123,"")</f>
        <v>111</v>
      </c>
      <c r="K123" s="34" t="n">
        <f aca="false">IF(D123&gt;=0.95*'3. Assumptions'!$B$17,A123,"")</f>
        <v>111</v>
      </c>
    </row>
    <row r="124" customFormat="false" ht="15" hidden="false" customHeight="false" outlineLevel="0" collapsed="false">
      <c r="A124" s="34" t="n">
        <v>112</v>
      </c>
      <c r="B124" s="48" t="n">
        <f aca="false">$B$4*(1-EXP(-A124/'3. Assumptions'!$B$46))</f>
        <v>34.0129894675179</v>
      </c>
      <c r="C124" s="48" t="n">
        <f aca="false">$B$4*SUMPRODUCT(('4. Survival and stay'!$A$5:$A$244&lt;=A124)*'4. Survival and stay'!$C$5:$C$244*(1-EXP(-(A124-'4. Survival and stay'!$A$5:$A$244)/'3. Assumptions'!$B$46)))</f>
        <v>468.442188923185</v>
      </c>
      <c r="D124" s="39" t="n">
        <f aca="false">C124/'2. The tape'!$B$11</f>
        <v>0.793969811734212</v>
      </c>
      <c r="E124" s="31" t="n">
        <f aca="false">$B$4*'2. The tape'!$B$15*'2. The tape'!$D$11*SUMPRODUCT(('4. Survival and stay'!$A$5:$A$244&lt;=A124)*'4. Survival and stay'!$C$5:$C$244*'5. The rent roll'!$D$5:$D$244*(1-EXP(-(A124-'4. Survival and stay'!$A$5:$A$244)/'3. Assumptions'!$B$46)))</f>
        <v>987759.020086468</v>
      </c>
      <c r="F124" s="49" t="n">
        <f aca="false">IF(C124&gt;0.000000001,E124/(C124*'2. The tape'!$B$15),'2. The tape'!$D$11)</f>
        <v>35.8937187806507</v>
      </c>
      <c r="G124" s="31" t="n">
        <f aca="false">E124*(1+'3. Assumptions'!$B$19+'3. Assumptions'!$B$20+'3. Assumptions'!$B$22)</f>
        <v>1092461.47621563</v>
      </c>
      <c r="H124" s="31" t="n">
        <f aca="false">G124-'6. Income and costs'!$B$39-'3. Assumptions'!$B$31*B124*12-E124*('3. Assumptions'!$B$20*(1-'3. Assumptions'!$B$21)+'3. Assumptions'!$B$33)-G124*('3. Assumptions'!$B$26+'3. Assumptions'!$B$32)</f>
        <v>506727.956980204</v>
      </c>
      <c r="I124" s="34" t="str">
        <f aca="false">IF(H124&gt;0,"Yes","No")</f>
        <v>Yes</v>
      </c>
      <c r="J124" s="34" t="n">
        <f aca="false">IF(H124&gt;0,A124,"")</f>
        <v>112</v>
      </c>
      <c r="K124" s="34" t="n">
        <f aca="false">IF(D124&gt;=0.95*'3. Assumptions'!$B$17,A124,"")</f>
        <v>112</v>
      </c>
    </row>
    <row r="125" customFormat="false" ht="15" hidden="false" customHeight="false" outlineLevel="0" collapsed="false">
      <c r="A125" s="34" t="n">
        <v>113</v>
      </c>
      <c r="B125" s="48" t="n">
        <f aca="false">$B$4*(1-EXP(-A125/'3. Assumptions'!$B$46))</f>
        <v>34.0137763111439</v>
      </c>
      <c r="C125" s="48" t="n">
        <f aca="false">$B$4*SUMPRODUCT(('4. Survival and stay'!$A$5:$A$244&lt;=A125)*'4. Survival and stay'!$C$5:$C$244*(1-EXP(-(A125-'4. Survival and stay'!$A$5:$A$244)/'3. Assumptions'!$B$46)))</f>
        <v>468.51742491228</v>
      </c>
      <c r="D125" s="39" t="n">
        <f aca="false">C125/'2. The tape'!$B$11</f>
        <v>0.794097330359797</v>
      </c>
      <c r="E125" s="31" t="n">
        <f aca="false">$B$4*'2. The tape'!$B$15*'2. The tape'!$D$11*SUMPRODUCT(('4. Survival and stay'!$A$5:$A$244&lt;=A125)*'4. Survival and stay'!$C$5:$C$244*'5. The rent roll'!$D$5:$D$244*(1-EXP(-(A125-'4. Survival and stay'!$A$5:$A$244)/'3. Assumptions'!$B$46)))</f>
        <v>987971.931003199</v>
      </c>
      <c r="F125" s="49" t="n">
        <f aca="false">IF(C125&gt;0.000000001,E125/(C125*'2. The tape'!$B$15),'2. The tape'!$D$11)</f>
        <v>35.8956904844073</v>
      </c>
      <c r="G125" s="31" t="n">
        <f aca="false">E125*(1+'3. Assumptions'!$B$19+'3. Assumptions'!$B$20+'3. Assumptions'!$B$22)</f>
        <v>1092696.95568954</v>
      </c>
      <c r="H125" s="31" t="n">
        <f aca="false">G125-'6. Income and costs'!$B$39-'3. Assumptions'!$B$31*B125*12-E125*('3. Assumptions'!$B$20*(1-'3. Assumptions'!$B$21)+'3. Assumptions'!$B$33)-G125*('3. Assumptions'!$B$26+'3. Assumptions'!$B$32)</f>
        <v>506939.32955464</v>
      </c>
      <c r="I125" s="34" t="str">
        <f aca="false">IF(H125&gt;0,"Yes","No")</f>
        <v>Yes</v>
      </c>
      <c r="J125" s="34" t="n">
        <f aca="false">IF(H125&gt;0,A125,"")</f>
        <v>113</v>
      </c>
      <c r="K125" s="34" t="n">
        <f aca="false">IF(D125&gt;=0.95*'3. Assumptions'!$B$17,A125,"")</f>
        <v>113</v>
      </c>
    </row>
    <row r="126" customFormat="false" ht="15" hidden="false" customHeight="false" outlineLevel="0" collapsed="false">
      <c r="A126" s="34" t="n">
        <v>114</v>
      </c>
      <c r="B126" s="48" t="n">
        <f aca="false">$B$4*(1-EXP(-A126/'3. Assumptions'!$B$46))</f>
        <v>34.0145089119575</v>
      </c>
      <c r="C126" s="48" t="n">
        <f aca="false">$B$4*SUMPRODUCT(('4. Survival and stay'!$A$5:$A$244&lt;=A126)*'4. Survival and stay'!$C$5:$C$244*(1-EXP(-(A126-'4. Survival and stay'!$A$5:$A$244)/'3. Assumptions'!$B$46)))</f>
        <v>468.588006769914</v>
      </c>
      <c r="D126" s="39" t="n">
        <f aca="false">C126/'2. The tape'!$B$11</f>
        <v>0.794216960626973</v>
      </c>
      <c r="E126" s="31" t="n">
        <f aca="false">$B$4*'2. The tape'!$B$15*'2. The tape'!$D$11*SUMPRODUCT(('4. Survival and stay'!$A$5:$A$244&lt;=A126)*'4. Survival and stay'!$C$5:$C$244*'5. The rent roll'!$D$5:$D$244*(1-EXP(-(A126-'4. Survival and stay'!$A$5:$A$244)/'3. Assumptions'!$B$46)))</f>
        <v>988171.818794143</v>
      </c>
      <c r="F126" s="49" t="n">
        <f aca="false">IF(C126&gt;0.000000001,E126/(C126*'2. The tape'!$B$15),'2. The tape'!$D$11)</f>
        <v>35.8975450053477</v>
      </c>
      <c r="G126" s="31" t="n">
        <f aca="false">E126*(1+'3. Assumptions'!$B$19+'3. Assumptions'!$B$20+'3. Assumptions'!$B$22)</f>
        <v>1092918.03158632</v>
      </c>
      <c r="H126" s="31" t="n">
        <f aca="false">G126-'6. Income and costs'!$B$39-'3. Assumptions'!$B$31*B126*12-E126*('3. Assumptions'!$B$20*(1-'3. Assumptions'!$B$21)+'3. Assumptions'!$B$33)-G126*('3. Assumptions'!$B$26+'3. Assumptions'!$B$32)</f>
        <v>507137.782360684</v>
      </c>
      <c r="I126" s="34" t="str">
        <f aca="false">IF(H126&gt;0,"Yes","No")</f>
        <v>Yes</v>
      </c>
      <c r="J126" s="34" t="n">
        <f aca="false">IF(H126&gt;0,A126,"")</f>
        <v>114</v>
      </c>
      <c r="K126" s="34" t="n">
        <f aca="false">IF(D126&gt;=0.95*'3. Assumptions'!$B$17,A126,"")</f>
        <v>114</v>
      </c>
    </row>
    <row r="127" customFormat="false" ht="15" hidden="false" customHeight="false" outlineLevel="0" collapsed="false">
      <c r="A127" s="34" t="n">
        <v>115</v>
      </c>
      <c r="B127" s="48" t="n">
        <f aca="false">$B$4*(1-EXP(-A127/'3. Assumptions'!$B$46))</f>
        <v>34.0151910093075</v>
      </c>
      <c r="C127" s="48" t="n">
        <f aca="false">$B$4*SUMPRODUCT(('4. Survival and stay'!$A$5:$A$244&lt;=A127)*'4. Survival and stay'!$C$5:$C$244*(1-EXP(-(A127-'4. Survival and stay'!$A$5:$A$244)/'3. Assumptions'!$B$46)))</f>
        <v>468.654203959622</v>
      </c>
      <c r="D127" s="39" t="n">
        <f aca="false">C127/'2. The tape'!$B$11</f>
        <v>0.794329159253597</v>
      </c>
      <c r="E127" s="31" t="n">
        <f aca="false">$B$4*'2. The tape'!$B$15*'2. The tape'!$D$11*SUMPRODUCT(('4. Survival and stay'!$A$5:$A$244&lt;=A127)*'4. Survival and stay'!$C$5:$C$244*'5. The rent roll'!$D$5:$D$244*(1-EXP(-(A127-'4. Survival and stay'!$A$5:$A$244)/'3. Assumptions'!$B$46)))</f>
        <v>988359.421591556</v>
      </c>
      <c r="F127" s="49" t="n">
        <f aca="false">IF(C127&gt;0.000000001,E127/(C127*'2. The tape'!$B$15),'2. The tape'!$D$11)</f>
        <v>35.8992886210609</v>
      </c>
      <c r="G127" s="31" t="n">
        <f aca="false">E127*(1+'3. Assumptions'!$B$19+'3. Assumptions'!$B$20+'3. Assumptions'!$B$22)</f>
        <v>1093125.52028026</v>
      </c>
      <c r="H127" s="31" t="n">
        <f aca="false">G127-'6. Income and costs'!$B$39-'3. Assumptions'!$B$31*B127*12-E127*('3. Assumptions'!$B$20*(1-'3. Assumptions'!$B$21)+'3. Assumptions'!$B$33)-G127*('3. Assumptions'!$B$26+'3. Assumptions'!$B$32)</f>
        <v>507324.046665165</v>
      </c>
      <c r="I127" s="34" t="str">
        <f aca="false">IF(H127&gt;0,"Yes","No")</f>
        <v>Yes</v>
      </c>
      <c r="J127" s="34" t="n">
        <f aca="false">IF(H127&gt;0,A127,"")</f>
        <v>115</v>
      </c>
      <c r="K127" s="34" t="n">
        <f aca="false">IF(D127&gt;=0.95*'3. Assumptions'!$B$17,A127,"")</f>
        <v>115</v>
      </c>
    </row>
    <row r="128" customFormat="false" ht="15" hidden="false" customHeight="false" outlineLevel="0" collapsed="false">
      <c r="A128" s="34" t="n">
        <v>116</v>
      </c>
      <c r="B128" s="48" t="n">
        <f aca="false">$B$4*(1-EXP(-A128/'3. Assumptions'!$B$46))</f>
        <v>34.0158260847621</v>
      </c>
      <c r="C128" s="48" t="n">
        <f aca="false">$B$4*SUMPRODUCT(('4. Survival and stay'!$A$5:$A$244&lt;=A128)*'4. Survival and stay'!$C$5:$C$244*(1-EXP(-(A128-'4. Survival and stay'!$A$5:$A$244)/'3. Assumptions'!$B$46)))</f>
        <v>468.716286758456</v>
      </c>
      <c r="D128" s="39" t="n">
        <f aca="false">C128/'2. The tape'!$B$11</f>
        <v>0.794434384336365</v>
      </c>
      <c r="E128" s="31" t="n">
        <f aca="false">$B$4*'2. The tape'!$B$15*'2. The tape'!$D$11*SUMPRODUCT(('4. Survival and stay'!$A$5:$A$244&lt;=A128)*'4. Survival and stay'!$C$5:$C$244*'5. The rent roll'!$D$5:$D$244*(1-EXP(-(A128-'4. Survival and stay'!$A$5:$A$244)/'3. Assumptions'!$B$46)))</f>
        <v>988535.486890185</v>
      </c>
      <c r="F128" s="49" t="n">
        <f aca="false">IF(C128&gt;0.000000001,E128/(C128*'2. The tape'!$B$15),'2. The tape'!$D$11)</f>
        <v>35.9009278728127</v>
      </c>
      <c r="G128" s="31" t="n">
        <f aca="false">E128*(1+'3. Assumptions'!$B$19+'3. Assumptions'!$B$20+'3. Assumptions'!$B$22)</f>
        <v>1093320.24850054</v>
      </c>
      <c r="H128" s="31" t="n">
        <f aca="false">G128-'6. Income and costs'!$B$39-'3. Assumptions'!$B$31*B128*12-E128*('3. Assumptions'!$B$20*(1-'3. Assumptions'!$B$21)+'3. Assumptions'!$B$33)-G128*('3. Assumptions'!$B$26+'3. Assumptions'!$B$32)</f>
        <v>507498.863472665</v>
      </c>
      <c r="I128" s="34" t="str">
        <f aca="false">IF(H128&gt;0,"Yes","No")</f>
        <v>Yes</v>
      </c>
      <c r="J128" s="34" t="n">
        <f aca="false">IF(H128&gt;0,A128,"")</f>
        <v>116</v>
      </c>
      <c r="K128" s="34" t="n">
        <f aca="false">IF(D128&gt;=0.95*'3. Assumptions'!$B$17,A128,"")</f>
        <v>116</v>
      </c>
    </row>
    <row r="129" customFormat="false" ht="15" hidden="false" customHeight="false" outlineLevel="0" collapsed="false">
      <c r="A129" s="34" t="n">
        <v>117</v>
      </c>
      <c r="B129" s="48" t="n">
        <f aca="false">$B$4*(1-EXP(-A129/'3. Assumptions'!$B$46))</f>
        <v>34.0164173798803</v>
      </c>
      <c r="C129" s="48" t="n">
        <f aca="false">$B$4*SUMPRODUCT(('4. Survival and stay'!$A$5:$A$244&lt;=A129)*'4. Survival and stay'!$C$5:$C$244*(1-EXP(-(A129-'4. Survival and stay'!$A$5:$A$244)/'3. Assumptions'!$B$46)))</f>
        <v>468.774508938636</v>
      </c>
      <c r="D129" s="39" t="n">
        <f aca="false">C129/'2. The tape'!$B$11</f>
        <v>0.794533065997688</v>
      </c>
      <c r="E129" s="31" t="n">
        <f aca="false">$B$4*'2. The tape'!$B$15*'2. The tape'!$D$11*SUMPRODUCT(('4. Survival and stay'!$A$5:$A$244&lt;=A129)*'4. Survival and stay'!$C$5:$C$244*'5. The rent roll'!$D$5:$D$244*(1-EXP(-(A129-'4. Survival and stay'!$A$5:$A$244)/'3. Assumptions'!$B$46)))</f>
        <v>988700.717264573</v>
      </c>
      <c r="F129" s="49" t="n">
        <f aca="false">IF(C129&gt;0.000000001,E129/(C129*'2. The tape'!$B$15),'2. The tape'!$D$11)</f>
        <v>35.9024689217777</v>
      </c>
      <c r="G129" s="31" t="n">
        <f aca="false">E129*(1+'3. Assumptions'!$B$19+'3. Assumptions'!$B$20+'3. Assumptions'!$B$22)</f>
        <v>1093502.99329462</v>
      </c>
      <c r="H129" s="31" t="n">
        <f aca="false">G129-'6. Income and costs'!$B$39-'3. Assumptions'!$B$31*B129*12-E129*('3. Assumptions'!$B$20*(1-'3. Assumptions'!$B$21)+'3. Assumptions'!$B$33)-G129*('3. Assumptions'!$B$26+'3. Assumptions'!$B$32)</f>
        <v>507662.929304218</v>
      </c>
      <c r="I129" s="34" t="str">
        <f aca="false">IF(H129&gt;0,"Yes","No")</f>
        <v>Yes</v>
      </c>
      <c r="J129" s="34" t="n">
        <f aca="false">IF(H129&gt;0,A129,"")</f>
        <v>117</v>
      </c>
      <c r="K129" s="34" t="n">
        <f aca="false">IF(D129&gt;=0.95*'3. Assumptions'!$B$17,A129,"")</f>
        <v>117</v>
      </c>
    </row>
    <row r="130" customFormat="false" ht="15" hidden="false" customHeight="false" outlineLevel="0" collapsed="false">
      <c r="A130" s="34" t="n">
        <v>118</v>
      </c>
      <c r="B130" s="48" t="n">
        <f aca="false">$B$4*(1-EXP(-A130/'3. Assumptions'!$B$46))</f>
        <v>34.0169679127566</v>
      </c>
      <c r="C130" s="48" t="n">
        <f aca="false">$B$4*SUMPRODUCT(('4. Survival and stay'!$A$5:$A$244&lt;=A130)*'4. Survival and stay'!$C$5:$C$244*(1-EXP(-(A130-'4. Survival and stay'!$A$5:$A$244)/'3. Assumptions'!$B$46)))</f>
        <v>468.829108763886</v>
      </c>
      <c r="D130" s="39" t="n">
        <f aca="false">C130/'2. The tape'!$B$11</f>
        <v>0.794625608074383</v>
      </c>
      <c r="E130" s="31" t="n">
        <f aca="false">$B$4*'2. The tape'!$B$15*'2. The tape'!$D$11*SUMPRODUCT(('4. Survival and stay'!$A$5:$A$244&lt;=A130)*'4. Survival and stay'!$C$5:$C$244*'5. The rent roll'!$D$5:$D$244*(1-EXP(-(A130-'4. Survival and stay'!$A$5:$A$244)/'3. Assumptions'!$B$46)))</f>
        <v>988855.773026164</v>
      </c>
      <c r="F130" s="49" t="n">
        <f aca="false">IF(C130&gt;0.000000001,E130/(C130*'2. The tape'!$B$15),'2. The tape'!$D$11)</f>
        <v>35.9039175708289</v>
      </c>
      <c r="G130" s="31" t="n">
        <f aca="false">E130*(1+'3. Assumptions'!$B$19+'3. Assumptions'!$B$20+'3. Assumptions'!$B$22)</f>
        <v>1093674.48496694</v>
      </c>
      <c r="H130" s="31" t="n">
        <f aca="false">G130-'6. Income and costs'!$B$39-'3. Assumptions'!$B$31*B130*12-E130*('3. Assumptions'!$B$20*(1-'3. Assumptions'!$B$21)+'3. Assumptions'!$B$33)-G130*('3. Assumptions'!$B$26+'3. Assumptions'!$B$32)</f>
        <v>507816.898825035</v>
      </c>
      <c r="I130" s="34" t="str">
        <f aca="false">IF(H130&gt;0,"Yes","No")</f>
        <v>Yes</v>
      </c>
      <c r="J130" s="34" t="n">
        <f aca="false">IF(H130&gt;0,A130,"")</f>
        <v>118</v>
      </c>
      <c r="K130" s="34" t="n">
        <f aca="false">IF(D130&gt;=0.95*'3. Assumptions'!$B$17,A130,"")</f>
        <v>118</v>
      </c>
    </row>
    <row r="131" customFormat="false" ht="15" hidden="false" customHeight="false" outlineLevel="0" collapsed="false">
      <c r="A131" s="34" t="n">
        <v>119</v>
      </c>
      <c r="B131" s="48" t="n">
        <f aca="false">$B$4*(1-EXP(-A131/'3. Assumptions'!$B$46))</f>
        <v>34.0174804934267</v>
      </c>
      <c r="C131" s="48" t="n">
        <f aca="false">$B$4*SUMPRODUCT(('4. Survival and stay'!$A$5:$A$244&lt;=A131)*'4. Survival and stay'!$C$5:$C$244*(1-EXP(-(A131-'4. Survival and stay'!$A$5:$A$244)/'3. Assumptions'!$B$46)))</f>
        <v>468.880309926484</v>
      </c>
      <c r="D131" s="39" t="n">
        <f aca="false">C131/'2. The tape'!$B$11</f>
        <v>0.794712389705904</v>
      </c>
      <c r="E131" s="31" t="n">
        <f aca="false">$B$4*'2. The tape'!$B$15*'2. The tape'!$D$11*SUMPRODUCT(('4. Survival and stay'!$A$5:$A$244&lt;=A131)*'4. Survival and stay'!$C$5:$C$244*'5. The rent roll'!$D$5:$D$244*(1-EXP(-(A131-'4. Survival and stay'!$A$5:$A$244)/'3. Assumptions'!$B$46)))</f>
        <v>989001.274726473</v>
      </c>
      <c r="F131" s="49" t="n">
        <f aca="false">IF(C131&gt;0.000000001,E131/(C131*'2. The tape'!$B$15),'2. The tape'!$D$11)</f>
        <v>35.9052792850836</v>
      </c>
      <c r="G131" s="31" t="n">
        <f aca="false">E131*(1+'3. Assumptions'!$B$19+'3. Assumptions'!$B$20+'3. Assumptions'!$B$22)</f>
        <v>1093835.40984748</v>
      </c>
      <c r="H131" s="31" t="n">
        <f aca="false">G131-'6. Income and costs'!$B$39-'3. Assumptions'!$B$31*B131*12-E131*('3. Assumptions'!$B$20*(1-'3. Assumptions'!$B$21)+'3. Assumptions'!$B$33)-G131*('3. Assumptions'!$B$26+'3. Assumptions'!$B$32)</f>
        <v>507961.38732026</v>
      </c>
      <c r="I131" s="34" t="str">
        <f aca="false">IF(H131&gt;0,"Yes","No")</f>
        <v>Yes</v>
      </c>
      <c r="J131" s="34" t="n">
        <f aca="false">IF(H131&gt;0,A131,"")</f>
        <v>119</v>
      </c>
      <c r="K131" s="34" t="n">
        <f aca="false">IF(D131&gt;=0.95*'3. Assumptions'!$B$17,A131,"")</f>
        <v>119</v>
      </c>
    </row>
    <row r="132" customFormat="false" ht="15" hidden="false" customHeight="false" outlineLevel="0" collapsed="false">
      <c r="A132" s="34" t="n">
        <v>120</v>
      </c>
      <c r="B132" s="48" t="n">
        <f aca="false">$B$4*(1-EXP(-A132/'3. Assumptions'!$B$46))</f>
        <v>34.0179577382103</v>
      </c>
      <c r="C132" s="48" t="n">
        <f aca="false">$B$4*SUMPRODUCT(('4. Survival and stay'!$A$5:$A$244&lt;=A132)*'4. Survival and stay'!$C$5:$C$244*(1-EXP(-(A132-'4. Survival and stay'!$A$5:$A$244)/'3. Assumptions'!$B$46)))</f>
        <v>468.928322428499</v>
      </c>
      <c r="D132" s="39" t="n">
        <f aca="false">C132/'2. The tape'!$B$11</f>
        <v>0.794793766827965</v>
      </c>
      <c r="E132" s="31" t="n">
        <f aca="false">$B$4*'2. The tape'!$B$15*'2. The tape'!$D$11*SUMPRODUCT(('4. Survival and stay'!$A$5:$A$244&lt;=A132)*'4. Survival and stay'!$C$5:$C$244*'5. The rent roll'!$D$5:$D$244*(1-EXP(-(A132-'4. Survival and stay'!$A$5:$A$244)/'3. Assumptions'!$B$46)))</f>
        <v>989137.805514974</v>
      </c>
      <c r="F132" s="49" t="n">
        <f aca="false">IF(C132&gt;0.000000001,E132/(C132*'2. The tape'!$B$15),'2. The tape'!$D$11)</f>
        <v>35.9065592112799</v>
      </c>
      <c r="G132" s="31" t="n">
        <f aca="false">E132*(1+'3. Assumptions'!$B$19+'3. Assumptions'!$B$20+'3. Assumptions'!$B$22)</f>
        <v>1093986.41289956</v>
      </c>
      <c r="H132" s="31" t="n">
        <f aca="false">G132-'6. Income and costs'!$B$39-'3. Assumptions'!$B$31*B132*12-E132*('3. Assumptions'!$B$20*(1-'3. Assumptions'!$B$21)+'3. Assumptions'!$B$33)-G132*('3. Assumptions'!$B$26+'3. Assumptions'!$B$32)</f>
        <v>508096.973027298</v>
      </c>
      <c r="I132" s="34" t="str">
        <f aca="false">IF(H132&gt;0,"Yes","No")</f>
        <v>Yes</v>
      </c>
      <c r="J132" s="34" t="n">
        <f aca="false">IF(H132&gt;0,A132,"")</f>
        <v>120</v>
      </c>
      <c r="K132" s="34" t="n">
        <f aca="false">IF(D132&gt;=0.95*'3. Assumptions'!$B$17,A132,"")</f>
        <v>120</v>
      </c>
    </row>
    <row r="134" customFormat="false" ht="15" hidden="false" customHeight="false" outlineLevel="0" collapsed="false">
      <c r="A134" s="2" t="s">
        <v>281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8" min="6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6"/>
    <col collapsed="false" customWidth="true" hidden="false" outlineLevel="0" max="14" min="12" style="0" width="14"/>
  </cols>
  <sheetData>
    <row r="1" customFormat="false" ht="16.15" hidden="false" customHeight="false" outlineLevel="0" collapsed="false">
      <c r="A1" s="5" t="s">
        <v>282</v>
      </c>
    </row>
    <row r="2" customFormat="false" ht="15" hidden="false" customHeight="false" outlineLevel="0" collapsed="false">
      <c r="A2" s="2" t="s">
        <v>283</v>
      </c>
    </row>
    <row r="4" customFormat="false" ht="28.35" hidden="false" customHeight="false" outlineLevel="0" collapsed="false">
      <c r="A4" s="47" t="s">
        <v>284</v>
      </c>
      <c r="B4" s="47" t="s">
        <v>285</v>
      </c>
      <c r="C4" s="47" t="s">
        <v>286</v>
      </c>
      <c r="D4" s="47" t="s">
        <v>163</v>
      </c>
      <c r="E4" s="47" t="s">
        <v>287</v>
      </c>
      <c r="F4" s="47" t="s">
        <v>288</v>
      </c>
      <c r="G4" s="47" t="s">
        <v>289</v>
      </c>
      <c r="H4" s="47" t="s">
        <v>290</v>
      </c>
      <c r="I4" s="47" t="s">
        <v>291</v>
      </c>
      <c r="J4" s="47" t="s">
        <v>292</v>
      </c>
      <c r="K4" s="47" t="s">
        <v>293</v>
      </c>
    </row>
    <row r="5" customFormat="false" ht="15" hidden="false" customHeight="false" outlineLevel="0" collapsed="false">
      <c r="A5" s="34" t="n">
        <v>0</v>
      </c>
      <c r="H5" s="31" t="n">
        <f aca="false">-'6. Income and costs'!$B$35*(1+'3. Assumptions'!$B$43)</f>
        <v>-8988306.09360533</v>
      </c>
      <c r="L5" s="31" t="n">
        <f aca="false">-C26*(1+'3. Assumptions'!$B$43)</f>
        <v>-8271599.37418686</v>
      </c>
      <c r="M5" s="31" t="n">
        <f aca="false">-'6. Income and costs'!$B$35</f>
        <v>-8431806.84203127</v>
      </c>
      <c r="N5" s="2" t="s">
        <v>294</v>
      </c>
    </row>
    <row r="6" customFormat="false" ht="15" hidden="false" customHeight="false" outlineLevel="0" collapsed="false">
      <c r="A6" s="34" t="n">
        <v>1</v>
      </c>
      <c r="B6" s="31" t="n">
        <f aca="false">($A6&lt;='3. Assumptions'!$B$45)*'6. Income and costs'!$B$8*(1+'3. Assumptions'!$B$41)^($A6-1)</f>
        <v>1096243.12268281</v>
      </c>
      <c r="C6" s="31" t="n">
        <f aca="false">($A6&lt;='3. Assumptions'!$B$45)*'6. Income and costs'!$B$23*(1+'3. Assumptions'!$B$42)^($A6-1)</f>
        <v>586118.808739921</v>
      </c>
      <c r="D6" s="31" t="n">
        <f aca="false">B6-C6</f>
        <v>510124.313942892</v>
      </c>
      <c r="E6" s="31" t="n">
        <f aca="false">($A6&lt;='3. Assumptions'!$B$45)*'3. Assumptions'!$B$34*'2. The tape'!$B$13*(1+'3. Assumptions'!$B$42)^($A6-1)</f>
        <v>21000</v>
      </c>
      <c r="F6" s="31" t="n">
        <f aca="false">($A6&lt;='3. Assumptions'!$B$45)*IF(MOD($A6+'3. Assumptions'!$B$37,'3. Assumptions'!$B$35)=0,'3. Assumptions'!$B$36*'2. The tape'!$B$13*(1+'3. Assumptions'!$B$42)^($A6-1),0)</f>
        <v>0</v>
      </c>
      <c r="G6" s="31" t="n">
        <f aca="false">D6-E6-F6</f>
        <v>489124.313942892</v>
      </c>
      <c r="H6" s="31" t="n">
        <f aca="false">G6+IF($A6='3. Assumptions'!$B$45,$C$23,0)</f>
        <v>489124.313942892</v>
      </c>
      <c r="I6" s="50" t="n">
        <f aca="false">1/(1+'3. Assumptions'!$B$40)^$A6</f>
        <v>0.922083909635777</v>
      </c>
      <c r="J6" s="31" t="n">
        <f aca="false">G6*I6</f>
        <v>451013.659698379</v>
      </c>
      <c r="K6" s="31" t="n">
        <f aca="false">($A6&lt;='3. Assumptions'!$B$45)*(-'6. Income and costs'!$B$39*(1+'3. Assumptions'!$B$42)^($A6-1))-E6-F6</f>
        <v>-448900</v>
      </c>
      <c r="L6" s="31" t="n">
        <f aca="false">H6</f>
        <v>489124.313942892</v>
      </c>
      <c r="M6" s="31" t="n">
        <f aca="false">H6</f>
        <v>489124.313942892</v>
      </c>
    </row>
    <row r="7" customFormat="false" ht="15" hidden="false" customHeight="false" outlineLevel="0" collapsed="false">
      <c r="A7" s="34" t="n">
        <v>2</v>
      </c>
      <c r="B7" s="31" t="n">
        <f aca="false">($A7&lt;='3. Assumptions'!$B$45)*'6. Income and costs'!$B$8*(1+'3. Assumptions'!$B$41)^($A7-1)</f>
        <v>1128034.17324061</v>
      </c>
      <c r="C7" s="31" t="n">
        <f aca="false">($A7&lt;='3. Assumptions'!$B$45)*'6. Income and costs'!$B$23*(1+'3. Assumptions'!$B$42)^($A7-1)</f>
        <v>604288.491810859</v>
      </c>
      <c r="D7" s="31" t="n">
        <f aca="false">B7-C7</f>
        <v>523745.681429756</v>
      </c>
      <c r="E7" s="31" t="n">
        <f aca="false">($A7&lt;='3. Assumptions'!$B$45)*'3. Assumptions'!$B$34*'2. The tape'!$B$13*(1+'3. Assumptions'!$B$42)^($A7-1)</f>
        <v>21651</v>
      </c>
      <c r="F7" s="31" t="n">
        <f aca="false">($A7&lt;='3. Assumptions'!$B$45)*IF(MOD($A7+'3. Assumptions'!$B$37,'3. Assumptions'!$B$35)=0,'3. Assumptions'!$B$36*'2. The tape'!$B$13*(1+'3. Assumptions'!$B$42)^($A7-1),0)</f>
        <v>0</v>
      </c>
      <c r="G7" s="31" t="n">
        <f aca="false">D7-E7-F7</f>
        <v>502094.681429756</v>
      </c>
      <c r="H7" s="31" t="n">
        <f aca="false">G7+IF($A7='3. Assumptions'!$B$45,$C$23,0)</f>
        <v>502094.681429756</v>
      </c>
      <c r="I7" s="50" t="n">
        <f aca="false">1/(1+'3. Assumptions'!$B$40)^$A7</f>
        <v>0.850238736409199</v>
      </c>
      <c r="J7" s="31" t="n">
        <f aca="false">G7*I7</f>
        <v>426900.347496615</v>
      </c>
      <c r="K7" s="31" t="n">
        <f aca="false">($A7&lt;='3. Assumptions'!$B$45)*(-'6. Income and costs'!$B$39*(1+'3. Assumptions'!$B$42)^($A7-1))-E7-F7</f>
        <v>-462815.9</v>
      </c>
      <c r="L7" s="31" t="n">
        <f aca="false">H7</f>
        <v>502094.681429756</v>
      </c>
      <c r="M7" s="31" t="n">
        <f aca="false">H7</f>
        <v>502094.681429756</v>
      </c>
    </row>
    <row r="8" customFormat="false" ht="15" hidden="false" customHeight="false" outlineLevel="0" collapsed="false">
      <c r="A8" s="34" t="n">
        <v>3</v>
      </c>
      <c r="B8" s="31" t="n">
        <f aca="false">($A8&lt;='3. Assumptions'!$B$45)*'6. Income and costs'!$B$8*(1+'3. Assumptions'!$B$41)^($A8-1)</f>
        <v>1160747.16426459</v>
      </c>
      <c r="C8" s="31" t="n">
        <f aca="false">($A8&lt;='3. Assumptions'!$B$45)*'6. Income and costs'!$B$23*(1+'3. Assumptions'!$B$42)^($A8-1)</f>
        <v>623021.435056995</v>
      </c>
      <c r="D8" s="31" t="n">
        <f aca="false">B8-C8</f>
        <v>537725.729207597</v>
      </c>
      <c r="E8" s="31" t="n">
        <f aca="false">($A8&lt;='3. Assumptions'!$B$45)*'3. Assumptions'!$B$34*'2. The tape'!$B$13*(1+'3. Assumptions'!$B$42)^($A8-1)</f>
        <v>22322.181</v>
      </c>
      <c r="F8" s="31" t="n">
        <f aca="false">($A8&lt;='3. Assumptions'!$B$45)*IF(MOD($A8+'3. Assumptions'!$B$37,'3. Assumptions'!$B$35)=0,'3. Assumptions'!$B$36*'2. The tape'!$B$13*(1+'3. Assumptions'!$B$42)^($A8-1),0)</f>
        <v>0</v>
      </c>
      <c r="G8" s="31" t="n">
        <f aca="false">D8-E8-F8</f>
        <v>515403.548207597</v>
      </c>
      <c r="H8" s="31" t="n">
        <f aca="false">G8+IF($A8='3. Assumptions'!$B$45,$C$23,0)</f>
        <v>515403.548207597</v>
      </c>
      <c r="I8" s="50" t="n">
        <f aca="false">1/(1+'3. Assumptions'!$B$40)^$A8</f>
        <v>0.783991458191977</v>
      </c>
      <c r="J8" s="31" t="n">
        <f aca="false">G8*I8</f>
        <v>404071.979316593</v>
      </c>
      <c r="K8" s="31" t="n">
        <f aca="false">($A8&lt;='3. Assumptions'!$B$45)*(-'6. Income and costs'!$B$39*(1+'3. Assumptions'!$B$42)^($A8-1))-E8-F8</f>
        <v>-477163.1929</v>
      </c>
      <c r="L8" s="31" t="n">
        <f aca="false">H8</f>
        <v>515403.548207597</v>
      </c>
      <c r="M8" s="31" t="n">
        <f aca="false">H8</f>
        <v>515403.548207597</v>
      </c>
    </row>
    <row r="9" customFormat="false" ht="15" hidden="false" customHeight="false" outlineLevel="0" collapsed="false">
      <c r="A9" s="34" t="n">
        <v>4</v>
      </c>
      <c r="B9" s="31" t="n">
        <f aca="false">($A9&lt;='3. Assumptions'!$B$45)*'6. Income and costs'!$B$8*(1+'3. Assumptions'!$B$41)^($A9-1)</f>
        <v>1194408.83202827</v>
      </c>
      <c r="C9" s="31" t="n">
        <f aca="false">($A9&lt;='3. Assumptions'!$B$45)*'6. Income and costs'!$B$23*(1+'3. Assumptions'!$B$42)^($A9-1)</f>
        <v>642335.099543762</v>
      </c>
      <c r="D9" s="31" t="n">
        <f aca="false">B9-C9</f>
        <v>552073.732484503</v>
      </c>
      <c r="E9" s="31" t="n">
        <f aca="false">($A9&lt;='3. Assumptions'!$B$45)*'3. Assumptions'!$B$34*'2. The tape'!$B$13*(1+'3. Assumptions'!$B$42)^($A9-1)</f>
        <v>23014.168611</v>
      </c>
      <c r="F9" s="31" t="n">
        <f aca="false">($A9&lt;='3. Assumptions'!$B$45)*IF(MOD($A9+'3. Assumptions'!$B$37,'3. Assumptions'!$B$35)=0,'3. Assumptions'!$B$36*'2. The tape'!$B$13*(1+'3. Assumptions'!$B$42)^($A9-1),0)</f>
        <v>0</v>
      </c>
      <c r="G9" s="31" t="n">
        <f aca="false">D9-E9-F9</f>
        <v>529059.563873504</v>
      </c>
      <c r="H9" s="31" t="n">
        <f aca="false">G9+IF($A9='3. Assumptions'!$B$45,$C$23,0)</f>
        <v>529059.563873504</v>
      </c>
      <c r="I9" s="50" t="n">
        <f aca="false">1/(1+'3. Assumptions'!$B$40)^$A9</f>
        <v>0.722905908890712</v>
      </c>
      <c r="J9" s="31" t="n">
        <f aca="false">G9*I9</f>
        <v>382460.284879299</v>
      </c>
      <c r="K9" s="31" t="n">
        <f aca="false">($A9&lt;='3. Assumptions'!$B$45)*(-'6. Income and costs'!$B$39*(1+'3. Assumptions'!$B$42)^($A9-1))-E9-F9</f>
        <v>-491955.2518799</v>
      </c>
      <c r="L9" s="31" t="n">
        <f aca="false">H9</f>
        <v>529059.563873504</v>
      </c>
      <c r="M9" s="31" t="n">
        <f aca="false">H9</f>
        <v>529059.563873504</v>
      </c>
    </row>
    <row r="10" customFormat="false" ht="15" hidden="false" customHeight="false" outlineLevel="0" collapsed="false">
      <c r="A10" s="34" t="n">
        <v>5</v>
      </c>
      <c r="B10" s="31" t="n">
        <f aca="false">($A10&lt;='3. Assumptions'!$B$45)*'6. Income and costs'!$B$8*(1+'3. Assumptions'!$B$41)^($A10-1)</f>
        <v>1229046.68815708</v>
      </c>
      <c r="C10" s="31" t="n">
        <f aca="false">($A10&lt;='3. Assumptions'!$B$45)*'6. Income and costs'!$B$23*(1+'3. Assumptions'!$B$42)^($A10-1)</f>
        <v>662247.487629619</v>
      </c>
      <c r="D10" s="31" t="n">
        <f aca="false">B10-C10</f>
        <v>566799.200527466</v>
      </c>
      <c r="E10" s="31" t="n">
        <f aca="false">($A10&lt;='3. Assumptions'!$B$45)*'3. Assumptions'!$B$34*'2. The tape'!$B$13*(1+'3. Assumptions'!$B$42)^($A10-1)</f>
        <v>23727.607837941</v>
      </c>
      <c r="F10" s="31" t="n">
        <f aca="false">($A10&lt;='3. Assumptions'!$B$45)*IF(MOD($A10+'3. Assumptions'!$B$37,'3. Assumptions'!$B$35)=0,'3. Assumptions'!$B$36*'2. The tape'!$B$13*(1+'3. Assumptions'!$B$42)^($A10-1),0)</f>
        <v>0</v>
      </c>
      <c r="G10" s="31" t="n">
        <f aca="false">D10-E10-F10</f>
        <v>543071.592689525</v>
      </c>
      <c r="H10" s="31" t="n">
        <f aca="false">G10+IF($A10='3. Assumptions'!$B$45,$C$23,0)</f>
        <v>543071.592689525</v>
      </c>
      <c r="I10" s="50" t="n">
        <f aca="false">1/(1+'3. Assumptions'!$B$40)^$A10</f>
        <v>0.666579906768753</v>
      </c>
      <c r="J10" s="31" t="n">
        <f aca="false">G10*I10</f>
        <v>362000.611623742</v>
      </c>
      <c r="K10" s="31" t="n">
        <f aca="false">($A10&lt;='3. Assumptions'!$B$45)*(-'6. Income and costs'!$B$39*(1+'3. Assumptions'!$B$42)^($A10-1))-E10-F10</f>
        <v>-507205.864688177</v>
      </c>
      <c r="L10" s="31" t="n">
        <f aca="false">H10</f>
        <v>543071.592689525</v>
      </c>
      <c r="M10" s="31" t="n">
        <f aca="false">H10</f>
        <v>543071.592689525</v>
      </c>
    </row>
    <row r="11" customFormat="false" ht="15" hidden="false" customHeight="false" outlineLevel="0" collapsed="false">
      <c r="A11" s="34" t="n">
        <v>6</v>
      </c>
      <c r="B11" s="31" t="n">
        <f aca="false">($A11&lt;='3. Assumptions'!$B$45)*'6. Income and costs'!$B$8*(1+'3. Assumptions'!$B$41)^($A11-1)</f>
        <v>1264689.04211364</v>
      </c>
      <c r="C11" s="31" t="n">
        <f aca="false">($A11&lt;='3. Assumptions'!$B$45)*'6. Income and costs'!$B$23*(1+'3. Assumptions'!$B$42)^($A11-1)</f>
        <v>682777.159746137</v>
      </c>
      <c r="D11" s="31" t="n">
        <f aca="false">B11-C11</f>
        <v>581911.882367504</v>
      </c>
      <c r="E11" s="31" t="n">
        <f aca="false">($A11&lt;='3. Assumptions'!$B$45)*'3. Assumptions'!$B$34*'2. The tape'!$B$13*(1+'3. Assumptions'!$B$42)^($A11-1)</f>
        <v>24463.1636809172</v>
      </c>
      <c r="F11" s="31" t="n">
        <f aca="false">($A11&lt;='3. Assumptions'!$B$45)*IF(MOD($A11+'3. Assumptions'!$B$37,'3. Assumptions'!$B$35)=0,'3. Assumptions'!$B$36*'2. The tape'!$B$13*(1+'3. Assumptions'!$B$42)^($A11-1),0)</f>
        <v>0</v>
      </c>
      <c r="G11" s="31" t="n">
        <f aca="false">D11-E11-F11</f>
        <v>557448.718686586</v>
      </c>
      <c r="H11" s="31" t="n">
        <f aca="false">G11+IF($A11='3. Assumptions'!$B$45,$C$23,0)</f>
        <v>557448.718686586</v>
      </c>
      <c r="I11" s="50" t="n">
        <f aca="false">1/(1+'3. Assumptions'!$B$40)^$A11</f>
        <v>0.614642606517983</v>
      </c>
      <c r="J11" s="31" t="n">
        <f aca="false">G11*I11</f>
        <v>342631.733453633</v>
      </c>
      <c r="K11" s="31" t="n">
        <f aca="false">($A11&lt;='3. Assumptions'!$B$45)*(-'6. Income and costs'!$B$39*(1+'3. Assumptions'!$B$42)^($A11-1))-E11-F11</f>
        <v>-522929.24649351</v>
      </c>
      <c r="L11" s="31" t="n">
        <f aca="false">H11</f>
        <v>557448.718686586</v>
      </c>
      <c r="M11" s="31" t="n">
        <f aca="false">H11</f>
        <v>557448.718686586</v>
      </c>
    </row>
    <row r="12" customFormat="false" ht="15" hidden="false" customHeight="false" outlineLevel="0" collapsed="false">
      <c r="A12" s="34" t="n">
        <v>7</v>
      </c>
      <c r="B12" s="31" t="n">
        <f aca="false">($A12&lt;='3. Assumptions'!$B$45)*'6. Income and costs'!$B$8*(1+'3. Assumptions'!$B$41)^($A12-1)</f>
        <v>1301365.02433494</v>
      </c>
      <c r="C12" s="31" t="n">
        <f aca="false">($A12&lt;='3. Assumptions'!$B$45)*'6. Income and costs'!$B$23*(1+'3. Assumptions'!$B$42)^($A12-1)</f>
        <v>703943.251698267</v>
      </c>
      <c r="D12" s="31" t="n">
        <f aca="false">B12-C12</f>
        <v>597421.772636669</v>
      </c>
      <c r="E12" s="31" t="n">
        <f aca="false">($A12&lt;='3. Assumptions'!$B$45)*'3. Assumptions'!$B$34*'2. The tape'!$B$13*(1+'3. Assumptions'!$B$42)^($A12-1)</f>
        <v>25221.5217550256</v>
      </c>
      <c r="F12" s="31" t="n">
        <f aca="false">($A12&lt;='3. Assumptions'!$B$45)*IF(MOD($A12+'3. Assumptions'!$B$37,'3. Assumptions'!$B$35)=0,'3. Assumptions'!$B$36*'2. The tape'!$B$13*(1+'3. Assumptions'!$B$42)^($A12-1),0)</f>
        <v>0</v>
      </c>
      <c r="G12" s="31" t="n">
        <f aca="false">D12-E12-F12</f>
        <v>572200.250881643</v>
      </c>
      <c r="H12" s="31" t="n">
        <f aca="false">G12+IF($A12='3. Assumptions'!$B$45,$C$23,0)</f>
        <v>572200.250881643</v>
      </c>
      <c r="I12" s="50" t="n">
        <f aca="false">1/(1+'3. Assumptions'!$B$40)^$A12</f>
        <v>0.566752057646826</v>
      </c>
      <c r="J12" s="31" t="n">
        <f aca="false">G12*I12</f>
        <v>324295.669573201</v>
      </c>
      <c r="K12" s="31" t="n">
        <f aca="false">($A12&lt;='3. Assumptions'!$B$45)*(-'6. Income and costs'!$B$39*(1+'3. Assumptions'!$B$42)^($A12-1))-E12-F12</f>
        <v>-539140.053134809</v>
      </c>
      <c r="L12" s="31" t="n">
        <f aca="false">H12</f>
        <v>572200.250881643</v>
      </c>
      <c r="M12" s="31" t="n">
        <f aca="false">H12</f>
        <v>572200.250881643</v>
      </c>
    </row>
    <row r="13" customFormat="false" ht="15" hidden="false" customHeight="false" outlineLevel="0" collapsed="false">
      <c r="A13" s="34" t="n">
        <v>8</v>
      </c>
      <c r="B13" s="31" t="n">
        <f aca="false">($A13&lt;='3. Assumptions'!$B$45)*'6. Income and costs'!$B$8*(1+'3. Assumptions'!$B$41)^($A13-1)</f>
        <v>1339104.61004065</v>
      </c>
      <c r="C13" s="31" t="n">
        <f aca="false">($A13&lt;='3. Assumptions'!$B$45)*'6. Income and costs'!$B$23*(1+'3. Assumptions'!$B$42)^($A13-1)</f>
        <v>725765.492500913</v>
      </c>
      <c r="D13" s="31" t="n">
        <f aca="false">B13-C13</f>
        <v>613339.117539736</v>
      </c>
      <c r="E13" s="31" t="n">
        <f aca="false">($A13&lt;='3. Assumptions'!$B$45)*'3. Assumptions'!$B$34*'2. The tape'!$B$13*(1+'3. Assumptions'!$B$42)^($A13-1)</f>
        <v>26003.3889294314</v>
      </c>
      <c r="F13" s="31" t="n">
        <f aca="false">($A13&lt;='3. Assumptions'!$B$45)*IF(MOD($A13+'3. Assumptions'!$B$37,'3. Assumptions'!$B$35)=0,'3. Assumptions'!$B$36*'2. The tape'!$B$13*(1+'3. Assumptions'!$B$42)^($A13-1),0)</f>
        <v>421007.249333651</v>
      </c>
      <c r="G13" s="31" t="n">
        <f aca="false">D13-E13-F13</f>
        <v>166328.479276653</v>
      </c>
      <c r="H13" s="31" t="n">
        <f aca="false">G13+IF($A13='3. Assumptions'!$B$45,$C$23,0)</f>
        <v>166328.479276653</v>
      </c>
      <c r="I13" s="50" t="n">
        <f aca="false">1/(1+'3. Assumptions'!$B$40)^$A13</f>
        <v>0.522592953109107</v>
      </c>
      <c r="J13" s="31" t="n">
        <f aca="false">G13*I13</f>
        <v>86922.0911713331</v>
      </c>
      <c r="K13" s="31" t="n">
        <f aca="false">($A13&lt;='3. Assumptions'!$B$45)*(-'6. Income and costs'!$B$39*(1+'3. Assumptions'!$B$42)^($A13-1))-E13-F13</f>
        <v>-976860.644115639</v>
      </c>
      <c r="L13" s="31" t="n">
        <f aca="false">H13</f>
        <v>166328.479276653</v>
      </c>
      <c r="M13" s="31" t="n">
        <f aca="false">H13</f>
        <v>166328.479276653</v>
      </c>
    </row>
    <row r="14" customFormat="false" ht="15" hidden="false" customHeight="false" outlineLevel="0" collapsed="false">
      <c r="A14" s="34" t="n">
        <v>9</v>
      </c>
      <c r="B14" s="31" t="n">
        <f aca="false">($A14&lt;='3. Assumptions'!$B$45)*'6. Income and costs'!$B$8*(1+'3. Assumptions'!$B$41)^($A14-1)</f>
        <v>1377938.64373183</v>
      </c>
      <c r="C14" s="31" t="n">
        <f aca="false">($A14&lt;='3. Assumptions'!$B$45)*'6. Income and costs'!$B$23*(1+'3. Assumptions'!$B$42)^($A14-1)</f>
        <v>748264.222768442</v>
      </c>
      <c r="D14" s="31" t="n">
        <f aca="false">B14-C14</f>
        <v>629674.420963386</v>
      </c>
      <c r="E14" s="31" t="n">
        <f aca="false">($A14&lt;='3. Assumptions'!$B$45)*'3. Assumptions'!$B$34*'2. The tape'!$B$13*(1+'3. Assumptions'!$B$42)^($A14-1)</f>
        <v>26809.4939862438</v>
      </c>
      <c r="F14" s="31" t="n">
        <f aca="false">($A14&lt;='3. Assumptions'!$B$45)*IF(MOD($A14+'3. Assumptions'!$B$37,'3. Assumptions'!$B$35)=0,'3. Assumptions'!$B$36*'2. The tape'!$B$13*(1+'3. Assumptions'!$B$42)^($A14-1),0)</f>
        <v>0</v>
      </c>
      <c r="G14" s="31" t="n">
        <f aca="false">D14-E14-F14</f>
        <v>602864.926977142</v>
      </c>
      <c r="H14" s="31" t="n">
        <f aca="false">G14+IF($A14='3. Assumptions'!$B$45,$C$23,0)</f>
        <v>602864.926977142</v>
      </c>
      <c r="I14" s="50" t="n">
        <f aca="false">1/(1+'3. Assumptions'!$B$40)^$A14</f>
        <v>0.481874553350951</v>
      </c>
      <c r="J14" s="31" t="n">
        <f aca="false">G14*I14</f>
        <v>290505.267418064</v>
      </c>
      <c r="K14" s="31" t="n">
        <f aca="false">($A14&lt;='3. Assumptions'!$B$45)*(-'6. Income and costs'!$B$39*(1+'3. Assumptions'!$B$42)^($A14-1))-E14-F14</f>
        <v>-573084.85002023</v>
      </c>
      <c r="L14" s="31" t="n">
        <f aca="false">H14</f>
        <v>602864.926977142</v>
      </c>
      <c r="M14" s="31" t="n">
        <f aca="false">H14</f>
        <v>602864.926977142</v>
      </c>
    </row>
    <row r="15" customFormat="false" ht="15" hidden="false" customHeight="false" outlineLevel="0" collapsed="false">
      <c r="A15" s="34" t="n">
        <v>10</v>
      </c>
      <c r="B15" s="31" t="n">
        <f aca="false">($A15&lt;='3. Assumptions'!$B$45)*'6. Income and costs'!$B$8*(1+'3. Assumptions'!$B$41)^($A15-1)</f>
        <v>1417898.86440005</v>
      </c>
      <c r="C15" s="31" t="n">
        <f aca="false">($A15&lt;='3. Assumptions'!$B$45)*'6. Income and costs'!$B$23*(1+'3. Assumptions'!$B$42)^($A15-1)</f>
        <v>771460.413674263</v>
      </c>
      <c r="D15" s="31" t="n">
        <f aca="false">B15-C15</f>
        <v>646438.450725787</v>
      </c>
      <c r="E15" s="31" t="n">
        <f aca="false">($A15&lt;='3. Assumptions'!$B$45)*'3. Assumptions'!$B$34*'2. The tape'!$B$13*(1+'3. Assumptions'!$B$42)^($A15-1)</f>
        <v>27640.5882998173</v>
      </c>
      <c r="F15" s="31" t="n">
        <f aca="false">($A15&lt;='3. Assumptions'!$B$45)*IF(MOD($A15+'3. Assumptions'!$B$37,'3. Assumptions'!$B$35)=0,'3. Assumptions'!$B$36*'2. The tape'!$B$13*(1+'3. Assumptions'!$B$42)^($A15-1),0)</f>
        <v>0</v>
      </c>
      <c r="G15" s="31" t="n">
        <f aca="false">D15-E15-F15</f>
        <v>618797.86242597</v>
      </c>
      <c r="H15" s="31" t="n">
        <f aca="false">G15+IF($A15='3. Assumptions'!$B$45,$C$23,0)</f>
        <v>10552259.3500523</v>
      </c>
      <c r="I15" s="50" t="n">
        <f aca="false">1/(1+'3. Assumptions'!$B$40)^$A15</f>
        <v>0.444328772107839</v>
      </c>
      <c r="J15" s="31" t="n">
        <f aca="false">G15*I15</f>
        <v>274949.694394687</v>
      </c>
      <c r="K15" s="31" t="n">
        <f aca="false">($A15&lt;='3. Assumptions'!$B$45)*(-'6. Income and costs'!$B$39*(1+'3. Assumptions'!$B$42)^($A15-1))-E15-F15</f>
        <v>-590850.480370857</v>
      </c>
      <c r="L15" s="31" t="n">
        <f aca="false">H15</f>
        <v>10552259.3500523</v>
      </c>
      <c r="M15" s="31" t="n">
        <f aca="false">H15</f>
        <v>10552259.3500523</v>
      </c>
    </row>
    <row r="17" customFormat="false" ht="15" hidden="false" customHeight="false" outlineLevel="0" collapsed="false">
      <c r="A17" s="14" t="s">
        <v>295</v>
      </c>
    </row>
    <row r="18" customFormat="false" ht="15" hidden="false" customHeight="false" outlineLevel="0" collapsed="false">
      <c r="A18" s="34" t="s">
        <v>296</v>
      </c>
      <c r="C18" s="31" t="n">
        <f aca="false">'6. Income and costs'!$B$8*(1+'3. Assumptions'!$B$41)^'3. Assumptions'!$B$45-'6. Income and costs'!$B$23*(1+'3. Assumptions'!$B$42)^'3. Assumptions'!$B$45</f>
        <v>663642.244969487</v>
      </c>
    </row>
    <row r="19" customFormat="false" ht="15" hidden="false" customHeight="false" outlineLevel="0" collapsed="false">
      <c r="A19" s="34" t="s">
        <v>297</v>
      </c>
      <c r="C19" s="31" t="n">
        <f aca="false">C18/'3. Assumptions'!$B$39</f>
        <v>10131942.6712899</v>
      </c>
    </row>
    <row r="20" customFormat="false" ht="15" hidden="false" customHeight="false" outlineLevel="0" collapsed="false">
      <c r="A20" s="34" t="s">
        <v>298</v>
      </c>
      <c r="C20" s="31" t="n">
        <f aca="false">-C19*'3. Assumptions'!$B$44</f>
        <v>-121583.312055478</v>
      </c>
    </row>
    <row r="21" customFormat="false" ht="15" hidden="false" customHeight="false" outlineLevel="0" collapsed="false">
      <c r="A21" s="34" t="s">
        <v>299</v>
      </c>
      <c r="C21" s="51" t="n">
        <f aca="false">MOD('3. Assumptions'!$B$45+'3. Assumptions'!$B$37,'3. Assumptions'!$B$35)</f>
        <v>2</v>
      </c>
    </row>
    <row r="22" customFormat="false" ht="15" hidden="false" customHeight="false" outlineLevel="0" collapsed="false">
      <c r="A22" s="34" t="s">
        <v>300</v>
      </c>
      <c r="C22" s="31" t="n">
        <f aca="false">-'3. Assumptions'!$B$36*'2. The tape'!$B$13*(1+'3. Assumptions'!$B$42)^'3. Assumptions'!$B$45*C21/'3. Assumptions'!$B$35</f>
        <v>-76897.871608079</v>
      </c>
    </row>
    <row r="23" customFormat="false" ht="15" hidden="false" customHeight="false" outlineLevel="0" collapsed="false">
      <c r="A23" s="34" t="s">
        <v>301</v>
      </c>
      <c r="C23" s="16" t="n">
        <f aca="false">C19+C20+C22</f>
        <v>9933461.48762632</v>
      </c>
    </row>
    <row r="25" customFormat="false" ht="15" hidden="false" customHeight="false" outlineLevel="0" collapsed="false">
      <c r="A25" s="14" t="s">
        <v>302</v>
      </c>
    </row>
    <row r="26" customFormat="false" ht="15" hidden="false" customHeight="false" outlineLevel="0" collapsed="false">
      <c r="A26" s="34" t="s">
        <v>303</v>
      </c>
      <c r="C26" s="16" t="n">
        <f aca="false">SUM(J6:J15)+C23/(1+'3. Assumptions'!$B$40)^'3. Assumptions'!$B$45</f>
        <v>7759474.08460305</v>
      </c>
    </row>
    <row r="27" customFormat="false" ht="15" hidden="false" customHeight="false" outlineLevel="0" collapsed="false">
      <c r="A27" s="34" t="s">
        <v>224</v>
      </c>
      <c r="C27" s="31" t="n">
        <f aca="false">'6. Income and costs'!$B$35</f>
        <v>8431806.84203127</v>
      </c>
    </row>
    <row r="28" customFormat="false" ht="15" hidden="false" customHeight="false" outlineLevel="0" collapsed="false">
      <c r="A28" s="34" t="s">
        <v>304</v>
      </c>
      <c r="C28" s="39" t="n">
        <f aca="false">C26/C27-1</f>
        <v>-0.0797376849380301</v>
      </c>
    </row>
    <row r="29" customFormat="false" ht="15" hidden="false" customHeight="false" outlineLevel="0" collapsed="false">
      <c r="A29" s="34" t="s">
        <v>241</v>
      </c>
      <c r="C29" s="52" t="n">
        <f aca="false">IRR(H5:H15)</f>
        <v>0.0644362630141591</v>
      </c>
    </row>
    <row r="30" customFormat="false" ht="15" hidden="false" customHeight="false" outlineLevel="0" collapsed="false">
      <c r="A30" s="34" t="s">
        <v>305</v>
      </c>
      <c r="C30" s="51" t="n">
        <f aca="false">('3. Assumptions'!$B$40-C29)*10000</f>
        <v>200.637369858409</v>
      </c>
    </row>
    <row r="31" customFormat="false" ht="15" hidden="false" customHeight="false" outlineLevel="0" collapsed="false">
      <c r="A31" s="34" t="s">
        <v>306</v>
      </c>
      <c r="C31" s="31" t="n">
        <f aca="false">SUM(J6:J15)</f>
        <v>3345751.33902555</v>
      </c>
    </row>
    <row r="32" customFormat="false" ht="15" hidden="false" customHeight="false" outlineLevel="0" collapsed="false">
      <c r="A32" s="34" t="s">
        <v>307</v>
      </c>
      <c r="C32" s="31" t="n">
        <f aca="false">C23/(1+'3. Assumptions'!$B$40)^'3. Assumptions'!$B$45</f>
        <v>4413722.74557751</v>
      </c>
    </row>
    <row r="33" customFormat="false" ht="15" hidden="false" customHeight="false" outlineLevel="0" collapsed="false">
      <c r="A33" s="34" t="s">
        <v>308</v>
      </c>
      <c r="C33" s="39" t="n">
        <f aca="false">C32/C26</f>
        <v>0.5688172545528</v>
      </c>
    </row>
    <row r="34" customFormat="false" ht="15" hidden="false" customHeight="false" outlineLevel="0" collapsed="false">
      <c r="A34" s="34" t="s">
        <v>309</v>
      </c>
      <c r="C34" s="16" t="n">
        <f aca="false">C26/(1+'3. Assumptions'!$B$43)</f>
        <v>7279056.3645432</v>
      </c>
    </row>
    <row r="35" customFormat="false" ht="15" hidden="false" customHeight="false" outlineLevel="0" collapsed="false">
      <c r="A35" s="34" t="s">
        <v>310</v>
      </c>
      <c r="C35" s="49" t="n">
        <f aca="false">C34/'2. The tape'!$B$13</f>
        <v>145.581127290864</v>
      </c>
    </row>
    <row r="36" customFormat="false" ht="15" hidden="false" customHeight="false" outlineLevel="0" collapsed="false">
      <c r="A36" s="34" t="s">
        <v>311</v>
      </c>
      <c r="C36" s="39" t="n">
        <f aca="false">1-C34/C27</f>
        <v>0.136714526208284</v>
      </c>
    </row>
    <row r="37" customFormat="false" ht="15" hidden="false" customHeight="false" outlineLevel="0" collapsed="false">
      <c r="A37" s="34" t="s">
        <v>312</v>
      </c>
      <c r="C37" s="53" t="n">
        <f aca="false">IRR(L5:L15)</f>
        <v>0.0756743859134239</v>
      </c>
    </row>
    <row r="38" customFormat="false" ht="15" hidden="false" customHeight="false" outlineLevel="0" collapsed="false">
      <c r="A38" s="34" t="s">
        <v>313</v>
      </c>
      <c r="C38" s="51" t="n">
        <f aca="false">('3. Assumptions'!$B$40-C37)*10000</f>
        <v>88.2561408657612</v>
      </c>
    </row>
    <row r="40" customFormat="false" ht="15" hidden="false" customHeight="false" outlineLevel="0" collapsed="false">
      <c r="A40" s="14" t="s">
        <v>314</v>
      </c>
    </row>
    <row r="41" customFormat="false" ht="15" hidden="false" customHeight="false" outlineLevel="0" collapsed="false">
      <c r="A41" s="34" t="s">
        <v>315</v>
      </c>
      <c r="C41" s="53" t="n">
        <f aca="false">'3. Assumptions'!$B$47+'3. Assumptions'!$B$48</f>
        <v>0.069</v>
      </c>
    </row>
    <row r="42" customFormat="false" ht="15" hidden="false" customHeight="false" outlineLevel="0" collapsed="false">
      <c r="A42" s="34" t="s">
        <v>316</v>
      </c>
      <c r="C42" s="39" t="n">
        <f aca="false">'3. Assumptions'!$B$17-'3. Assumptions'!$B$53</f>
        <v>0.716</v>
      </c>
    </row>
    <row r="43" customFormat="false" ht="15" hidden="false" customHeight="false" outlineLevel="0" collapsed="false">
      <c r="A43" s="34" t="s">
        <v>317</v>
      </c>
      <c r="C43" s="31" t="n">
        <f aca="false">('6. Income and costs'!$B$25+'6. Income and costs'!$B$39)*C42/'3. Assumptions'!$B$17-'6. Income and costs'!$B$39</f>
        <v>415850.513546621</v>
      </c>
    </row>
    <row r="44" customFormat="false" ht="15" hidden="false" customHeight="false" outlineLevel="0" collapsed="false">
      <c r="A44" s="34" t="s">
        <v>318</v>
      </c>
      <c r="C44" s="31" t="n">
        <f aca="false">'6. Income and costs'!$B$35*'3. Assumptions'!$B$49</f>
        <v>5059084.10521876</v>
      </c>
    </row>
    <row r="45" customFormat="false" ht="15" hidden="false" customHeight="false" outlineLevel="0" collapsed="false">
      <c r="A45" s="34" t="s">
        <v>319</v>
      </c>
      <c r="C45" s="31" t="n">
        <f aca="false">C43/('3. Assumptions'!$B$50*C41)</f>
        <v>3172010.01942503</v>
      </c>
    </row>
    <row r="46" customFormat="false" ht="15" hidden="false" customHeight="false" outlineLevel="0" collapsed="false">
      <c r="A46" s="34" t="s">
        <v>320</v>
      </c>
      <c r="C46" s="31" t="n">
        <f aca="false">C43/('3. Assumptions'!$B$51*(C41+'3. Assumptions'!$B$52))</f>
        <v>3667112.11240407</v>
      </c>
    </row>
    <row r="47" customFormat="false" ht="15" hidden="false" customHeight="false" outlineLevel="0" collapsed="false">
      <c r="A47" s="34" t="s">
        <v>321</v>
      </c>
      <c r="C47" s="16" t="n">
        <f aca="false">MIN(C44:C46)</f>
        <v>3172010.01942503</v>
      </c>
    </row>
    <row r="48" customFormat="false" ht="15" hidden="false" customHeight="false" outlineLevel="0" collapsed="false">
      <c r="A48" s="34" t="s">
        <v>322</v>
      </c>
      <c r="C48" s="39" t="n">
        <f aca="false">C47/'6. Income and costs'!$B$35</f>
        <v>0.376195764306773</v>
      </c>
    </row>
    <row r="49" customFormat="false" ht="15" hidden="false" customHeight="false" outlineLevel="0" collapsed="false">
      <c r="A49" s="34" t="s">
        <v>323</v>
      </c>
      <c r="C49" s="34" t="str">
        <f aca="false">IF(C47=C44,"loan to value",IF(C47=C45,"interest cover","debt service cover"))</f>
        <v>interest cover</v>
      </c>
    </row>
    <row r="50" customFormat="false" ht="15" hidden="false" customHeight="false" outlineLevel="0" collapsed="false">
      <c r="A50" s="34" t="s">
        <v>324</v>
      </c>
      <c r="C50" s="31" t="n">
        <f aca="false">'6. Income and costs'!$B$35*(1+'3. Assumptions'!$B$43)-C47</f>
        <v>5816296.0741803</v>
      </c>
    </row>
    <row r="51" customFormat="false" ht="15" hidden="false" customHeight="false" outlineLevel="0" collapsed="false">
      <c r="A51" s="34" t="s">
        <v>325</v>
      </c>
      <c r="C51" s="31" t="n">
        <f aca="false">C47*(C41+'3. Assumptions'!$B$52)</f>
        <v>266448.841631703</v>
      </c>
    </row>
    <row r="52" customFormat="false" ht="15" hidden="false" customHeight="false" outlineLevel="0" collapsed="false">
      <c r="A52" s="34" t="s">
        <v>326</v>
      </c>
      <c r="C52" s="31" t="n">
        <f aca="false">'3. Assumptions'!$B$34*'2. The tape'!$B$13+'3. Assumptions'!$B$36*'2. The tape'!$B$13/'3. Assumptions'!$B$35</f>
        <v>49333.3333333333</v>
      </c>
    </row>
    <row r="53" customFormat="false" ht="15" hidden="false" customHeight="false" outlineLevel="0" collapsed="false">
      <c r="A53" s="34" t="s">
        <v>249</v>
      </c>
      <c r="C53" s="53" t="n">
        <f aca="false">('6. Income and costs'!$B$25-C52-C51)/C50</f>
        <v>0.0334133848241632</v>
      </c>
    </row>
    <row r="54" customFormat="false" ht="15" hidden="false" customHeight="false" outlineLevel="0" collapsed="false">
      <c r="A54" s="34" t="s">
        <v>250</v>
      </c>
      <c r="C54" s="53" t="n">
        <f aca="false">('6. Income and costs'!$B$25-C52)/('6. Income and costs'!$B$35*(1+'3. Assumptions'!$B$43))</f>
        <v>0.0512656084261956</v>
      </c>
    </row>
    <row r="55" customFormat="false" ht="15" hidden="false" customHeight="false" outlineLevel="0" collapsed="false">
      <c r="A55" s="34" t="s">
        <v>327</v>
      </c>
      <c r="C55" s="37" t="n">
        <f aca="false">'3. Assumptions'!$B$17*(C51+C52+'6. Income and costs'!$B$39)/('6. Income and costs'!$B$25+'6. Income and costs'!$B$39)</f>
        <v>0.63108280081129</v>
      </c>
    </row>
    <row r="56" customFormat="false" ht="15" hidden="false" customHeight="false" outlineLevel="0" collapsed="false">
      <c r="A56" s="34" t="s">
        <v>328</v>
      </c>
      <c r="C56" s="48" t="n">
        <f aca="false">('3. Assumptions'!$B$17-C55)*100</f>
        <v>16.491719918871</v>
      </c>
    </row>
    <row r="57" customFormat="false" ht="15" hidden="false" customHeight="false" outlineLevel="0" collapsed="false">
      <c r="A57" s="34" t="s">
        <v>329</v>
      </c>
      <c r="C57" s="39" t="n">
        <f aca="false">'3. Assumptions'!$B$17*'6. Income and costs'!$B$39/('6. Income and costs'!$B$25+'6. Income and costs'!$B$39)</f>
        <v>0.363112549362699</v>
      </c>
    </row>
    <row r="59" customFormat="false" ht="15" hidden="false" customHeight="false" outlineLevel="0" collapsed="false">
      <c r="A59" s="14" t="s">
        <v>330</v>
      </c>
    </row>
    <row r="60" customFormat="false" ht="15" hidden="false" customHeight="false" outlineLevel="0" collapsed="false">
      <c r="A60" s="34" t="s">
        <v>95</v>
      </c>
      <c r="C60" s="52" t="n">
        <f aca="false">C18/((('6. Income and costs'!$B$35-C31)*(1+'3. Assumptions'!$B$40)^'3. Assumptions'!$B$45-C22)/(1-'3. Assumptions'!$B$44))</f>
        <v>0.0568992433868037</v>
      </c>
    </row>
    <row r="61" customFormat="false" ht="15" hidden="false" customHeight="false" outlineLevel="0" collapsed="false">
      <c r="A61" s="34" t="s">
        <v>97</v>
      </c>
      <c r="C61" s="52" t="n">
        <f aca="false">IRR(M5:M15)</f>
        <v>0.073056781720501</v>
      </c>
    </row>
    <row r="62" customFormat="false" ht="15" hidden="false" customHeight="false" outlineLevel="0" collapsed="false">
      <c r="A62" s="34" t="s">
        <v>331</v>
      </c>
      <c r="C62" s="31" t="n">
        <f aca="false">SUMPRODUCT(K6:K15,I6:I15)+(-'6. Income and costs'!$B$39*(1+'3. Assumptions'!$B$42)^'3. Assumptions'!$B$45/'3. Assumptions'!$B$39*(1-'3. Assumptions'!$B$44)+C22)/(1+'3. Assumptions'!$B$40)^'3. Assumptions'!$B$45</f>
        <v>-7477365.18481505</v>
      </c>
    </row>
    <row r="63" customFormat="false" ht="15" hidden="false" customHeight="false" outlineLevel="0" collapsed="false">
      <c r="A63" s="34" t="s">
        <v>332</v>
      </c>
      <c r="C63" s="52" t="n">
        <f aca="false">'3. Assumptions'!$B$17*('6. Income and costs'!$B$35-C62)/(C26-C62)</f>
        <v>0.831123877429554</v>
      </c>
    </row>
    <row r="64" customFormat="false" ht="15" hidden="false" customHeight="false" outlineLevel="0" collapsed="false">
      <c r="A64" s="34" t="s">
        <v>333</v>
      </c>
      <c r="C64" s="52" t="n">
        <f aca="false">D119</f>
        <v>0.0341900628703346</v>
      </c>
    </row>
    <row r="65" customFormat="false" ht="15" hidden="false" customHeight="false" outlineLevel="0" collapsed="false">
      <c r="A65" s="34" t="s">
        <v>334</v>
      </c>
      <c r="C65" s="52" t="n">
        <f aca="false">I119</f>
        <v>0.0212204543148248</v>
      </c>
    </row>
    <row r="68" customFormat="false" ht="15" hidden="false" customHeight="false" outlineLevel="0" collapsed="false">
      <c r="A68" s="2" t="s">
        <v>335</v>
      </c>
    </row>
    <row r="69" customFormat="false" ht="28.35" hidden="false" customHeight="false" outlineLevel="0" collapsed="false">
      <c r="A69" s="47" t="s">
        <v>336</v>
      </c>
      <c r="B69" s="47" t="s">
        <v>337</v>
      </c>
      <c r="C69" s="47" t="s">
        <v>338</v>
      </c>
      <c r="D69" s="47" t="s">
        <v>339</v>
      </c>
      <c r="E69" s="47" t="s">
        <v>340</v>
      </c>
      <c r="F69" s="47"/>
      <c r="G69" s="47" t="s">
        <v>341</v>
      </c>
      <c r="H69" s="47" t="s">
        <v>338</v>
      </c>
      <c r="I69" s="47" t="s">
        <v>339</v>
      </c>
      <c r="J69" s="47" t="s">
        <v>340</v>
      </c>
    </row>
    <row r="70" customFormat="false" ht="15" hidden="false" customHeight="false" outlineLevel="0" collapsed="false">
      <c r="A70" s="34" t="n">
        <v>1</v>
      </c>
      <c r="B70" s="34" t="n">
        <v>-0.02</v>
      </c>
      <c r="C70" s="34" t="n">
        <v>0.2</v>
      </c>
      <c r="D70" s="54" t="n">
        <f aca="false">(B70+C70)/2</f>
        <v>0.09</v>
      </c>
      <c r="E70" s="31" t="n">
        <f aca="false">SUMPRODUCT(($A$6:$A$15&lt;='3. Assumptions'!$B$45)*('6. Income and costs'!$B$8*(1+D70)^($A$6:$A$15-1)-'6.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costs'!$B$8*(1+D70)^'3.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9213449.28936213</v>
      </c>
      <c r="G70" s="34" t="n">
        <v>-0.1</v>
      </c>
      <c r="H70" s="34" t="n">
        <v>0.15</v>
      </c>
      <c r="I70" s="54" t="n">
        <f aca="false">(G70+H70)/2</f>
        <v>0.025</v>
      </c>
      <c r="J70" s="31" t="n">
        <f aca="false">SUMPRODUCT(($A$6:$A$15&lt;='3. Assumptions'!$B$45)*('6. Income and costs'!$B$8*(1+'3. Assumptions'!$B$41)^($A$6:$A$15-1)-'6. Income and costs'!$B$23*(1+I70)^($A$6:$A$15-1)-('3. Assumptions'!$B$34*'2. The tape'!$B$13*(1+I70)^($A$6:$A$15-1)+(MOD($A$6:$A$15+'3. Assumptions'!$B$37,'3. Assumptions'!$B$35)=0)*'3. Assumptions'!$B$36*'2. The tape'!$B$13*(1+I70)^($A$6:$A$15-1)))/(1+'3. Assumptions'!$B$40)^$A$6:$A$15)+((('6. Income and costs'!$B$8*(1+'3. Assumptions'!$B$41)^'3. Assumptions'!$B$45-'6. Income and costs'!$B$23*(1+I70)^'3. Assumptions'!$B$45)/'3. Assumptions'!$B$39)*(1-'3. Assumptions'!$B$44)-'3. Assumptions'!$B$36*'2. The tape'!$B$13*(1+I70)^'3. Assumptions'!$B$45*MOD('3. Assumptions'!$B$45+'3. Assumptions'!$B$37,'3. Assumptions'!$B$35)/'3. Assumptions'!$B$35)/(1+'3. Assumptions'!$B$40)^'3. Assumptions'!$B$45-'6. Income and costs'!$B$35</f>
        <v>-253827.511991889</v>
      </c>
    </row>
    <row r="71" customFormat="false" ht="15" hidden="false" customHeight="false" outlineLevel="0" collapsed="false">
      <c r="A71" s="34" t="n">
        <v>2</v>
      </c>
      <c r="B71" s="34" t="n">
        <f aca="false">IF(E70&lt;0,D70,B70)</f>
        <v>-0.02</v>
      </c>
      <c r="C71" s="54" t="n">
        <f aca="false">IF(E70&lt;0,C70,D70)</f>
        <v>0.09</v>
      </c>
      <c r="D71" s="54" t="n">
        <f aca="false">(B71+C71)/2</f>
        <v>0.035</v>
      </c>
      <c r="E71" s="31" t="n">
        <f aca="false">SUMPRODUCT(($A$6:$A$15&lt;='3. Assumptions'!$B$45)*('6. Income and costs'!$B$8*(1+D71)^($A$6:$A$15-1)-'6.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costs'!$B$8*(1+D71)^'3.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107389.206196865</v>
      </c>
      <c r="G71" s="34" t="n">
        <f aca="false">IF(J70&gt;0,I70,G70)</f>
        <v>-0.1</v>
      </c>
      <c r="H71" s="54" t="n">
        <f aca="false">IF(J70&gt;0,H70,I70)</f>
        <v>0.025</v>
      </c>
      <c r="I71" s="54" t="n">
        <f aca="false">(G71+H71)/2</f>
        <v>-0.0375</v>
      </c>
      <c r="J71" s="31" t="n">
        <f aca="false">SUMPRODUCT(($A$6:$A$15&lt;='3. Assumptions'!$B$45)*('6. Income and costs'!$B$8*(1+'3. Assumptions'!$B$41)^($A$6:$A$15-1)-'6. Income and costs'!$B$23*(1+I71)^($A$6:$A$15-1)-('3. Assumptions'!$B$34*'2. The tape'!$B$13*(1+I71)^($A$6:$A$15-1)+(MOD($A$6:$A$15+'3. Assumptions'!$B$37,'3. Assumptions'!$B$35)=0)*'3. Assumptions'!$B$36*'2. The tape'!$B$13*(1+I71)^($A$6:$A$15-1)))/(1+'3. Assumptions'!$B$40)^$A$6:$A$15)+((('6. Income and costs'!$B$8*(1+'3. Assumptions'!$B$41)^'3. Assumptions'!$B$45-'6. Income and costs'!$B$23*(1+I71)^'3. Assumptions'!$B$45)/'3. Assumptions'!$B$39)*(1-'3. Assumptions'!$B$44)-'3. Assumptions'!$B$36*'2. The tape'!$B$13*(1+I71)^'3. Assumptions'!$B$45*MOD('3. Assumptions'!$B$45+'3. Assumptions'!$B$37,'3. Assumptions'!$B$35)/'3. Assumptions'!$B$35)/(1+'3. Assumptions'!$B$40)^'3. Assumptions'!$B$45-'6. Income and costs'!$B$35</f>
        <v>3116985.8177764</v>
      </c>
    </row>
    <row r="72" customFormat="false" ht="15" hidden="false" customHeight="false" outlineLevel="0" collapsed="false">
      <c r="A72" s="34" t="n">
        <v>3</v>
      </c>
      <c r="B72" s="34" t="n">
        <f aca="false">IF(E71&lt;0,D71,B71)</f>
        <v>-0.02</v>
      </c>
      <c r="C72" s="54" t="n">
        <f aca="false">IF(E71&lt;0,C71,D71)</f>
        <v>0.035</v>
      </c>
      <c r="D72" s="54" t="n">
        <f aca="false">(B72+C72)/2</f>
        <v>0.0075</v>
      </c>
      <c r="E72" s="31" t="n">
        <f aca="false">SUMPRODUCT(($A$6:$A$15&lt;='3. Assumptions'!$B$45)*('6. Income and costs'!$B$8*(1+D72)^($A$6:$A$15-1)-'6.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costs'!$B$8*(1+D72)^'3.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-3184786.54584211</v>
      </c>
      <c r="G72" s="54" t="n">
        <f aca="false">IF(J71&gt;0,I71,G71)</f>
        <v>-0.0375</v>
      </c>
      <c r="H72" s="54" t="n">
        <f aca="false">IF(J71&gt;0,H71,I71)</f>
        <v>0.025</v>
      </c>
      <c r="I72" s="54" t="n">
        <f aca="false">(G72+H72)/2</f>
        <v>-0.00625000000000001</v>
      </c>
      <c r="J72" s="31" t="n">
        <f aca="false">SUMPRODUCT(($A$6:$A$15&lt;='3. Assumptions'!$B$45)*('6. Income and costs'!$B$8*(1+'3. Assumptions'!$B$41)^($A$6:$A$15-1)-'6. Income and costs'!$B$23*(1+I72)^($A$6:$A$15-1)-('3. Assumptions'!$B$34*'2. The tape'!$B$13*(1+I72)^($A$6:$A$15-1)+(MOD($A$6:$A$15+'3. Assumptions'!$B$37,'3. Assumptions'!$B$35)=0)*'3. Assumptions'!$B$36*'2. The tape'!$B$13*(1+I72)^($A$6:$A$15-1)))/(1+'3. Assumptions'!$B$40)^$A$6:$A$15)+((('6. Income and costs'!$B$8*(1+'3. Assumptions'!$B$41)^'3. Assumptions'!$B$45-'6. Income and costs'!$B$23*(1+I72)^'3. Assumptions'!$B$45)/'3. Assumptions'!$B$39)*(1-'3. Assumptions'!$B$44)-'3. Assumptions'!$B$36*'2. The tape'!$B$13*(1+I72)^'3. Assumptions'!$B$45*MOD('3. Assumptions'!$B$45+'3. Assumptions'!$B$37,'3. Assumptions'!$B$35)/'3. Assumptions'!$B$35)/(1+'3. Assumptions'!$B$40)^'3. Assumptions'!$B$45-'6. Income and costs'!$B$35</f>
        <v>1636848.29436191</v>
      </c>
    </row>
    <row r="73" customFormat="false" ht="15" hidden="false" customHeight="false" outlineLevel="0" collapsed="false">
      <c r="A73" s="34" t="n">
        <v>4</v>
      </c>
      <c r="B73" s="54" t="n">
        <f aca="false">IF(E72&lt;0,D72,B72)</f>
        <v>0.0075</v>
      </c>
      <c r="C73" s="54" t="n">
        <f aca="false">IF(E72&lt;0,C72,D72)</f>
        <v>0.035</v>
      </c>
      <c r="D73" s="54" t="n">
        <f aca="false">(B73+C73)/2</f>
        <v>0.02125</v>
      </c>
      <c r="E73" s="31" t="n">
        <f aca="false">SUMPRODUCT(($A$6:$A$15&lt;='3. Assumptions'!$B$45)*('6. Income and costs'!$B$8*(1+D73)^($A$6:$A$15-1)-'6.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costs'!$B$8*(1+D73)^'3.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-1627026.79798869</v>
      </c>
      <c r="G73" s="54" t="n">
        <f aca="false">IF(J72&gt;0,I72,G72)</f>
        <v>-0.00625000000000001</v>
      </c>
      <c r="H73" s="54" t="n">
        <f aca="false">IF(J72&gt;0,H72,I72)</f>
        <v>0.025</v>
      </c>
      <c r="I73" s="54" t="n">
        <f aca="false">(G73+H73)/2</f>
        <v>0.00937499999999999</v>
      </c>
      <c r="J73" s="31" t="n">
        <f aca="false">SUMPRODUCT(($A$6:$A$15&lt;='3. Assumptions'!$B$45)*('6. Income and costs'!$B$8*(1+'3. Assumptions'!$B$41)^($A$6:$A$15-1)-'6. Income and costs'!$B$23*(1+I73)^($A$6:$A$15-1)-('3. Assumptions'!$B$34*'2. The tape'!$B$13*(1+I73)^($A$6:$A$15-1)+(MOD($A$6:$A$15+'3. Assumptions'!$B$37,'3. Assumptions'!$B$35)=0)*'3. Assumptions'!$B$36*'2. The tape'!$B$13*(1+I73)^($A$6:$A$15-1)))/(1+'3. Assumptions'!$B$40)^$A$6:$A$15)+((('6. Income and costs'!$B$8*(1+'3. Assumptions'!$B$41)^'3. Assumptions'!$B$45-'6. Income and costs'!$B$23*(1+I73)^'3. Assumptions'!$B$45)/'3. Assumptions'!$B$39)*(1-'3. Assumptions'!$B$44)-'3. Assumptions'!$B$36*'2. The tape'!$B$13*(1+I73)^'3. Assumptions'!$B$45*MOD('3. Assumptions'!$B$45+'3. Assumptions'!$B$37,'3. Assumptions'!$B$35)/'3. Assumptions'!$B$35)/(1+'3. Assumptions'!$B$40)^'3. Assumptions'!$B$45-'6. Income and costs'!$B$35</f>
        <v>748962.865878714</v>
      </c>
    </row>
    <row r="74" customFormat="false" ht="15" hidden="false" customHeight="false" outlineLevel="0" collapsed="false">
      <c r="A74" s="34" t="n">
        <v>5</v>
      </c>
      <c r="B74" s="54" t="n">
        <f aca="false">IF(E73&lt;0,D73,B73)</f>
        <v>0.02125</v>
      </c>
      <c r="C74" s="54" t="n">
        <f aca="false">IF(E73&lt;0,C73,D73)</f>
        <v>0.035</v>
      </c>
      <c r="D74" s="54" t="n">
        <f aca="false">(B74+C74)/2</f>
        <v>0.028125</v>
      </c>
      <c r="E74" s="31" t="n">
        <f aca="false">SUMPRODUCT(($A$6:$A$15&lt;='3. Assumptions'!$B$45)*('6. Income and costs'!$B$8*(1+D74)^($A$6:$A$15-1)-'6.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costs'!$B$8*(1+D74)^'3.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-783031.808416516</v>
      </c>
      <c r="G74" s="54" t="n">
        <f aca="false">IF(J73&gt;0,I73,G73)</f>
        <v>0.00937499999999999</v>
      </c>
      <c r="H74" s="54" t="n">
        <f aca="false">IF(J73&gt;0,H73,I73)</f>
        <v>0.025</v>
      </c>
      <c r="I74" s="54" t="n">
        <f aca="false">(G74+H74)/2</f>
        <v>0.0171875</v>
      </c>
      <c r="J74" s="31" t="n">
        <f aca="false">SUMPRODUCT(($A$6:$A$15&lt;='3. Assumptions'!$B$45)*('6. Income and costs'!$B$8*(1+'3. Assumptions'!$B$41)^($A$6:$A$15-1)-'6. Income and costs'!$B$23*(1+I74)^($A$6:$A$15-1)-('3. Assumptions'!$B$34*'2. The tape'!$B$13*(1+I74)^($A$6:$A$15-1)+(MOD($A$6:$A$15+'3. Assumptions'!$B$37,'3. Assumptions'!$B$35)=0)*'3. Assumptions'!$B$36*'2. The tape'!$B$13*(1+I74)^($A$6:$A$15-1)))/(1+'3. Assumptions'!$B$40)^$A$6:$A$15)+((('6. Income and costs'!$B$8*(1+'3. Assumptions'!$B$41)^'3. Assumptions'!$B$45-'6. Income and costs'!$B$23*(1+I74)^'3. Assumptions'!$B$45)/'3. Assumptions'!$B$39)*(1-'3. Assumptions'!$B$44)-'3. Assumptions'!$B$36*'2. The tape'!$B$13*(1+I74)^'3. Assumptions'!$B$45*MOD('3. Assumptions'!$B$45+'3. Assumptions'!$B$37,'3. Assumptions'!$B$35)/'3. Assumptions'!$B$35)/(1+'3. Assumptions'!$B$40)^'3. Assumptions'!$B$45-'6. Income and costs'!$B$35</f>
        <v>262769.574661342</v>
      </c>
    </row>
    <row r="75" customFormat="false" ht="15" hidden="false" customHeight="false" outlineLevel="0" collapsed="false">
      <c r="A75" s="34" t="n">
        <v>6</v>
      </c>
      <c r="B75" s="54" t="n">
        <f aca="false">IF(E74&lt;0,D74,B74)</f>
        <v>0.028125</v>
      </c>
      <c r="C75" s="54" t="n">
        <f aca="false">IF(E74&lt;0,C74,D74)</f>
        <v>0.035</v>
      </c>
      <c r="D75" s="54" t="n">
        <f aca="false">(B75+C75)/2</f>
        <v>0.0315625</v>
      </c>
      <c r="E75" s="31" t="n">
        <f aca="false">SUMPRODUCT(($A$6:$A$15&lt;='3. Assumptions'!$B$45)*('6. Income and costs'!$B$8*(1+D75)^($A$6:$A$15-1)-'6.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costs'!$B$8*(1+D75)^'3.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-343771.592093561</v>
      </c>
      <c r="G75" s="54" t="n">
        <f aca="false">IF(J74&gt;0,I74,G74)</f>
        <v>0.0171875</v>
      </c>
      <c r="H75" s="54" t="n">
        <f aca="false">IF(J74&gt;0,H74,I74)</f>
        <v>0.025</v>
      </c>
      <c r="I75" s="54" t="n">
        <f aca="false">(G75+H75)/2</f>
        <v>0.02109375</v>
      </c>
      <c r="J75" s="31" t="n">
        <f aca="false">SUMPRODUCT(($A$6:$A$15&lt;='3. Assumptions'!$B$45)*('6. Income and costs'!$B$8*(1+'3. Assumptions'!$B$41)^($A$6:$A$15-1)-'6. Income and costs'!$B$23*(1+I75)^($A$6:$A$15-1)-('3. Assumptions'!$B$34*'2. The tape'!$B$13*(1+I75)^($A$6:$A$15-1)+(MOD($A$6:$A$15+'3. Assumptions'!$B$37,'3. Assumptions'!$B$35)=0)*'3. Assumptions'!$B$36*'2. The tape'!$B$13*(1+I75)^($A$6:$A$15-1)))/(1+'3. Assumptions'!$B$40)^$A$6:$A$15)+((('6. Income and costs'!$B$8*(1+'3. Assumptions'!$B$41)^'3. Assumptions'!$B$45-'6. Income and costs'!$B$23*(1+I75)^'3. Assumptions'!$B$45)/'3. Assumptions'!$B$39)*(1-'3. Assumptions'!$B$44)-'3. Assumptions'!$B$36*'2. The tape'!$B$13*(1+I75)^'3. Assumptions'!$B$45*MOD('3. Assumptions'!$B$45+'3. Assumptions'!$B$37,'3. Assumptions'!$B$35)/'3. Assumptions'!$B$35)/(1+'3. Assumptions'!$B$40)^'3. Assumptions'!$B$45-'6. Income and costs'!$B$35</f>
        <v>8381.1566258315</v>
      </c>
    </row>
    <row r="76" customFormat="false" ht="15" hidden="false" customHeight="false" outlineLevel="0" collapsed="false">
      <c r="A76" s="34" t="n">
        <v>7</v>
      </c>
      <c r="B76" s="54" t="n">
        <f aca="false">IF(E75&lt;0,D75,B75)</f>
        <v>0.0315625</v>
      </c>
      <c r="C76" s="54" t="n">
        <f aca="false">IF(E75&lt;0,C75,D75)</f>
        <v>0.035</v>
      </c>
      <c r="D76" s="54" t="n">
        <f aca="false">(B76+C76)/2</f>
        <v>0.03328125</v>
      </c>
      <c r="E76" s="31" t="n">
        <f aca="false">SUMPRODUCT(($A$6:$A$15&lt;='3. Assumptions'!$B$45)*('6. Income and costs'!$B$8*(1+D76)^($A$6:$A$15-1)-'6.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costs'!$B$8*(1+D76)^'3.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-119697.51001323</v>
      </c>
      <c r="G76" s="54" t="n">
        <f aca="false">IF(J75&gt;0,I75,G75)</f>
        <v>0.02109375</v>
      </c>
      <c r="H76" s="54" t="n">
        <f aca="false">IF(J75&gt;0,H75,I75)</f>
        <v>0.025</v>
      </c>
      <c r="I76" s="54" t="n">
        <f aca="false">(G76+H76)/2</f>
        <v>0.023046875</v>
      </c>
      <c r="J76" s="31" t="n">
        <f aca="false">SUMPRODUCT(($A$6:$A$15&lt;='3. Assumptions'!$B$45)*('6. Income and costs'!$B$8*(1+'3. Assumptions'!$B$41)^($A$6:$A$15-1)-'6. Income and costs'!$B$23*(1+I76)^($A$6:$A$15-1)-('3. Assumptions'!$B$34*'2. The tape'!$B$13*(1+I76)^($A$6:$A$15-1)+(MOD($A$6:$A$15+'3. Assumptions'!$B$37,'3. Assumptions'!$B$35)=0)*'3. Assumptions'!$B$36*'2. The tape'!$B$13*(1+I76)^($A$6:$A$15-1)))/(1+'3. Assumptions'!$B$40)^$A$6:$A$15)+((('6. Income and costs'!$B$8*(1+'3. Assumptions'!$B$41)^'3. Assumptions'!$B$45-'6. Income and costs'!$B$23*(1+I76)^'3. Assumptions'!$B$45)/'3. Assumptions'!$B$39)*(1-'3. Assumptions'!$B$44)-'3. Assumptions'!$B$36*'2. The tape'!$B$13*(1+I76)^'3. Assumptions'!$B$45*MOD('3. Assumptions'!$B$45+'3. Assumptions'!$B$37,'3. Assumptions'!$B$35)/'3. Assumptions'!$B$35)/(1+'3. Assumptions'!$B$40)^'3. Assumptions'!$B$45-'6. Income and costs'!$B$35</f>
        <v>-121731.629584721</v>
      </c>
    </row>
    <row r="77" customFormat="false" ht="15" hidden="false" customHeight="false" outlineLevel="0" collapsed="false">
      <c r="A77" s="34" t="n">
        <v>8</v>
      </c>
      <c r="B77" s="54" t="n">
        <f aca="false">IF(E76&lt;0,D76,B76)</f>
        <v>0.03328125</v>
      </c>
      <c r="C77" s="54" t="n">
        <f aca="false">IF(E76&lt;0,C76,D76)</f>
        <v>0.035</v>
      </c>
      <c r="D77" s="54" t="n">
        <f aca="false">(B77+C77)/2</f>
        <v>0.034140625</v>
      </c>
      <c r="E77" s="31" t="n">
        <f aca="false">SUMPRODUCT(($A$6:$A$15&lt;='3. Assumptions'!$B$45)*('6. Income and costs'!$B$8*(1+D77)^($A$6:$A$15-1)-'6.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costs'!$B$8*(1+D77)^'3.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-6533.09733629786</v>
      </c>
      <c r="G77" s="54" t="n">
        <f aca="false">IF(J76&gt;0,I76,G76)</f>
        <v>0.02109375</v>
      </c>
      <c r="H77" s="54" t="n">
        <f aca="false">IF(J76&gt;0,H76,I76)</f>
        <v>0.023046875</v>
      </c>
      <c r="I77" s="54" t="n">
        <f aca="false">(G77+H77)/2</f>
        <v>0.0220703125</v>
      </c>
      <c r="J77" s="31" t="n">
        <f aca="false">SUMPRODUCT(($A$6:$A$15&lt;='3. Assumptions'!$B$45)*('6. Income and costs'!$B$8*(1+'3. Assumptions'!$B$41)^($A$6:$A$15-1)-'6. Income and costs'!$B$23*(1+I77)^($A$6:$A$15-1)-('3. Assumptions'!$B$34*'2. The tape'!$B$13*(1+I77)^($A$6:$A$15-1)+(MOD($A$6:$A$15+'3. Assumptions'!$B$37,'3. Assumptions'!$B$35)=0)*'3. Assumptions'!$B$36*'2. The tape'!$B$13*(1+I77)^($A$6:$A$15-1)))/(1+'3. Assumptions'!$B$40)^$A$6:$A$15)+((('6. Income and costs'!$B$8*(1+'3. Assumptions'!$B$41)^'3. Assumptions'!$B$45-'6. Income and costs'!$B$23*(1+I77)^'3. Assumptions'!$B$45)/'3. Assumptions'!$B$39)*(1-'3. Assumptions'!$B$44)-'3. Assumptions'!$B$36*'2. The tape'!$B$13*(1+I77)^'3. Assumptions'!$B$45*MOD('3. Assumptions'!$B$45+'3. Assumptions'!$B$37,'3. Assumptions'!$B$35)/'3. Assumptions'!$B$35)/(1+'3. Assumptions'!$B$40)^'3. Assumptions'!$B$45-'6. Income and costs'!$B$35</f>
        <v>-56429.1156115904</v>
      </c>
    </row>
    <row r="78" customFormat="false" ht="15" hidden="false" customHeight="false" outlineLevel="0" collapsed="false">
      <c r="A78" s="34" t="n">
        <v>9</v>
      </c>
      <c r="B78" s="54" t="n">
        <f aca="false">IF(E77&lt;0,D77,B77)</f>
        <v>0.034140625</v>
      </c>
      <c r="C78" s="54" t="n">
        <f aca="false">IF(E77&lt;0,C77,D77)</f>
        <v>0.035</v>
      </c>
      <c r="D78" s="54" t="n">
        <f aca="false">(B78+C78)/2</f>
        <v>0.0345703125</v>
      </c>
      <c r="E78" s="31" t="n">
        <f aca="false">SUMPRODUCT(($A$6:$A$15&lt;='3. Assumptions'!$B$45)*('6. Income and costs'!$B$8*(1+D78)^($A$6:$A$15-1)-'6.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costs'!$B$8*(1+D78)^'3.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50333.0208473094</v>
      </c>
      <c r="G78" s="54" t="n">
        <f aca="false">IF(J77&gt;0,I77,G77)</f>
        <v>0.02109375</v>
      </c>
      <c r="H78" s="54" t="n">
        <f aca="false">IF(J77&gt;0,H77,I77)</f>
        <v>0.0220703125</v>
      </c>
      <c r="I78" s="54" t="n">
        <f aca="false">(G78+H78)/2</f>
        <v>0.02158203125</v>
      </c>
      <c r="J78" s="31" t="n">
        <f aca="false">SUMPRODUCT(($A$6:$A$15&lt;='3. Assumptions'!$B$45)*('6. Income and costs'!$B$8*(1+'3. Assumptions'!$B$41)^($A$6:$A$15-1)-'6. Income and costs'!$B$23*(1+I78)^($A$6:$A$15-1)-('3. Assumptions'!$B$34*'2. The tape'!$B$13*(1+I78)^($A$6:$A$15-1)+(MOD($A$6:$A$15+'3. Assumptions'!$B$37,'3. Assumptions'!$B$35)=0)*'3. Assumptions'!$B$36*'2. The tape'!$B$13*(1+I78)^($A$6:$A$15-1)))/(1+'3. Assumptions'!$B$40)^$A$6:$A$15)+((('6. Income and costs'!$B$8*(1+'3. Assumptions'!$B$41)^'3. Assumptions'!$B$45-'6. Income and costs'!$B$23*(1+I78)^'3. Assumptions'!$B$45)/'3. Assumptions'!$B$39)*(1-'3. Assumptions'!$B$44)-'3. Assumptions'!$B$36*'2. The tape'!$B$13*(1+I78)^'3. Assumptions'!$B$45*MOD('3. Assumptions'!$B$45+'3. Assumptions'!$B$37,'3. Assumptions'!$B$35)/'3. Assumptions'!$B$35)/(1+'3. Assumptions'!$B$40)^'3. Assumptions'!$B$45-'6. Income and costs'!$B$35</f>
        <v>-23962.6688091028</v>
      </c>
    </row>
    <row r="79" customFormat="false" ht="15" hidden="false" customHeight="false" outlineLevel="0" collapsed="false">
      <c r="A79" s="34" t="n">
        <v>10</v>
      </c>
      <c r="B79" s="54" t="n">
        <f aca="false">IF(E78&lt;0,D78,B78)</f>
        <v>0.034140625</v>
      </c>
      <c r="C79" s="54" t="n">
        <f aca="false">IF(E78&lt;0,C78,D78)</f>
        <v>0.0345703125</v>
      </c>
      <c r="D79" s="54" t="n">
        <f aca="false">(B79+C79)/2</f>
        <v>0.03435546875</v>
      </c>
      <c r="E79" s="31" t="n">
        <f aca="false">SUMPRODUCT(($A$6:$A$15&lt;='3. Assumptions'!$B$45)*('6. Income and costs'!$B$8*(1+D79)^($A$6:$A$15-1)-'6.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costs'!$B$8*(1+D79)^'3.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21876.2405781969</v>
      </c>
      <c r="G79" s="54" t="n">
        <f aca="false">IF(J78&gt;0,I78,G78)</f>
        <v>0.02109375</v>
      </c>
      <c r="H79" s="54" t="n">
        <f aca="false">IF(J78&gt;0,H78,I78)</f>
        <v>0.02158203125</v>
      </c>
      <c r="I79" s="54" t="n">
        <f aca="false">(G79+H79)/2</f>
        <v>0.021337890625</v>
      </c>
      <c r="J79" s="31" t="n">
        <f aca="false">SUMPRODUCT(($A$6:$A$15&lt;='3. Assumptions'!$B$45)*('6. Income and costs'!$B$8*(1+'3. Assumptions'!$B$41)^($A$6:$A$15-1)-'6. Income and costs'!$B$23*(1+I79)^($A$6:$A$15-1)-('3. Assumptions'!$B$34*'2. The tape'!$B$13*(1+I79)^($A$6:$A$15-1)+(MOD($A$6:$A$15+'3. Assumptions'!$B$37,'3. Assumptions'!$B$35)=0)*'3. Assumptions'!$B$36*'2. The tape'!$B$13*(1+I79)^($A$6:$A$15-1)))/(1+'3. Assumptions'!$B$40)^$A$6:$A$15)+((('6. Income and costs'!$B$8*(1+'3. Assumptions'!$B$41)^'3. Assumptions'!$B$45-'6. Income and costs'!$B$23*(1+I79)^'3. Assumptions'!$B$45)/'3. Assumptions'!$B$39)*(1-'3. Assumptions'!$B$44)-'3. Assumptions'!$B$36*'2. The tape'!$B$13*(1+I79)^'3. Assumptions'!$B$45*MOD('3. Assumptions'!$B$45+'3. Assumptions'!$B$37,'3. Assumptions'!$B$35)/'3. Assumptions'!$B$35)/(1+'3. Assumptions'!$B$40)^'3. Assumptions'!$B$45-'6. Income and costs'!$B$35</f>
        <v>-7775.45578538813</v>
      </c>
    </row>
    <row r="80" customFormat="false" ht="15" hidden="false" customHeight="false" outlineLevel="0" collapsed="false">
      <c r="A80" s="34" t="n">
        <v>11</v>
      </c>
      <c r="B80" s="54" t="n">
        <f aca="false">IF(E79&lt;0,D79,B79)</f>
        <v>0.034140625</v>
      </c>
      <c r="C80" s="54" t="n">
        <f aca="false">IF(E79&lt;0,C79,D79)</f>
        <v>0.03435546875</v>
      </c>
      <c r="D80" s="54" t="n">
        <f aca="false">(B80+C80)/2</f>
        <v>0.034248046875</v>
      </c>
      <c r="E80" s="31" t="n">
        <f aca="false">SUMPRODUCT(($A$6:$A$15&lt;='3. Assumptions'!$B$45)*('6. Income and costs'!$B$8*(1+D80)^($A$6:$A$15-1)-'6.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costs'!$B$8*(1+D80)^'3.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7665.64597319998</v>
      </c>
      <c r="G80" s="54" t="n">
        <f aca="false">IF(J79&gt;0,I79,G79)</f>
        <v>0.02109375</v>
      </c>
      <c r="H80" s="54" t="n">
        <f aca="false">IF(J79&gt;0,H79,I79)</f>
        <v>0.021337890625</v>
      </c>
      <c r="I80" s="54" t="n">
        <f aca="false">(G80+H80)/2</f>
        <v>0.0212158203125</v>
      </c>
      <c r="J80" s="31" t="n">
        <f aca="false">SUMPRODUCT(($A$6:$A$15&lt;='3. Assumptions'!$B$45)*('6. Income and costs'!$B$8*(1+'3. Assumptions'!$B$41)^($A$6:$A$15-1)-'6. Income and costs'!$B$23*(1+I80)^($A$6:$A$15-1)-('3. Assumptions'!$B$34*'2. The tape'!$B$13*(1+I80)^($A$6:$A$15-1)+(MOD($A$6:$A$15+'3. Assumptions'!$B$37,'3. Assumptions'!$B$35)=0)*'3. Assumptions'!$B$36*'2. The tape'!$B$13*(1+I80)^($A$6:$A$15-1)))/(1+'3. Assumptions'!$B$40)^$A$6:$A$15)+((('6. Income and costs'!$B$8*(1+'3. Assumptions'!$B$41)^'3. Assumptions'!$B$45-'6. Income and costs'!$B$23*(1+I80)^'3. Assumptions'!$B$45)/'3. Assumptions'!$B$39)*(1-'3. Assumptions'!$B$44)-'3. Assumptions'!$B$36*'2. The tape'!$B$13*(1+I80)^'3. Assumptions'!$B$45*MOD('3. Assumptions'!$B$45+'3. Assumptions'!$B$37,'3. Assumptions'!$B$35)/'3. Assumptions'!$B$35)/(1+'3. Assumptions'!$B$40)^'3. Assumptions'!$B$45-'6. Income and costs'!$B$35</f>
        <v>306.672080997378</v>
      </c>
    </row>
    <row r="81" customFormat="false" ht="15" hidden="false" customHeight="false" outlineLevel="0" collapsed="false">
      <c r="A81" s="34" t="n">
        <v>12</v>
      </c>
      <c r="B81" s="54" t="n">
        <f aca="false">IF(E80&lt;0,D80,B80)</f>
        <v>0.034140625</v>
      </c>
      <c r="C81" s="54" t="n">
        <f aca="false">IF(E80&lt;0,C80,D80)</f>
        <v>0.034248046875</v>
      </c>
      <c r="D81" s="54" t="n">
        <f aca="false">(B81+C81)/2</f>
        <v>0.0341943359375</v>
      </c>
      <c r="E81" s="31" t="n">
        <f aca="false">SUMPRODUCT(($A$6:$A$15&lt;='3. Assumptions'!$B$45)*('6. Income and costs'!$B$8*(1+D81)^($A$6:$A$15-1)-'6.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costs'!$B$8*(1+D81)^'3.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564.793486999348</v>
      </c>
      <c r="G81" s="54" t="n">
        <f aca="false">IF(J80&gt;0,I80,G80)</f>
        <v>0.0212158203125</v>
      </c>
      <c r="H81" s="54" t="n">
        <f aca="false">IF(J80&gt;0,H80,I80)</f>
        <v>0.021337890625</v>
      </c>
      <c r="I81" s="54" t="n">
        <f aca="false">(G81+H81)/2</f>
        <v>0.02127685546875</v>
      </c>
      <c r="J81" s="31" t="n">
        <f aca="false">SUMPRODUCT(($A$6:$A$15&lt;='3. Assumptions'!$B$45)*('6. Income and costs'!$B$8*(1+'3. Assumptions'!$B$41)^($A$6:$A$15-1)-'6. Income and costs'!$B$23*(1+I81)^($A$6:$A$15-1)-('3. Assumptions'!$B$34*'2. The tape'!$B$13*(1+I81)^($A$6:$A$15-1)+(MOD($A$6:$A$15+'3. Assumptions'!$B$37,'3. Assumptions'!$B$35)=0)*'3. Assumptions'!$B$36*'2. The tape'!$B$13*(1+I81)^($A$6:$A$15-1)))/(1+'3. Assumptions'!$B$40)^$A$6:$A$15)+((('6. Income and costs'!$B$8*(1+'3. Assumptions'!$B$41)^'3. Assumptions'!$B$45-'6. Income and costs'!$B$23*(1+I81)^'3. Assumptions'!$B$45)/'3. Assumptions'!$B$39)*(1-'3. Assumptions'!$B$44)-'3. Assumptions'!$B$36*'2. The tape'!$B$13*(1+I81)^'3. Assumptions'!$B$45*MOD('3. Assumptions'!$B$45+'3. Assumptions'!$B$37,'3. Assumptions'!$B$35)/'3. Assumptions'!$B$35)/(1+'3. Assumptions'!$B$40)^'3. Assumptions'!$B$45-'6. Income and costs'!$B$35</f>
        <v>-3733.43601024337</v>
      </c>
    </row>
    <row r="82" customFormat="false" ht="15" hidden="false" customHeight="false" outlineLevel="0" collapsed="false">
      <c r="A82" s="34" t="n">
        <v>13</v>
      </c>
      <c r="B82" s="54" t="n">
        <f aca="false">IF(E81&lt;0,D81,B81)</f>
        <v>0.034140625</v>
      </c>
      <c r="C82" s="54" t="n">
        <f aca="false">IF(E81&lt;0,C81,D81)</f>
        <v>0.0341943359375</v>
      </c>
      <c r="D82" s="54" t="n">
        <f aca="false">(B82+C82)/2</f>
        <v>0.03416748046875</v>
      </c>
      <c r="E82" s="31" t="n">
        <f aca="false">SUMPRODUCT(($A$6:$A$15&lt;='3. Assumptions'!$B$45)*('6. Income and costs'!$B$8*(1+D82)^($A$6:$A$15-1)-'6.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costs'!$B$8*(1+D82)^'3.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-2984.52205999382</v>
      </c>
      <c r="G82" s="54" t="n">
        <f aca="false">IF(J81&gt;0,I81,G81)</f>
        <v>0.0212158203125</v>
      </c>
      <c r="H82" s="54" t="n">
        <f aca="false">IF(J81&gt;0,H81,I81)</f>
        <v>0.02127685546875</v>
      </c>
      <c r="I82" s="54" t="n">
        <f aca="false">(G82+H82)/2</f>
        <v>0.021246337890625</v>
      </c>
      <c r="J82" s="31" t="n">
        <f aca="false">SUMPRODUCT(($A$6:$A$15&lt;='3. Assumptions'!$B$45)*('6. Income and costs'!$B$8*(1+'3. Assumptions'!$B$41)^($A$6:$A$15-1)-'6. Income and costs'!$B$23*(1+I82)^($A$6:$A$15-1)-('3. Assumptions'!$B$34*'2. The tape'!$B$13*(1+I82)^($A$6:$A$15-1)+(MOD($A$6:$A$15+'3. Assumptions'!$B$37,'3. Assumptions'!$B$35)=0)*'3. Assumptions'!$B$36*'2. The tape'!$B$13*(1+I82)^($A$6:$A$15-1)))/(1+'3. Assumptions'!$B$40)^$A$6:$A$15)+((('6. Income and costs'!$B$8*(1+'3. Assumptions'!$B$41)^'3. Assumptions'!$B$45-'6. Income and costs'!$B$23*(1+I82)^'3. Assumptions'!$B$45)/'3. Assumptions'!$B$39)*(1-'3. Assumptions'!$B$44)-'3. Assumptions'!$B$36*'2. The tape'!$B$13*(1+I82)^'3. Assumptions'!$B$45*MOD('3. Assumptions'!$B$45+'3. Assumptions'!$B$37,'3. Assumptions'!$B$35)/'3. Assumptions'!$B$35)/(1+'3. Assumptions'!$B$40)^'3. Assumptions'!$B$45-'6. Income and costs'!$B$35</f>
        <v>-1713.14305749349</v>
      </c>
    </row>
    <row r="83" customFormat="false" ht="15" hidden="false" customHeight="false" outlineLevel="0" collapsed="false">
      <c r="A83" s="34" t="n">
        <v>14</v>
      </c>
      <c r="B83" s="54" t="n">
        <f aca="false">IF(E82&lt;0,D82,B82)</f>
        <v>0.03416748046875</v>
      </c>
      <c r="C83" s="54" t="n">
        <f aca="false">IF(E82&lt;0,C82,D82)</f>
        <v>0.0341943359375</v>
      </c>
      <c r="D83" s="54" t="n">
        <f aca="false">(B83+C83)/2</f>
        <v>0.034180908203125</v>
      </c>
      <c r="E83" s="31" t="n">
        <f aca="false">SUMPRODUCT(($A$6:$A$15&lt;='3. Assumptions'!$B$45)*('6. Income and costs'!$B$8*(1+D83)^($A$6:$A$15-1)-'6.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costs'!$B$8*(1+D83)^'3.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-1209.95682939515</v>
      </c>
      <c r="G83" s="54" t="n">
        <f aca="false">IF(J82&gt;0,I82,G82)</f>
        <v>0.0212158203125</v>
      </c>
      <c r="H83" s="54" t="n">
        <f aca="false">IF(J82&gt;0,H82,I82)</f>
        <v>0.021246337890625</v>
      </c>
      <c r="I83" s="54" t="n">
        <f aca="false">(G83+H83)/2</f>
        <v>0.0212310791015625</v>
      </c>
      <c r="J83" s="31" t="n">
        <f aca="false">SUMPRODUCT(($A$6:$A$15&lt;='3. Assumptions'!$B$45)*('6. Income and costs'!$B$8*(1+'3. Assumptions'!$B$41)^($A$6:$A$15-1)-'6. Income and costs'!$B$23*(1+I83)^($A$6:$A$15-1)-('3. Assumptions'!$B$34*'2. The tape'!$B$13*(1+I83)^($A$6:$A$15-1)+(MOD($A$6:$A$15+'3. Assumptions'!$B$37,'3. Assumptions'!$B$35)=0)*'3. Assumptions'!$B$36*'2. The tape'!$B$13*(1+I83)^($A$6:$A$15-1)))/(1+'3. Assumptions'!$B$40)^$A$6:$A$15)+((('6. Income and costs'!$B$8*(1+'3. Assumptions'!$B$41)^'3. Assumptions'!$B$45-'6. Income and costs'!$B$23*(1+I83)^'3. Assumptions'!$B$45)/'3. Assumptions'!$B$39)*(1-'3. Assumptions'!$B$44)-'3. Assumptions'!$B$36*'2. The tape'!$B$13*(1+I83)^'3. Assumptions'!$B$45*MOD('3. Assumptions'!$B$45+'3. Assumptions'!$B$37,'3. Assumptions'!$B$35)/'3. Assumptions'!$B$35)/(1+'3. Assumptions'!$B$40)^'3. Assumptions'!$B$45-'6. Income and costs'!$B$35</f>
        <v>-703.175768135116</v>
      </c>
    </row>
    <row r="84" customFormat="false" ht="15" hidden="false" customHeight="false" outlineLevel="0" collapsed="false">
      <c r="A84" s="34" t="n">
        <v>15</v>
      </c>
      <c r="B84" s="54" t="n">
        <f aca="false">IF(E83&lt;0,D83,B83)</f>
        <v>0.034180908203125</v>
      </c>
      <c r="C84" s="54" t="n">
        <f aca="false">IF(E83&lt;0,C83,D83)</f>
        <v>0.0341943359375</v>
      </c>
      <c r="D84" s="54" t="n">
        <f aca="false">(B84+C84)/2</f>
        <v>0.0341876220703125</v>
      </c>
      <c r="E84" s="31" t="n">
        <f aca="false">SUMPRODUCT(($A$6:$A$15&lt;='3. Assumptions'!$B$45)*('6. Income and costs'!$B$8*(1+D84)^($A$6:$A$15-1)-'6.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costs'!$B$8*(1+D84)^'3.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-322.604808056727</v>
      </c>
      <c r="G84" s="54" t="n">
        <f aca="false">IF(J83&gt;0,I83,G83)</f>
        <v>0.0212158203125</v>
      </c>
      <c r="H84" s="54" t="n">
        <f aca="false">IF(J83&gt;0,H83,I83)</f>
        <v>0.0212310791015625</v>
      </c>
      <c r="I84" s="54" t="n">
        <f aca="false">(G84+H84)/2</f>
        <v>0.0212234497070312</v>
      </c>
      <c r="J84" s="31" t="n">
        <f aca="false">SUMPRODUCT(($A$6:$A$15&lt;='3. Assumptions'!$B$45)*('6. Income and costs'!$B$8*(1+'3. Assumptions'!$B$41)^($A$6:$A$15-1)-'6. Income and costs'!$B$23*(1+I84)^($A$6:$A$15-1)-('3. Assumptions'!$B$34*'2. The tape'!$B$13*(1+I84)^($A$6:$A$15-1)+(MOD($A$6:$A$15+'3. Assumptions'!$B$37,'3. Assumptions'!$B$35)=0)*'3. Assumptions'!$B$36*'2. The tape'!$B$13*(1+I84)^($A$6:$A$15-1)))/(1+'3. Assumptions'!$B$40)^$A$6:$A$15)+((('6. Income and costs'!$B$8*(1+'3. Assumptions'!$B$41)^'3. Assumptions'!$B$45-'6. Income and costs'!$B$23*(1+I84)^'3. Assumptions'!$B$45)/'3. Assumptions'!$B$39)*(1-'3. Assumptions'!$B$44)-'3. Assumptions'!$B$36*'2. The tape'!$B$13*(1+I84)^'3. Assumptions'!$B$45*MOD('3. Assumptions'!$B$45+'3. Assumptions'!$B$37,'3. Assumptions'!$B$35)/'3. Assumptions'!$B$35)/(1+'3. Assumptions'!$B$40)^'3. Assumptions'!$B$45-'6. Income and costs'!$B$35</f>
        <v>-198.236914373934</v>
      </c>
    </row>
    <row r="85" customFormat="false" ht="15" hidden="false" customHeight="false" outlineLevel="0" collapsed="false">
      <c r="A85" s="34" t="n">
        <v>16</v>
      </c>
      <c r="B85" s="54" t="n">
        <f aca="false">IF(E84&lt;0,D84,B84)</f>
        <v>0.0341876220703125</v>
      </c>
      <c r="C85" s="54" t="n">
        <f aca="false">IF(E84&lt;0,C84,D84)</f>
        <v>0.0341943359375</v>
      </c>
      <c r="D85" s="54" t="n">
        <f aca="false">(B85+C85)/2</f>
        <v>0.0341909790039063</v>
      </c>
      <c r="E85" s="31" t="n">
        <f aca="false">SUMPRODUCT(($A$6:$A$15&lt;='3. Assumptions'!$B$45)*('6. Income and costs'!$B$8*(1+D85)^($A$6:$A$15-1)-'6.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costs'!$B$8*(1+D85)^'3.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121.088555114344</v>
      </c>
      <c r="G85" s="54" t="n">
        <f aca="false">IF(J84&gt;0,I84,G84)</f>
        <v>0.0212158203125</v>
      </c>
      <c r="H85" s="54" t="n">
        <f aca="false">IF(J84&gt;0,H84,I84)</f>
        <v>0.0212234497070312</v>
      </c>
      <c r="I85" s="54" t="n">
        <f aca="false">(G85+H85)/2</f>
        <v>0.0212196350097656</v>
      </c>
      <c r="J85" s="31" t="n">
        <f aca="false">SUMPRODUCT(($A$6:$A$15&lt;='3. Assumptions'!$B$45)*('6. Income and costs'!$B$8*(1+'3. Assumptions'!$B$41)^($A$6:$A$15-1)-'6. Income and costs'!$B$23*(1+I85)^($A$6:$A$15-1)-('3. Assumptions'!$B$34*'2. The tape'!$B$13*(1+I85)^($A$6:$A$15-1)+(MOD($A$6:$A$15+'3. Assumptions'!$B$37,'3. Assumptions'!$B$35)=0)*'3. Assumptions'!$B$36*'2. The tape'!$B$13*(1+I85)^($A$6:$A$15-1)))/(1+'3. Assumptions'!$B$40)^$A$6:$A$15)+((('6. Income and costs'!$B$8*(1+'3. Assumptions'!$B$41)^'3. Assumptions'!$B$45-'6. Income and costs'!$B$23*(1+I85)^'3. Assumptions'!$B$45)/'3. Assumptions'!$B$39)*(1-'3. Assumptions'!$B$44)-'3. Assumptions'!$B$36*'2. The tape'!$B$13*(1+I85)^'3. Assumptions'!$B$45*MOD('3. Assumptions'!$B$45+'3. Assumptions'!$B$37,'3. Assumptions'!$B$35)/'3. Assumptions'!$B$35)/(1+'3. Assumptions'!$B$40)^'3. Assumptions'!$B$45-'6. Income and costs'!$B$35</f>
        <v>54.2213155049831</v>
      </c>
    </row>
    <row r="86" customFormat="false" ht="15" hidden="false" customHeight="false" outlineLevel="0" collapsed="false">
      <c r="A86" s="34" t="n">
        <v>17</v>
      </c>
      <c r="B86" s="54" t="n">
        <f aca="false">IF(E85&lt;0,D85,B85)</f>
        <v>0.0341876220703125</v>
      </c>
      <c r="C86" s="54" t="n">
        <f aca="false">IF(E85&lt;0,C85,D85)</f>
        <v>0.0341909790039063</v>
      </c>
      <c r="D86" s="54" t="n">
        <f aca="false">(B86+C86)/2</f>
        <v>0.0341893005371094</v>
      </c>
      <c r="E86" s="31" t="n">
        <f aca="false">SUMPRODUCT(($A$6:$A$15&lt;='3. Assumptions'!$B$45)*('6. Income and costs'!$B$8*(1+D86)^($A$6:$A$15-1)-'6.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costs'!$B$8*(1+D86)^'3.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-100.759572541341</v>
      </c>
      <c r="G86" s="54" t="n">
        <f aca="false">IF(J85&gt;0,I85,G85)</f>
        <v>0.0212196350097656</v>
      </c>
      <c r="H86" s="54" t="n">
        <f aca="false">IF(J85&gt;0,H85,I85)</f>
        <v>0.0212234497070312</v>
      </c>
      <c r="I86" s="54" t="n">
        <f aca="false">(G86+H86)/2</f>
        <v>0.0212215423583984</v>
      </c>
      <c r="J86" s="31" t="n">
        <f aca="false">SUMPRODUCT(($A$6:$A$15&lt;='3. Assumptions'!$B$45)*('6. Income and costs'!$B$8*(1+'3. Assumptions'!$B$41)^($A$6:$A$15-1)-'6. Income and costs'!$B$23*(1+I86)^($A$6:$A$15-1)-('3. Assumptions'!$B$34*'2. The tape'!$B$13*(1+I86)^($A$6:$A$15-1)+(MOD($A$6:$A$15+'3. Assumptions'!$B$37,'3. Assumptions'!$B$35)=0)*'3. Assumptions'!$B$36*'2. The tape'!$B$13*(1+I86)^($A$6:$A$15-1)))/(1+'3. Assumptions'!$B$40)^$A$6:$A$15)+((('6. Income and costs'!$B$8*(1+'3. Assumptions'!$B$41)^'3. Assumptions'!$B$45-'6. Income and costs'!$B$23*(1+I86)^'3. Assumptions'!$B$45)/'3. Assumptions'!$B$39)*(1-'3. Assumptions'!$B$44)-'3. Assumptions'!$B$36*'2. The tape'!$B$13*(1+I86)^'3. Assumptions'!$B$45*MOD('3. Assumptions'!$B$45+'3. Assumptions'!$B$37,'3. Assumptions'!$B$35)/'3. Assumptions'!$B$35)/(1+'3. Assumptions'!$B$40)^'3. Assumptions'!$B$45-'6. Income and costs'!$B$35</f>
        <v>-72.0068663731217</v>
      </c>
    </row>
    <row r="87" customFormat="false" ht="15" hidden="false" customHeight="false" outlineLevel="0" collapsed="false">
      <c r="A87" s="34" t="n">
        <v>18</v>
      </c>
      <c r="B87" s="54" t="n">
        <f aca="false">IF(E86&lt;0,D86,B86)</f>
        <v>0.0341893005371094</v>
      </c>
      <c r="C87" s="54" t="n">
        <f aca="false">IF(E86&lt;0,C86,D86)</f>
        <v>0.0341909790039063</v>
      </c>
      <c r="D87" s="54" t="n">
        <f aca="false">(B87+C87)/2</f>
        <v>0.0341901397705078</v>
      </c>
      <c r="E87" s="31" t="n">
        <f aca="false">SUMPRODUCT(($A$6:$A$15&lt;='3. Assumptions'!$B$45)*('6. Income and costs'!$B$8*(1+D87)^($A$6:$A$15-1)-'6.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costs'!$B$8*(1+D87)^'3.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10.1641297508031</v>
      </c>
      <c r="G87" s="54" t="n">
        <f aca="false">IF(J86&gt;0,I86,G86)</f>
        <v>0.0212196350097656</v>
      </c>
      <c r="H87" s="54" t="n">
        <f aca="false">IF(J86&gt;0,H86,I86)</f>
        <v>0.0212215423583984</v>
      </c>
      <c r="I87" s="54" t="n">
        <f aca="false">(G87+H87)/2</f>
        <v>0.021220588684082</v>
      </c>
      <c r="J87" s="31" t="n">
        <f aca="false">SUMPRODUCT(($A$6:$A$15&lt;='3. Assumptions'!$B$45)*('6. Income and costs'!$B$8*(1+'3. Assumptions'!$B$41)^($A$6:$A$15-1)-'6. Income and costs'!$B$23*(1+I87)^($A$6:$A$15-1)-('3. Assumptions'!$B$34*'2. The tape'!$B$13*(1+I87)^($A$6:$A$15-1)+(MOD($A$6:$A$15+'3. Assumptions'!$B$37,'3. Assumptions'!$B$35)=0)*'3. Assumptions'!$B$36*'2. The tape'!$B$13*(1+I87)^($A$6:$A$15-1)))/(1+'3. Assumptions'!$B$40)^$A$6:$A$15)+((('6. Income and costs'!$B$8*(1+'3. Assumptions'!$B$41)^'3. Assumptions'!$B$45-'6. Income and costs'!$B$23*(1+I87)^'3. Assumptions'!$B$45)/'3. Assumptions'!$B$39)*(1-'3. Assumptions'!$B$44)-'3. Assumptions'!$B$36*'2. The tape'!$B$13*(1+I87)^'3. Assumptions'!$B$45*MOD('3. Assumptions'!$B$45+'3. Assumptions'!$B$37,'3. Assumptions'!$B$35)/'3. Assumptions'!$B$35)/(1+'3. Assumptions'!$B$40)^'3. Assumptions'!$B$45-'6. Income and costs'!$B$35</f>
        <v>-8.89254217036068</v>
      </c>
    </row>
    <row r="88" customFormat="false" ht="15" hidden="false" customHeight="false" outlineLevel="0" collapsed="false">
      <c r="A88" s="34" t="n">
        <v>19</v>
      </c>
      <c r="B88" s="54" t="n">
        <f aca="false">IF(E87&lt;0,D87,B87)</f>
        <v>0.0341893005371094</v>
      </c>
      <c r="C88" s="54" t="n">
        <f aca="false">IF(E87&lt;0,C87,D87)</f>
        <v>0.0341901397705078</v>
      </c>
      <c r="D88" s="54" t="n">
        <f aca="false">(B88+C88)/2</f>
        <v>0.0341897201538086</v>
      </c>
      <c r="E88" s="31" t="n">
        <f aca="false">SUMPRODUCT(($A$6:$A$15&lt;='3. Assumptions'!$B$45)*('6. Income and costs'!$B$8*(1+D88)^($A$6:$A$15-1)-'6.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costs'!$B$8*(1+D88)^'3.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-45.297811774537</v>
      </c>
      <c r="G88" s="54" t="n">
        <f aca="false">IF(J87&gt;0,I87,G87)</f>
        <v>0.0212196350097656</v>
      </c>
      <c r="H88" s="54" t="n">
        <f aca="false">IF(J87&gt;0,H87,I87)</f>
        <v>0.021220588684082</v>
      </c>
      <c r="I88" s="54" t="n">
        <f aca="false">(G88+H88)/2</f>
        <v>0.0212201118469238</v>
      </c>
      <c r="J88" s="31" t="n">
        <f aca="false">SUMPRODUCT(($A$6:$A$15&lt;='3. Assumptions'!$B$45)*('6. Income and costs'!$B$8*(1+'3. Assumptions'!$B$41)^($A$6:$A$15-1)-'6. Income and costs'!$B$23*(1+I88)^($A$6:$A$15-1)-('3. Assumptions'!$B$34*'2. The tape'!$B$13*(1+I88)^($A$6:$A$15-1)+(MOD($A$6:$A$15+'3. Assumptions'!$B$37,'3. Assumptions'!$B$35)=0)*'3. Assumptions'!$B$36*'2. The tape'!$B$13*(1+I88)^($A$6:$A$15-1)))/(1+'3. Assumptions'!$B$40)^$A$6:$A$15)+((('6. Income and costs'!$B$8*(1+'3. Assumptions'!$B$41)^'3. Assumptions'!$B$45-'6. Income and costs'!$B$23*(1+I88)^'3. Assumptions'!$B$45)/'3. Assumptions'!$B$39)*(1-'3. Assumptions'!$B$44)-'3. Assumptions'!$B$36*'2. The tape'!$B$13*(1+I88)^'3. Assumptions'!$B$45*MOD('3. Assumptions'!$B$45+'3. Assumptions'!$B$37,'3. Assumptions'!$B$35)/'3. Assumptions'!$B$35)/(1+'3. Assumptions'!$B$40)^'3. Assumptions'!$B$45-'6. Income and costs'!$B$35</f>
        <v>22.6644449830055</v>
      </c>
    </row>
    <row r="89" customFormat="false" ht="15" hidden="false" customHeight="false" outlineLevel="0" collapsed="false">
      <c r="A89" s="34" t="n">
        <v>20</v>
      </c>
      <c r="B89" s="54" t="n">
        <f aca="false">IF(E88&lt;0,D88,B88)</f>
        <v>0.0341897201538086</v>
      </c>
      <c r="C89" s="54" t="n">
        <f aca="false">IF(E88&lt;0,C88,D88)</f>
        <v>0.0341901397705078</v>
      </c>
      <c r="D89" s="54" t="n">
        <f aca="false">(B89+C89)/2</f>
        <v>0.0341899299621582</v>
      </c>
      <c r="E89" s="31" t="n">
        <f aca="false">SUMPRODUCT(($A$6:$A$15&lt;='3. Assumptions'!$B$45)*('6. Income and costs'!$B$8*(1+D89)^($A$6:$A$15-1)-'6.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costs'!$B$8*(1+D89)^'3.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-17.5668636057526</v>
      </c>
      <c r="G89" s="54" t="n">
        <f aca="false">IF(J88&gt;0,I88,G88)</f>
        <v>0.0212201118469238</v>
      </c>
      <c r="H89" s="54" t="n">
        <f aca="false">IF(J88&gt;0,H88,I88)</f>
        <v>0.021220588684082</v>
      </c>
      <c r="I89" s="54" t="n">
        <f aca="false">(G89+H89)/2</f>
        <v>0.0212203502655029</v>
      </c>
      <c r="J89" s="31" t="n">
        <f aca="false">SUMPRODUCT(($A$6:$A$15&lt;='3. Assumptions'!$B$45)*('6. Income and costs'!$B$8*(1+'3. Assumptions'!$B$41)^($A$6:$A$15-1)-'6. Income and costs'!$B$23*(1+I89)^($A$6:$A$15-1)-('3. Assumptions'!$B$34*'2. The tape'!$B$13*(1+I89)^($A$6:$A$15-1)+(MOD($A$6:$A$15+'3. Assumptions'!$B$37,'3. Assumptions'!$B$35)=0)*'3. Assumptions'!$B$36*'2. The tape'!$B$13*(1+I89)^($A$6:$A$15-1)))/(1+'3. Assumptions'!$B$40)^$A$6:$A$15)+((('6. Income and costs'!$B$8*(1+'3. Assumptions'!$B$41)^'3. Assumptions'!$B$45-'6. Income and costs'!$B$23*(1+I89)^'3. Assumptions'!$B$45)/'3. Assumptions'!$B$39)*(1-'3. Assumptions'!$B$44)-'3. Assumptions'!$B$36*'2. The tape'!$B$13*(1+I89)^'3. Assumptions'!$B$45*MOD('3. Assumptions'!$B$45+'3. Assumptions'!$B$37,'3. Assumptions'!$B$35)/'3. Assumptions'!$B$35)/(1+'3. Assumptions'!$B$40)^'3. Assumptions'!$B$45-'6. Income and costs'!$B$35</f>
        <v>6.88596598617733</v>
      </c>
    </row>
    <row r="90" customFormat="false" ht="15" hidden="false" customHeight="false" outlineLevel="0" collapsed="false">
      <c r="A90" s="34" t="n">
        <v>21</v>
      </c>
      <c r="B90" s="54" t="n">
        <f aca="false">IF(E89&lt;0,D89,B89)</f>
        <v>0.0341899299621582</v>
      </c>
      <c r="C90" s="54" t="n">
        <f aca="false">IF(E89&lt;0,C89,D89)</f>
        <v>0.0341901397705078</v>
      </c>
      <c r="D90" s="54" t="n">
        <f aca="false">(B90+C90)/2</f>
        <v>0.034190034866333</v>
      </c>
      <c r="E90" s="31" t="n">
        <f aca="false">SUMPRODUCT(($A$6:$A$15&lt;='3. Assumptions'!$B$45)*('6. Income and costs'!$B$8*(1+D90)^($A$6:$A$15-1)-'6.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costs'!$B$8*(1+D90)^'3.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-3.70137256011367</v>
      </c>
      <c r="G90" s="54" t="n">
        <f aca="false">IF(J89&gt;0,I89,G89)</f>
        <v>0.0212203502655029</v>
      </c>
      <c r="H90" s="54" t="n">
        <f aca="false">IF(J89&gt;0,H89,I89)</f>
        <v>0.021220588684082</v>
      </c>
      <c r="I90" s="54" t="n">
        <f aca="false">(G90+H90)/2</f>
        <v>0.0212204694747925</v>
      </c>
      <c r="J90" s="31" t="n">
        <f aca="false">SUMPRODUCT(($A$6:$A$15&lt;='3. Assumptions'!$B$45)*('6. Income and costs'!$B$8*(1+'3. Assumptions'!$B$41)^($A$6:$A$15-1)-'6. Income and costs'!$B$23*(1+I90)^($A$6:$A$15-1)-('3. Assumptions'!$B$34*'2. The tape'!$B$13*(1+I90)^($A$6:$A$15-1)+(MOD($A$6:$A$15+'3. Assumptions'!$B$37,'3. Assumptions'!$B$35)=0)*'3. Assumptions'!$B$36*'2. The tape'!$B$13*(1+I90)^($A$6:$A$15-1)))/(1+'3. Assumptions'!$B$40)^$A$6:$A$15)+((('6. Income and costs'!$B$8*(1+'3. Assumptions'!$B$41)^'3. Assumptions'!$B$45-'6. Income and costs'!$B$23*(1+I90)^'3. Assumptions'!$B$45)/'3. Assumptions'!$B$39)*(1-'3. Assumptions'!$B$44)-'3. Assumptions'!$B$36*'2. The tape'!$B$13*(1+I90)^'3. Assumptions'!$B$45*MOD('3. Assumptions'!$B$45+'3. Assumptions'!$B$37,'3. Assumptions'!$B$35)/'3. Assumptions'!$B$35)/(1+'3. Assumptions'!$B$40)^'3. Assumptions'!$B$45-'6. Income and costs'!$B$35</f>
        <v>-1.00328444689512</v>
      </c>
    </row>
    <row r="91" customFormat="false" ht="15" hidden="false" customHeight="false" outlineLevel="0" collapsed="false">
      <c r="A91" s="34" t="n">
        <v>22</v>
      </c>
      <c r="B91" s="54" t="n">
        <f aca="false">IF(E90&lt;0,D90,B90)</f>
        <v>0.034190034866333</v>
      </c>
      <c r="C91" s="54" t="n">
        <f aca="false">IF(E90&lt;0,C90,D90)</f>
        <v>0.0341901397705078</v>
      </c>
      <c r="D91" s="54" t="n">
        <f aca="false">(B91+C91)/2</f>
        <v>0.0341900873184204</v>
      </c>
      <c r="E91" s="31" t="n">
        <f aca="false">SUMPRODUCT(($A$6:$A$15&lt;='3. Assumptions'!$B$45)*('6. Income and costs'!$B$8*(1+D91)^($A$6:$A$15-1)-'6.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costs'!$B$8*(1+D91)^'3.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3.23137718252838</v>
      </c>
      <c r="G91" s="54" t="n">
        <f aca="false">IF(J90&gt;0,I90,G90)</f>
        <v>0.0212203502655029</v>
      </c>
      <c r="H91" s="54" t="n">
        <f aca="false">IF(J90&gt;0,H90,I90)</f>
        <v>0.0212204694747925</v>
      </c>
      <c r="I91" s="54" t="n">
        <f aca="false">(G91+H91)/2</f>
        <v>0.0212204098701477</v>
      </c>
      <c r="J91" s="31" t="n">
        <f aca="false">SUMPRODUCT(($A$6:$A$15&lt;='3. Assumptions'!$B$45)*('6. Income and costs'!$B$8*(1+'3. Assumptions'!$B$41)^($A$6:$A$15-1)-'6. Income and costs'!$B$23*(1+I91)^($A$6:$A$15-1)-('3. Assumptions'!$B$34*'2. The tape'!$B$13*(1+I91)^($A$6:$A$15-1)+(MOD($A$6:$A$15+'3. Assumptions'!$B$37,'3. Assumptions'!$B$35)=0)*'3. Assumptions'!$B$36*'2. The tape'!$B$13*(1+I91)^($A$6:$A$15-1)))/(1+'3. Assumptions'!$B$40)^$A$6:$A$15)+((('6. Income and costs'!$B$8*(1+'3. Assumptions'!$B$41)^'3. Assumptions'!$B$45-'6. Income and costs'!$B$23*(1+I91)^'3. Assumptions'!$B$45)/'3. Assumptions'!$B$39)*(1-'3. Assumptions'!$B$44)-'3. Assumptions'!$B$36*'2. The tape'!$B$13*(1+I91)^'3. Assumptions'!$B$45*MOD('3. Assumptions'!$B$45+'3. Assumptions'!$B$37,'3. Assumptions'!$B$35)/'3. Assumptions'!$B$35)/(1+'3. Assumptions'!$B$40)^'3. Assumptions'!$B$45-'6. Income and costs'!$B$35</f>
        <v>2.94134167954326</v>
      </c>
    </row>
    <row r="92" customFormat="false" ht="15" hidden="false" customHeight="false" outlineLevel="0" collapsed="false">
      <c r="A92" s="34" t="n">
        <v>23</v>
      </c>
      <c r="B92" s="54" t="n">
        <f aca="false">IF(E91&lt;0,D91,B91)</f>
        <v>0.034190034866333</v>
      </c>
      <c r="C92" s="54" t="n">
        <f aca="false">IF(E91&lt;0,C91,D91)</f>
        <v>0.0341900873184204</v>
      </c>
      <c r="D92" s="54" t="n">
        <f aca="false">(B92+C92)/2</f>
        <v>0.0341900610923767</v>
      </c>
      <c r="E92" s="31" t="n">
        <f aca="false">SUMPRODUCT(($A$6:$A$15&lt;='3. Assumptions'!$B$45)*('6. Income and costs'!$B$8*(1+D92)^($A$6:$A$15-1)-'6.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costs'!$B$8*(1+D92)^'3.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-0.234998054802418</v>
      </c>
      <c r="G92" s="54" t="n">
        <f aca="false">IF(J91&gt;0,I91,G91)</f>
        <v>0.0212204098701477</v>
      </c>
      <c r="H92" s="54" t="n">
        <f aca="false">IF(J91&gt;0,H91,I91)</f>
        <v>0.0212204694747925</v>
      </c>
      <c r="I92" s="54" t="n">
        <f aca="false">(G92+H92)/2</f>
        <v>0.0212204396724701</v>
      </c>
      <c r="J92" s="31" t="n">
        <f aca="false">SUMPRODUCT(($A$6:$A$15&lt;='3. Assumptions'!$B$45)*('6. Income and costs'!$B$8*(1+'3. Assumptions'!$B$41)^($A$6:$A$15-1)-'6. Income and costs'!$B$23*(1+I92)^($A$6:$A$15-1)-('3. Assumptions'!$B$34*'2. The tape'!$B$13*(1+I92)^($A$6:$A$15-1)+(MOD($A$6:$A$15+'3. Assumptions'!$B$37,'3. Assumptions'!$B$35)=0)*'3. Assumptions'!$B$36*'2. The tape'!$B$13*(1+I92)^($A$6:$A$15-1)))/(1+'3. Assumptions'!$B$40)^$A$6:$A$15)+((('6. Income and costs'!$B$8*(1+'3. Assumptions'!$B$41)^'3. Assumptions'!$B$45-'6. Income and costs'!$B$23*(1+I92)^'3. Assumptions'!$B$45)/'3. Assumptions'!$B$39)*(1-'3. Assumptions'!$B$44)-'3. Assumptions'!$B$36*'2. The tape'!$B$13*(1+I92)^'3. Assumptions'!$B$45*MOD('3. Assumptions'!$B$45+'3. Assumptions'!$B$37,'3. Assumptions'!$B$35)/'3. Assumptions'!$B$35)/(1+'3. Assumptions'!$B$40)^'3. Assumptions'!$B$45-'6. Income and costs'!$B$35</f>
        <v>0.969028845429421</v>
      </c>
    </row>
    <row r="93" customFormat="false" ht="15" hidden="false" customHeight="false" outlineLevel="0" collapsed="false">
      <c r="A93" s="34" t="n">
        <v>24</v>
      </c>
      <c r="B93" s="54" t="n">
        <f aca="false">IF(E92&lt;0,D92,B92)</f>
        <v>0.0341900610923767</v>
      </c>
      <c r="C93" s="54" t="n">
        <f aca="false">IF(E92&lt;0,C92,D92)</f>
        <v>0.0341900873184204</v>
      </c>
      <c r="D93" s="54" t="n">
        <f aca="false">(B93+C93)/2</f>
        <v>0.0341900742053986</v>
      </c>
      <c r="E93" s="31" t="n">
        <f aca="false">SUMPRODUCT(($A$6:$A$15&lt;='3. Assumptions'!$B$45)*('6. Income and costs'!$B$8*(1+D93)^($A$6:$A$15-1)-'6.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costs'!$B$8*(1+D93)^'3.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1.4981894902885</v>
      </c>
      <c r="G93" s="54" t="n">
        <f aca="false">IF(J92&gt;0,I92,G92)</f>
        <v>0.0212204396724701</v>
      </c>
      <c r="H93" s="54" t="n">
        <f aca="false">IF(J92&gt;0,H92,I92)</f>
        <v>0.0212204694747925</v>
      </c>
      <c r="I93" s="54" t="n">
        <f aca="false">(G93+H93)/2</f>
        <v>0.0212204545736313</v>
      </c>
      <c r="J93" s="31" t="n">
        <f aca="false">SUMPRODUCT(($A$6:$A$15&lt;='3. Assumptions'!$B$45)*('6. Income and costs'!$B$8*(1+'3. Assumptions'!$B$41)^($A$6:$A$15-1)-'6. Income and costs'!$B$23*(1+I93)^($A$6:$A$15-1)-('3. Assumptions'!$B$34*'2. The tape'!$B$13*(1+I93)^($A$6:$A$15-1)+(MOD($A$6:$A$15+'3. Assumptions'!$B$37,'3. Assumptions'!$B$35)=0)*'3. Assumptions'!$B$36*'2. The tape'!$B$13*(1+I93)^($A$6:$A$15-1)))/(1+'3. Assumptions'!$B$40)^$A$6:$A$15)+((('6. Income and costs'!$B$8*(1+'3. Assumptions'!$B$41)^'3. Assumptions'!$B$45-'6. Income and costs'!$B$23*(1+I93)^'3. Assumptions'!$B$45)/'3. Assumptions'!$B$39)*(1-'3. Assumptions'!$B$44)-'3. Assumptions'!$B$36*'2. The tape'!$B$13*(1+I93)^'3. Assumptions'!$B$45*MOD('3. Assumptions'!$B$45+'3. Assumptions'!$B$37,'3. Assumptions'!$B$35)/'3. Assumptions'!$B$35)/(1+'3. Assumptions'!$B$40)^'3. Assumptions'!$B$45-'6. Income and costs'!$B$35</f>
        <v>-0.0171277448534966</v>
      </c>
    </row>
    <row r="94" customFormat="false" ht="15" hidden="false" customHeight="false" outlineLevel="0" collapsed="false">
      <c r="A94" s="34" t="n">
        <v>25</v>
      </c>
      <c r="B94" s="54" t="n">
        <f aca="false">IF(E93&lt;0,D93,B93)</f>
        <v>0.0341900610923767</v>
      </c>
      <c r="C94" s="54" t="n">
        <f aca="false">IF(E93&lt;0,C93,D93)</f>
        <v>0.0341900742053986</v>
      </c>
      <c r="D94" s="54" t="n">
        <f aca="false">(B94+C94)/2</f>
        <v>0.0341900676488876</v>
      </c>
      <c r="E94" s="31" t="n">
        <f aca="false">SUMPRODUCT(($A$6:$A$15&lt;='3. Assumptions'!$B$45)*('6. Income and costs'!$B$8*(1+D94)^($A$6:$A$15-1)-'6.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costs'!$B$8*(1+D94)^'3.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0.631595678627491</v>
      </c>
      <c r="G94" s="54" t="n">
        <f aca="false">IF(J93&gt;0,I93,G93)</f>
        <v>0.0212204396724701</v>
      </c>
      <c r="H94" s="54" t="n">
        <f aca="false">IF(J93&gt;0,H93,I93)</f>
        <v>0.0212204545736313</v>
      </c>
      <c r="I94" s="54" t="n">
        <f aca="false">(G94+H94)/2</f>
        <v>0.0212204471230507</v>
      </c>
      <c r="J94" s="31" t="n">
        <f aca="false">SUMPRODUCT(($A$6:$A$15&lt;='3. Assumptions'!$B$45)*('6. Income and costs'!$B$8*(1+'3. Assumptions'!$B$41)^($A$6:$A$15-1)-'6. Income and costs'!$B$23*(1+I94)^($A$6:$A$15-1)-('3. Assumptions'!$B$34*'2. The tape'!$B$13*(1+I94)^($A$6:$A$15-1)+(MOD($A$6:$A$15+'3. Assumptions'!$B$37,'3. Assumptions'!$B$35)=0)*'3. Assumptions'!$B$36*'2. The tape'!$B$13*(1+I94)^($A$6:$A$15-1)))/(1+'3. Assumptions'!$B$40)^$A$6:$A$15)+((('6. Income and costs'!$B$8*(1+'3. Assumptions'!$B$41)^'3. Assumptions'!$B$45-'6. Income and costs'!$B$23*(1+I94)^'3. Assumptions'!$B$45)/'3. Assumptions'!$B$39)*(1-'3. Assumptions'!$B$44)-'3. Assumptions'!$B$36*'2. The tape'!$B$13*(1+I94)^'3. Assumptions'!$B$45*MOD('3. Assumptions'!$B$45+'3. Assumptions'!$B$37,'3. Assumptions'!$B$35)/'3. Assumptions'!$B$35)/(1+'3. Assumptions'!$B$40)^'3. Assumptions'!$B$45-'6. Income and costs'!$B$35</f>
        <v>0.475950563326478</v>
      </c>
    </row>
    <row r="95" customFormat="false" ht="15" hidden="false" customHeight="false" outlineLevel="0" collapsed="false">
      <c r="A95" s="34" t="n">
        <v>26</v>
      </c>
      <c r="B95" s="54" t="n">
        <f aca="false">IF(E94&lt;0,D94,B94)</f>
        <v>0.0341900610923767</v>
      </c>
      <c r="C95" s="54" t="n">
        <f aca="false">IF(E94&lt;0,C94,D94)</f>
        <v>0.0341900676488876</v>
      </c>
      <c r="D95" s="54" t="n">
        <f aca="false">(B95+C95)/2</f>
        <v>0.0341900643706322</v>
      </c>
      <c r="E95" s="31" t="n">
        <f aca="false">SUMPRODUCT(($A$6:$A$15&lt;='3. Assumptions'!$B$45)*('6. Income and costs'!$B$8*(1+D95)^($A$6:$A$15-1)-'6.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costs'!$B$8*(1+D95)^'3.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0.198298806324601</v>
      </c>
      <c r="G95" s="54" t="n">
        <f aca="false">IF(J94&gt;0,I94,G94)</f>
        <v>0.0212204471230507</v>
      </c>
      <c r="H95" s="54" t="n">
        <f aca="false">IF(J94&gt;0,H94,I94)</f>
        <v>0.0212204545736313</v>
      </c>
      <c r="I95" s="54" t="n">
        <f aca="false">(G95+H95)/2</f>
        <v>0.021220450848341</v>
      </c>
      <c r="J95" s="31" t="n">
        <f aca="false">SUMPRODUCT(($A$6:$A$15&lt;='3. Assumptions'!$B$45)*('6. Income and costs'!$B$8*(1+'3. Assumptions'!$B$41)^($A$6:$A$15-1)-'6. Income and costs'!$B$23*(1+I95)^($A$6:$A$15-1)-('3. Assumptions'!$B$34*'2. The tape'!$B$13*(1+I95)^($A$6:$A$15-1)+(MOD($A$6:$A$15+'3. Assumptions'!$B$37,'3. Assumptions'!$B$35)=0)*'3. Assumptions'!$B$36*'2. The tape'!$B$13*(1+I95)^($A$6:$A$15-1)))/(1+'3. Assumptions'!$B$40)^$A$6:$A$15)+((('6. Income and costs'!$B$8*(1+'3. Assumptions'!$B$41)^'3. Assumptions'!$B$45-'6. Income and costs'!$B$23*(1+I95)^'3. Assumptions'!$B$45)/'3. Assumptions'!$B$39)*(1-'3. Assumptions'!$B$44)-'3. Assumptions'!$B$36*'2. The tape'!$B$13*(1+I95)^'3. Assumptions'!$B$45*MOD('3. Assumptions'!$B$45+'3. Assumptions'!$B$37,'3. Assumptions'!$B$35)/'3. Assumptions'!$B$35)/(1+'3. Assumptions'!$B$40)^'3. Assumptions'!$B$45-'6. Income and costs'!$B$35</f>
        <v>0.229411412030458</v>
      </c>
    </row>
    <row r="96" customFormat="false" ht="15" hidden="false" customHeight="false" outlineLevel="0" collapsed="false">
      <c r="A96" s="34" t="n">
        <v>27</v>
      </c>
      <c r="B96" s="54" t="n">
        <f aca="false">IF(E95&lt;0,D95,B95)</f>
        <v>0.0341900610923767</v>
      </c>
      <c r="C96" s="54" t="n">
        <f aca="false">IF(E95&lt;0,C95,D95)</f>
        <v>0.0341900643706322</v>
      </c>
      <c r="D96" s="54" t="n">
        <f aca="false">(B96+C96)/2</f>
        <v>0.0341900627315044</v>
      </c>
      <c r="E96" s="31" t="n">
        <f aca="false">SUMPRODUCT(($A$6:$A$15&lt;='3. Assumptions'!$B$45)*('6. Income and costs'!$B$8*(1+D96)^($A$6:$A$15-1)-'6.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costs'!$B$8*(1+D96)^'3.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-0.018349627032876</v>
      </c>
      <c r="G96" s="54" t="n">
        <f aca="false">IF(J95&gt;0,I95,G95)</f>
        <v>0.021220450848341</v>
      </c>
      <c r="H96" s="54" t="n">
        <f aca="false">IF(J95&gt;0,H95,I95)</f>
        <v>0.0212204545736313</v>
      </c>
      <c r="I96" s="54" t="n">
        <f aca="false">(G96+H96)/2</f>
        <v>0.0212204527109861</v>
      </c>
      <c r="J96" s="31" t="n">
        <f aca="false">SUMPRODUCT(($A$6:$A$15&lt;='3. Assumptions'!$B$45)*('6. Income and costs'!$B$8*(1+'3. Assumptions'!$B$41)^($A$6:$A$15-1)-'6. Income and costs'!$B$23*(1+I96)^($A$6:$A$15-1)-('3. Assumptions'!$B$34*'2. The tape'!$B$13*(1+I96)^($A$6:$A$15-1)+(MOD($A$6:$A$15+'3. Assumptions'!$B$37,'3. Assumptions'!$B$35)=0)*'3. Assumptions'!$B$36*'2. The tape'!$B$13*(1+I96)^($A$6:$A$15-1)))/(1+'3. Assumptions'!$B$40)^$A$6:$A$15)+((('6. Income and costs'!$B$8*(1+'3. Assumptions'!$B$41)^'3. Assumptions'!$B$45-'6. Income and costs'!$B$23*(1+I96)^'3. Assumptions'!$B$45)/'3. Assumptions'!$B$39)*(1-'3. Assumptions'!$B$44)-'3. Assumptions'!$B$36*'2. The tape'!$B$13*(1+I96)^'3. Assumptions'!$B$45*MOD('3. Assumptions'!$B$45+'3. Assumptions'!$B$37,'3. Assumptions'!$B$35)/'3. Assumptions'!$B$35)/(1+'3. Assumptions'!$B$40)^'3. Assumptions'!$B$45-'6. Income and costs'!$B$35</f>
        <v>0.106141835451126</v>
      </c>
    </row>
    <row r="97" customFormat="false" ht="15" hidden="false" customHeight="false" outlineLevel="0" collapsed="false">
      <c r="A97" s="34" t="n">
        <v>28</v>
      </c>
      <c r="B97" s="54" t="n">
        <f aca="false">IF(E96&lt;0,D96,B96)</f>
        <v>0.0341900627315044</v>
      </c>
      <c r="C97" s="54" t="n">
        <f aca="false">IF(E96&lt;0,C96,D96)</f>
        <v>0.0341900643706322</v>
      </c>
      <c r="D97" s="54" t="n">
        <f aca="false">(B97+C97)/2</f>
        <v>0.0341900635510683</v>
      </c>
      <c r="E97" s="31" t="n">
        <f aca="false">SUMPRODUCT(($A$6:$A$15&lt;='3. Assumptions'!$B$45)*('6. Income and costs'!$B$8*(1+D97)^($A$6:$A$15-1)-'6.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costs'!$B$8*(1+D97)^'3.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0.0899746045470238</v>
      </c>
      <c r="G97" s="54" t="n">
        <f aca="false">IF(J96&gt;0,I96,G96)</f>
        <v>0.0212204527109861</v>
      </c>
      <c r="H97" s="54" t="n">
        <f aca="false">IF(J96&gt;0,H96,I96)</f>
        <v>0.0212204545736313</v>
      </c>
      <c r="I97" s="54" t="n">
        <f aca="false">(G97+H97)/2</f>
        <v>0.0212204536423087</v>
      </c>
      <c r="J97" s="31" t="n">
        <f aca="false">SUMPRODUCT(($A$6:$A$15&lt;='3. Assumptions'!$B$45)*('6. Income and costs'!$B$8*(1+'3. Assumptions'!$B$41)^($A$6:$A$15-1)-'6. Income and costs'!$B$23*(1+I97)^($A$6:$A$15-1)-('3. Assumptions'!$B$34*'2. The tape'!$B$13*(1+I97)^($A$6:$A$15-1)+(MOD($A$6:$A$15+'3. Assumptions'!$B$37,'3. Assumptions'!$B$35)=0)*'3. Assumptions'!$B$36*'2. The tape'!$B$13*(1+I97)^($A$6:$A$15-1)))/(1+'3. Assumptions'!$B$40)^$A$6:$A$15)+((('6. Income and costs'!$B$8*(1+'3. Assumptions'!$B$41)^'3. Assumptions'!$B$45-'6. Income and costs'!$B$23*(1+I97)^'3. Assumptions'!$B$45)/'3. Assumptions'!$B$39)*(1-'3. Assumptions'!$B$44)-'3. Assumptions'!$B$36*'2. The tape'!$B$13*(1+I97)^'3. Assumptions'!$B$45*MOD('3. Assumptions'!$B$45+'3. Assumptions'!$B$37,'3. Assumptions'!$B$35)/'3. Assumptions'!$B$35)/(1+'3. Assumptions'!$B$40)^'3. Assumptions'!$B$45-'6. Income and costs'!$B$35</f>
        <v>0.0445070452988148</v>
      </c>
    </row>
    <row r="98" customFormat="false" ht="15" hidden="false" customHeight="false" outlineLevel="0" collapsed="false">
      <c r="A98" s="34" t="n">
        <v>29</v>
      </c>
      <c r="B98" s="54" t="n">
        <f aca="false">IF(E97&lt;0,D97,B97)</f>
        <v>0.0341900627315044</v>
      </c>
      <c r="C98" s="54" t="n">
        <f aca="false">IF(E97&lt;0,C97,D97)</f>
        <v>0.0341900635510683</v>
      </c>
      <c r="D98" s="54" t="n">
        <f aca="false">(B98+C98)/2</f>
        <v>0.0341900631412864</v>
      </c>
      <c r="E98" s="31" t="n">
        <f aca="false">SUMPRODUCT(($A$6:$A$15&lt;='3. Assumptions'!$B$45)*('6. Income and costs'!$B$8*(1+D98)^($A$6:$A$15-1)-'6.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costs'!$B$8*(1+D98)^'3.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0.0358124878257513</v>
      </c>
      <c r="G98" s="54" t="n">
        <f aca="false">IF(J97&gt;0,I97,G97)</f>
        <v>0.0212204536423087</v>
      </c>
      <c r="H98" s="54" t="n">
        <f aca="false">IF(J97&gt;0,H97,I97)</f>
        <v>0.0212204545736313</v>
      </c>
      <c r="I98" s="54" t="n">
        <f aca="false">(G98+H98)/2</f>
        <v>0.02122045410797</v>
      </c>
      <c r="J98" s="31" t="n">
        <f aca="false">SUMPRODUCT(($A$6:$A$15&lt;='3. Assumptions'!$B$45)*('6. Income and costs'!$B$8*(1+'3. Assumptions'!$B$41)^($A$6:$A$15-1)-'6. Income and costs'!$B$23*(1+I98)^($A$6:$A$15-1)-('3. Assumptions'!$B$34*'2. The tape'!$B$13*(1+I98)^($A$6:$A$15-1)+(MOD($A$6:$A$15+'3. Assumptions'!$B$37,'3. Assumptions'!$B$35)=0)*'3. Assumptions'!$B$36*'2. The tape'!$B$13*(1+I98)^($A$6:$A$15-1)))/(1+'3. Assumptions'!$B$40)^$A$6:$A$15)+((('6. Income and costs'!$B$8*(1+'3. Assumptions'!$B$41)^'3. Assumptions'!$B$45-'6. Income and costs'!$B$23*(1+I98)^'3. Assumptions'!$B$45)/'3. Assumptions'!$B$39)*(1-'3. Assumptions'!$B$44)-'3. Assumptions'!$B$36*'2. The tape'!$B$13*(1+I98)^'3. Assumptions'!$B$45*MOD('3. Assumptions'!$B$45+'3. Assumptions'!$B$37,'3. Assumptions'!$B$35)/'3. Assumptions'!$B$35)/(1+'3. Assumptions'!$B$40)^'3. Assumptions'!$B$45-'6. Income and costs'!$B$35</f>
        <v>0.0136896502226591</v>
      </c>
    </row>
    <row r="99" customFormat="false" ht="15" hidden="false" customHeight="false" outlineLevel="0" collapsed="false">
      <c r="A99" s="34" t="n">
        <v>30</v>
      </c>
      <c r="B99" s="54" t="n">
        <f aca="false">IF(E98&lt;0,D98,B98)</f>
        <v>0.0341900627315044</v>
      </c>
      <c r="C99" s="54" t="n">
        <f aca="false">IF(E98&lt;0,C98,D98)</f>
        <v>0.0341900631412864</v>
      </c>
      <c r="D99" s="54" t="n">
        <f aca="false">(B99+C99)/2</f>
        <v>0.0341900629363954</v>
      </c>
      <c r="E99" s="31" t="n">
        <f aca="false">SUMPRODUCT(($A$6:$A$15&lt;='3. Assumptions'!$B$45)*('6. Income and costs'!$B$8*(1+D99)^($A$6:$A$15-1)-'6.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costs'!$B$8*(1+D99)^'3.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0.00873143039643765</v>
      </c>
      <c r="G99" s="54" t="n">
        <f aca="false">IF(J98&gt;0,I98,G98)</f>
        <v>0.02122045410797</v>
      </c>
      <c r="H99" s="54" t="n">
        <f aca="false">IF(J98&gt;0,H98,I98)</f>
        <v>0.0212204545736313</v>
      </c>
      <c r="I99" s="54" t="n">
        <f aca="false">(G99+H99)/2</f>
        <v>0.0212204543408006</v>
      </c>
      <c r="J99" s="31" t="n">
        <f aca="false">SUMPRODUCT(($A$6:$A$15&lt;='3. Assumptions'!$B$45)*('6. Income and costs'!$B$8*(1+'3. Assumptions'!$B$41)^($A$6:$A$15-1)-'6. Income and costs'!$B$23*(1+I99)^($A$6:$A$15-1)-('3. Assumptions'!$B$34*'2. The tape'!$B$13*(1+I99)^($A$6:$A$15-1)+(MOD($A$6:$A$15+'3. Assumptions'!$B$37,'3. Assumptions'!$B$35)=0)*'3. Assumptions'!$B$36*'2. The tape'!$B$13*(1+I99)^($A$6:$A$15-1)))/(1+'3. Assumptions'!$B$40)^$A$6:$A$15)+((('6. Income and costs'!$B$8*(1+'3. Assumptions'!$B$41)^'3. Assumptions'!$B$45-'6. Income and costs'!$B$23*(1+I99)^'3. Assumptions'!$B$45)/'3. Assumptions'!$B$39)*(1-'3. Assumptions'!$B$44)-'3. Assumptions'!$B$36*'2. The tape'!$B$13*(1+I99)^'3. Assumptions'!$B$45*MOD('3. Assumptions'!$B$45+'3. Assumptions'!$B$37,'3. Assumptions'!$B$35)/'3. Assumptions'!$B$35)/(1+'3. Assumptions'!$B$40)^'3. Assumptions'!$B$45-'6. Income and costs'!$B$35</f>
        <v>-0.00171904638409615</v>
      </c>
    </row>
    <row r="100" customFormat="false" ht="15" hidden="false" customHeight="false" outlineLevel="0" collapsed="false">
      <c r="A100" s="34" t="n">
        <v>31</v>
      </c>
      <c r="B100" s="54" t="n">
        <f aca="false">IF(E99&lt;0,D99,B99)</f>
        <v>0.0341900627315044</v>
      </c>
      <c r="C100" s="54" t="n">
        <f aca="false">IF(E99&lt;0,C99,D99)</f>
        <v>0.0341900629363954</v>
      </c>
      <c r="D100" s="54" t="n">
        <f aca="false">(B100+C100)/2</f>
        <v>0.0341900628339499</v>
      </c>
      <c r="E100" s="31" t="n">
        <f aca="false">SUMPRODUCT(($A$6:$A$15&lt;='3. Assumptions'!$B$45)*('6. Income and costs'!$B$8*(1+D100)^($A$6:$A$15-1)-'6.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costs'!$B$8*(1+D100)^'3.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-0.00480908341705799</v>
      </c>
      <c r="G100" s="54" t="n">
        <f aca="false">IF(J99&gt;0,I99,G99)</f>
        <v>0.02122045410797</v>
      </c>
      <c r="H100" s="54" t="n">
        <f aca="false">IF(J99&gt;0,H99,I99)</f>
        <v>0.0212204543408006</v>
      </c>
      <c r="I100" s="54" t="n">
        <f aca="false">(G100+H100)/2</f>
        <v>0.0212204542243853</v>
      </c>
      <c r="J100" s="31" t="n">
        <f aca="false">SUMPRODUCT(($A$6:$A$15&lt;='3. Assumptions'!$B$45)*('6. Income and costs'!$B$8*(1+'3. Assumptions'!$B$41)^($A$6:$A$15-1)-'6. Income and costs'!$B$23*(1+I100)^($A$6:$A$15-1)-('3. Assumptions'!$B$34*'2. The tape'!$B$13*(1+I100)^($A$6:$A$15-1)+(MOD($A$6:$A$15+'3. Assumptions'!$B$37,'3. Assumptions'!$B$35)=0)*'3. Assumptions'!$B$36*'2. The tape'!$B$13*(1+I100)^($A$6:$A$15-1)))/(1+'3. Assumptions'!$B$40)^$A$6:$A$15)+((('6. Income and costs'!$B$8*(1+'3. Assumptions'!$B$41)^'3. Assumptions'!$B$45-'6. Income and costs'!$B$23*(1+I100)^'3. Assumptions'!$B$45)/'3. Assumptions'!$B$39)*(1-'3. Assumptions'!$B$44)-'3. Assumptions'!$B$36*'2. The tape'!$B$13*(1+I100)^'3. Assumptions'!$B$45*MOD('3. Assumptions'!$B$45+'3. Assumptions'!$B$37,'3. Assumptions'!$B$35)/'3. Assumptions'!$B$35)/(1+'3. Assumptions'!$B$40)^'3. Assumptions'!$B$45-'6. Income and costs'!$B$35</f>
        <v>0.00598530285060406</v>
      </c>
    </row>
    <row r="101" customFormat="false" ht="15" hidden="false" customHeight="false" outlineLevel="0" collapsed="false">
      <c r="A101" s="34" t="n">
        <v>32</v>
      </c>
      <c r="B101" s="54" t="n">
        <f aca="false">IF(E100&lt;0,D100,B100)</f>
        <v>0.0341900628339499</v>
      </c>
      <c r="C101" s="54" t="n">
        <f aca="false">IF(E100&lt;0,C100,D100)</f>
        <v>0.0341900629363954</v>
      </c>
      <c r="D101" s="54" t="n">
        <f aca="false">(B101+C101)/2</f>
        <v>0.0341900628851727</v>
      </c>
      <c r="E101" s="31" t="n">
        <f aca="false">SUMPRODUCT(($A$6:$A$15&lt;='3. Assumptions'!$B$45)*('6. Income and costs'!$B$8*(1+D101)^($A$6:$A$15-1)-'6.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costs'!$B$8*(1+D101)^'3.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0.00196115858852863</v>
      </c>
      <c r="G101" s="54" t="n">
        <f aca="false">IF(J100&gt;0,I100,G100)</f>
        <v>0.0212204542243853</v>
      </c>
      <c r="H101" s="54" t="n">
        <f aca="false">IF(J100&gt;0,H100,I100)</f>
        <v>0.0212204543408006</v>
      </c>
      <c r="I101" s="54" t="n">
        <f aca="false">(G101+H101)/2</f>
        <v>0.021220454282593</v>
      </c>
      <c r="J101" s="31" t="n">
        <f aca="false">SUMPRODUCT(($A$6:$A$15&lt;='3. Assumptions'!$B$45)*('6. Income and costs'!$B$8*(1+'3. Assumptions'!$B$41)^($A$6:$A$15-1)-'6. Income and costs'!$B$23*(1+I101)^($A$6:$A$15-1)-('3. Assumptions'!$B$34*'2. The tape'!$B$13*(1+I101)^($A$6:$A$15-1)+(MOD($A$6:$A$15+'3. Assumptions'!$B$37,'3. Assumptions'!$B$35)=0)*'3. Assumptions'!$B$36*'2. The tape'!$B$13*(1+I101)^($A$6:$A$15-1)))/(1+'3. Assumptions'!$B$40)^$A$6:$A$15)+((('6. Income and costs'!$B$8*(1+'3. Assumptions'!$B$41)^'3. Assumptions'!$B$45-'6. Income and costs'!$B$23*(1+I101)^'3. Assumptions'!$B$45)/'3. Assumptions'!$B$39)*(1-'3. Assumptions'!$B$44)-'3. Assumptions'!$B$36*'2. The tape'!$B$13*(1+I101)^'3. Assumptions'!$B$45*MOD('3. Assumptions'!$B$45+'3. Assumptions'!$B$37,'3. Assumptions'!$B$35)/'3. Assumptions'!$B$35)/(1+'3. Assumptions'!$B$40)^'3. Assumptions'!$B$45-'6. Income and costs'!$B$35</f>
        <v>0.00213312916457653</v>
      </c>
    </row>
    <row r="102" customFormat="false" ht="15" hidden="false" customHeight="false" outlineLevel="0" collapsed="false">
      <c r="A102" s="34" t="n">
        <v>33</v>
      </c>
      <c r="B102" s="54" t="n">
        <f aca="false">IF(E101&lt;0,D101,B101)</f>
        <v>0.0341900628339499</v>
      </c>
      <c r="C102" s="54" t="n">
        <f aca="false">IF(E101&lt;0,C101,D101)</f>
        <v>0.0341900628851727</v>
      </c>
      <c r="D102" s="54" t="n">
        <f aca="false">(B102+C102)/2</f>
        <v>0.0341900628595613</v>
      </c>
      <c r="E102" s="31" t="n">
        <f aca="false">SUMPRODUCT(($A$6:$A$15&lt;='3. Assumptions'!$B$45)*('6. Income and costs'!$B$8*(1+D102)^($A$6:$A$15-1)-'6.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costs'!$B$8*(1+D102)^'3.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-0.00142396055161953</v>
      </c>
      <c r="G102" s="54" t="n">
        <f aca="false">IF(J101&gt;0,I101,G101)</f>
        <v>0.021220454282593</v>
      </c>
      <c r="H102" s="54" t="n">
        <f aca="false">IF(J101&gt;0,H101,I101)</f>
        <v>0.0212204543408006</v>
      </c>
      <c r="I102" s="54" t="n">
        <f aca="false">(G102+H102)/2</f>
        <v>0.0212204543116968</v>
      </c>
      <c r="J102" s="31" t="n">
        <f aca="false">SUMPRODUCT(($A$6:$A$15&lt;='3. Assumptions'!$B$45)*('6. Income and costs'!$B$8*(1+'3. Assumptions'!$B$41)^($A$6:$A$15-1)-'6. Income and costs'!$B$23*(1+I102)^($A$6:$A$15-1)-('3. Assumptions'!$B$34*'2. The tape'!$B$13*(1+I102)^($A$6:$A$15-1)+(MOD($A$6:$A$15+'3. Assumptions'!$B$37,'3. Assumptions'!$B$35)=0)*'3. Assumptions'!$B$36*'2. The tape'!$B$13*(1+I102)^($A$6:$A$15-1)))/(1+'3. Assumptions'!$B$40)^$A$6:$A$15)+((('6. Income and costs'!$B$8*(1+'3. Assumptions'!$B$41)^'3. Assumptions'!$B$45-'6. Income and costs'!$B$23*(1+I102)^'3. Assumptions'!$B$45)/'3. Assumptions'!$B$39)*(1-'3. Assumptions'!$B$44)-'3. Assumptions'!$B$36*'2. The tape'!$B$13*(1+I102)^'3. Assumptions'!$B$45*MOD('3. Assumptions'!$B$45+'3. Assumptions'!$B$37,'3. Assumptions'!$B$35)/'3. Assumptions'!$B$35)/(1+'3. Assumptions'!$B$40)^'3. Assumptions'!$B$45-'6. Income and costs'!$B$35</f>
        <v>0.000207042321562767</v>
      </c>
    </row>
    <row r="103" customFormat="false" ht="15" hidden="false" customHeight="false" outlineLevel="0" collapsed="false">
      <c r="A103" s="34" t="n">
        <v>34</v>
      </c>
      <c r="B103" s="54" t="n">
        <f aca="false">IF(E102&lt;0,D102,B102)</f>
        <v>0.0341900628595613</v>
      </c>
      <c r="C103" s="54" t="n">
        <f aca="false">IF(E102&lt;0,C102,D102)</f>
        <v>0.0341900628851727</v>
      </c>
      <c r="D103" s="54" t="n">
        <f aca="false">(B103+C103)/2</f>
        <v>0.034190062872367</v>
      </c>
      <c r="E103" s="31" t="n">
        <f aca="false">SUMPRODUCT(($A$6:$A$15&lt;='3. Assumptions'!$B$45)*('6. Income and costs'!$B$8*(1+D103)^($A$6:$A$15-1)-'6.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costs'!$B$8*(1+D103)^'3.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0.000268613919615746</v>
      </c>
      <c r="G103" s="54" t="n">
        <f aca="false">IF(J102&gt;0,I102,G102)</f>
        <v>0.0212204543116968</v>
      </c>
      <c r="H103" s="54" t="n">
        <f aca="false">IF(J102&gt;0,H102,I102)</f>
        <v>0.0212204543408006</v>
      </c>
      <c r="I103" s="54" t="n">
        <f aca="false">(G103+H103)/2</f>
        <v>0.0212204543262487</v>
      </c>
      <c r="J103" s="31" t="n">
        <f aca="false">SUMPRODUCT(($A$6:$A$15&lt;='3. Assumptions'!$B$45)*('6. Income and costs'!$B$8*(1+'3. Assumptions'!$B$41)^($A$6:$A$15-1)-'6. Income and costs'!$B$23*(1+I103)^($A$6:$A$15-1)-('3. Assumptions'!$B$34*'2. The tape'!$B$13*(1+I103)^($A$6:$A$15-1)+(MOD($A$6:$A$15+'3. Assumptions'!$B$37,'3. Assumptions'!$B$35)=0)*'3. Assumptions'!$B$36*'2. The tape'!$B$13*(1+I103)^($A$6:$A$15-1)))/(1+'3. Assumptions'!$B$40)^$A$6:$A$15)+((('6. Income and costs'!$B$8*(1+'3. Assumptions'!$B$41)^'3. Assumptions'!$B$45-'6. Income and costs'!$B$23*(1+I103)^'3. Assumptions'!$B$45)/'3. Assumptions'!$B$39)*(1-'3. Assumptions'!$B$44)-'3. Assumptions'!$B$36*'2. The tape'!$B$13*(1+I103)^'3. Assumptions'!$B$45*MOD('3. Assumptions'!$B$45+'3. Assumptions'!$B$37,'3. Assumptions'!$B$35)/'3. Assumptions'!$B$35)/(1+'3. Assumptions'!$B$40)^'3. Assumptions'!$B$45-'6. Income and costs'!$B$35</f>
        <v>-0.000756001099944115</v>
      </c>
    </row>
    <row r="104" customFormat="false" ht="15" hidden="false" customHeight="false" outlineLevel="0" collapsed="false">
      <c r="A104" s="34" t="n">
        <v>35</v>
      </c>
      <c r="B104" s="54" t="n">
        <f aca="false">IF(E103&lt;0,D103,B103)</f>
        <v>0.0341900628595613</v>
      </c>
      <c r="C104" s="54" t="n">
        <f aca="false">IF(E103&lt;0,C103,D103)</f>
        <v>0.034190062872367</v>
      </c>
      <c r="D104" s="54" t="n">
        <f aca="false">(B104+C104)/2</f>
        <v>0.0341900628659642</v>
      </c>
      <c r="E104" s="31" t="n">
        <f aca="false">SUMPRODUCT(($A$6:$A$15&lt;='3. Assumptions'!$B$45)*('6. Income and costs'!$B$8*(1+D104)^($A$6:$A$15-1)-'6.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costs'!$B$8*(1+D104)^'3.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-0.000577675178647041</v>
      </c>
      <c r="G104" s="54" t="n">
        <f aca="false">IF(J103&gt;0,I103,G103)</f>
        <v>0.0212204543116968</v>
      </c>
      <c r="H104" s="54" t="n">
        <f aca="false">IF(J103&gt;0,H103,I103)</f>
        <v>0.0212204543262487</v>
      </c>
      <c r="I104" s="54" t="n">
        <f aca="false">(G104+H104)/2</f>
        <v>0.0212204543189728</v>
      </c>
      <c r="J104" s="31" t="n">
        <f aca="false">SUMPRODUCT(($A$6:$A$15&lt;='3. Assumptions'!$B$45)*('6. Income and costs'!$B$8*(1+'3. Assumptions'!$B$41)^($A$6:$A$15-1)-'6. Income and costs'!$B$23*(1+I104)^($A$6:$A$15-1)-('3. Assumptions'!$B$34*'2. The tape'!$B$13*(1+I104)^($A$6:$A$15-1)+(MOD($A$6:$A$15+'3. Assumptions'!$B$37,'3. Assumptions'!$B$35)=0)*'3. Assumptions'!$B$36*'2. The tape'!$B$13*(1+I104)^($A$6:$A$15-1)))/(1+'3. Assumptions'!$B$40)^$A$6:$A$15)+((('6. Income and costs'!$B$8*(1+'3. Assumptions'!$B$41)^'3. Assumptions'!$B$45-'6. Income and costs'!$B$23*(1+I104)^'3. Assumptions'!$B$45)/'3. Assumptions'!$B$39)*(1-'3. Assumptions'!$B$44)-'3. Assumptions'!$B$36*'2. The tape'!$B$13*(1+I104)^'3. Assumptions'!$B$45*MOD('3. Assumptions'!$B$45+'3. Assumptions'!$B$37,'3. Assumptions'!$B$35)/'3. Assumptions'!$B$35)/(1+'3. Assumptions'!$B$40)^'3. Assumptions'!$B$45-'6. Income and costs'!$B$35</f>
        <v>-0.000274481251835823</v>
      </c>
    </row>
    <row r="105" customFormat="false" ht="15" hidden="false" customHeight="false" outlineLevel="0" collapsed="false">
      <c r="A105" s="34" t="n">
        <v>36</v>
      </c>
      <c r="B105" s="54" t="n">
        <f aca="false">IF(E104&lt;0,D104,B104)</f>
        <v>0.0341900628659642</v>
      </c>
      <c r="C105" s="54" t="n">
        <f aca="false">IF(E104&lt;0,C104,D104)</f>
        <v>0.034190062872367</v>
      </c>
      <c r="D105" s="54" t="n">
        <f aca="false">(B105+C105)/2</f>
        <v>0.0341900628691656</v>
      </c>
      <c r="E105" s="31" t="n">
        <f aca="false">SUMPRODUCT(($A$6:$A$15&lt;='3. Assumptions'!$B$45)*('6. Income and costs'!$B$8*(1+D105)^($A$6:$A$15-1)-'6.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costs'!$B$8*(1+D105)^'3.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-0.000154530629515648</v>
      </c>
      <c r="G105" s="54" t="n">
        <f aca="false">IF(J104&gt;0,I104,G104)</f>
        <v>0.0212204543116968</v>
      </c>
      <c r="H105" s="54" t="n">
        <f aca="false">IF(J104&gt;0,H104,I104)</f>
        <v>0.0212204543189728</v>
      </c>
      <c r="I105" s="54" t="n">
        <f aca="false">(G105+H105)/2</f>
        <v>0.0212204543153348</v>
      </c>
      <c r="J105" s="31" t="n">
        <f aca="false">SUMPRODUCT(($A$6:$A$15&lt;='3. Assumptions'!$B$45)*('6. Income and costs'!$B$8*(1+'3. Assumptions'!$B$41)^($A$6:$A$15-1)-'6. Income and costs'!$B$23*(1+I105)^($A$6:$A$15-1)-('3. Assumptions'!$B$34*'2. The tape'!$B$13*(1+I105)^($A$6:$A$15-1)+(MOD($A$6:$A$15+'3. Assumptions'!$B$37,'3. Assumptions'!$B$35)=0)*'3. Assumptions'!$B$36*'2. The tape'!$B$13*(1+I105)^($A$6:$A$15-1)))/(1+'3. Assumptions'!$B$40)^$A$6:$A$15)+((('6. Income and costs'!$B$8*(1+'3. Assumptions'!$B$41)^'3. Assumptions'!$B$45-'6. Income and costs'!$B$23*(1+I105)^'3. Assumptions'!$B$45)/'3. Assumptions'!$B$39)*(1-'3. Assumptions'!$B$44)-'3. Assumptions'!$B$36*'2. The tape'!$B$13*(1+I105)^'3. Assumptions'!$B$45*MOD('3. Assumptions'!$B$45+'3. Assumptions'!$B$37,'3. Assumptions'!$B$35)/'3. Assumptions'!$B$35)/(1+'3. Assumptions'!$B$40)^'3. Assumptions'!$B$45-'6. Income and costs'!$B$35</f>
        <v>-3.37213277816772E-005</v>
      </c>
    </row>
    <row r="106" customFormat="false" ht="15" hidden="false" customHeight="false" outlineLevel="0" collapsed="false">
      <c r="A106" s="34" t="n">
        <v>37</v>
      </c>
      <c r="B106" s="54" t="n">
        <f aca="false">IF(E105&lt;0,D105,B105)</f>
        <v>0.0341900628691656</v>
      </c>
      <c r="C106" s="54" t="n">
        <f aca="false">IF(E105&lt;0,C105,D105)</f>
        <v>0.034190062872367</v>
      </c>
      <c r="D106" s="54" t="n">
        <f aca="false">(B106+C106)/2</f>
        <v>0.0341900628707663</v>
      </c>
      <c r="E106" s="31" t="n">
        <f aca="false">SUMPRODUCT(($A$6:$A$15&lt;='3. Assumptions'!$B$45)*('6. Income and costs'!$B$8*(1+D106)^($A$6:$A$15-1)-'6.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costs'!$B$8*(1+D106)^'3.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5.70416450500488E-005</v>
      </c>
      <c r="G106" s="54" t="n">
        <f aca="false">IF(J105&gt;0,I105,G105)</f>
        <v>0.0212204543116968</v>
      </c>
      <c r="H106" s="54" t="n">
        <f aca="false">IF(J105&gt;0,H105,I105)</f>
        <v>0.0212204543153348</v>
      </c>
      <c r="I106" s="54" t="n">
        <f aca="false">(G106+H106)/2</f>
        <v>0.0212204543135158</v>
      </c>
      <c r="J106" s="31" t="n">
        <f aca="false">SUMPRODUCT(($A$6:$A$15&lt;='3. Assumptions'!$B$45)*('6. Income and costs'!$B$8*(1+'3. Assumptions'!$B$41)^($A$6:$A$15-1)-'6. Income and costs'!$B$23*(1+I106)^($A$6:$A$15-1)-('3. Assumptions'!$B$34*'2. The tape'!$B$13*(1+I106)^($A$6:$A$15-1)+(MOD($A$6:$A$15+'3. Assumptions'!$B$37,'3. Assumptions'!$B$35)=0)*'3. Assumptions'!$B$36*'2. The tape'!$B$13*(1+I106)^($A$6:$A$15-1)))/(1+'3. Assumptions'!$B$40)^$A$6:$A$15)+((('6. Income and costs'!$B$8*(1+'3. Assumptions'!$B$41)^'3. Assumptions'!$B$45-'6. Income and costs'!$B$23*(1+I106)^'3. Assumptions'!$B$45)/'3. Assumptions'!$B$39)*(1-'3. Assumptions'!$B$44)-'3. Assumptions'!$B$36*'2. The tape'!$B$13*(1+I106)^'3. Assumptions'!$B$45*MOD('3. Assumptions'!$B$45+'3. Assumptions'!$B$37,'3. Assumptions'!$B$35)/'3. Assumptions'!$B$35)/(1+'3. Assumptions'!$B$40)^'3. Assumptions'!$B$45-'6. Income and costs'!$B$35</f>
        <v>8.66595655679703E-005</v>
      </c>
    </row>
    <row r="107" customFormat="false" ht="15" hidden="false" customHeight="false" outlineLevel="0" collapsed="false">
      <c r="A107" s="34" t="n">
        <v>38</v>
      </c>
      <c r="B107" s="54" t="n">
        <f aca="false">IF(E106&lt;0,D106,B106)</f>
        <v>0.0341900628691656</v>
      </c>
      <c r="C107" s="54" t="n">
        <f aca="false">IF(E106&lt;0,C106,D106)</f>
        <v>0.0341900628707663</v>
      </c>
      <c r="D107" s="54" t="n">
        <f aca="false">(B107+C107)/2</f>
        <v>0.0341900628699659</v>
      </c>
      <c r="E107" s="31" t="n">
        <f aca="false">SUMPRODUCT(($A$6:$A$15&lt;='3. Assumptions'!$B$45)*('6. Income and costs'!$B$8*(1+D107)^($A$6:$A$15-1)-'6.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costs'!$B$8*(1+D107)^'3.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-4.87584620714188E-005</v>
      </c>
      <c r="G107" s="54" t="n">
        <f aca="false">IF(J106&gt;0,I106,G106)</f>
        <v>0.0212204543135158</v>
      </c>
      <c r="H107" s="54" t="n">
        <f aca="false">IF(J106&gt;0,H106,I106)</f>
        <v>0.0212204543153348</v>
      </c>
      <c r="I107" s="54" t="n">
        <f aca="false">(G107+H107)/2</f>
        <v>0.0212204543144253</v>
      </c>
      <c r="J107" s="31" t="n">
        <f aca="false">SUMPRODUCT(($A$6:$A$15&lt;='3. Assumptions'!$B$45)*('6. Income and costs'!$B$8*(1+'3. Assumptions'!$B$41)^($A$6:$A$15-1)-'6. Income and costs'!$B$23*(1+I107)^($A$6:$A$15-1)-('3. Assumptions'!$B$34*'2. The tape'!$B$13*(1+I107)^($A$6:$A$15-1)+(MOD($A$6:$A$15+'3. Assumptions'!$B$37,'3. Assumptions'!$B$35)=0)*'3. Assumptions'!$B$36*'2. The tape'!$B$13*(1+I107)^($A$6:$A$15-1)))/(1+'3. Assumptions'!$B$40)^$A$6:$A$15)+((('6. Income and costs'!$B$8*(1+'3. Assumptions'!$B$41)^'3. Assumptions'!$B$45-'6. Income and costs'!$B$23*(1+I107)^'3. Assumptions'!$B$45)/'3. Assumptions'!$B$39)*(1-'3. Assumptions'!$B$44)-'3. Assumptions'!$B$36*'2. The tape'!$B$13*(1+I107)^'3. Assumptions'!$B$45*MOD('3. Assumptions'!$B$45+'3. Assumptions'!$B$37,'3. Assumptions'!$B$35)/'3. Assumptions'!$B$35)/(1+'3. Assumptions'!$B$40)^'3. Assumptions'!$B$45-'6. Income and costs'!$B$35</f>
        <v>2.64700502157211E-005</v>
      </c>
    </row>
    <row r="108" customFormat="false" ht="15" hidden="false" customHeight="false" outlineLevel="0" collapsed="false">
      <c r="A108" s="34" t="n">
        <v>39</v>
      </c>
      <c r="B108" s="54" t="n">
        <f aca="false">IF(E107&lt;0,D107,B107)</f>
        <v>0.0341900628699659</v>
      </c>
      <c r="C108" s="54" t="n">
        <f aca="false">IF(E107&lt;0,C107,D107)</f>
        <v>0.0341900628707663</v>
      </c>
      <c r="D108" s="54" t="n">
        <f aca="false">(B108+C108)/2</f>
        <v>0.0341900628703661</v>
      </c>
      <c r="E108" s="31" t="n">
        <f aca="false">SUMPRODUCT(($A$6:$A$15&lt;='3. Assumptions'!$B$45)*('6. Income and costs'!$B$8*(1+D108)^($A$6:$A$15-1)-'6.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costs'!$B$8*(1+D108)^'3.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4.15369868278503E-006</v>
      </c>
      <c r="G108" s="54" t="n">
        <f aca="false">IF(J107&gt;0,I107,G107)</f>
        <v>0.0212204543144253</v>
      </c>
      <c r="H108" s="54" t="n">
        <f aca="false">IF(J107&gt;0,H107,I107)</f>
        <v>0.0212204543153348</v>
      </c>
      <c r="I108" s="54" t="n">
        <f aca="false">(G108+H108)/2</f>
        <v>0.02122045431488</v>
      </c>
      <c r="J108" s="31" t="n">
        <f aca="false">SUMPRODUCT(($A$6:$A$15&lt;='3. Assumptions'!$B$45)*('6. Income and costs'!$B$8*(1+'3. Assumptions'!$B$41)^($A$6:$A$15-1)-'6. Income and costs'!$B$23*(1+I108)^($A$6:$A$15-1)-('3. Assumptions'!$B$34*'2. The tape'!$B$13*(1+I108)^($A$6:$A$15-1)+(MOD($A$6:$A$15+'3. Assumptions'!$B$37,'3. Assumptions'!$B$35)=0)*'3. Assumptions'!$B$36*'2. The tape'!$B$13*(1+I108)^($A$6:$A$15-1)))/(1+'3. Assumptions'!$B$40)^$A$6:$A$15)+((('6. Income and costs'!$B$8*(1+'3. Assumptions'!$B$41)^'3. Assumptions'!$B$45-'6. Income and costs'!$B$23*(1+I108)^'3. Assumptions'!$B$45)/'3. Assumptions'!$B$39)*(1-'3. Assumptions'!$B$44)-'3. Assumptions'!$B$36*'2. The tape'!$B$13*(1+I108)^'3. Assumptions'!$B$45*MOD('3. Assumptions'!$B$45+'3. Assumptions'!$B$37,'3. Assumptions'!$B$35)/'3. Assumptions'!$B$35)/(1+'3. Assumptions'!$B$40)^'3. Assumptions'!$B$45-'6. Income and costs'!$B$35</f>
        <v>-3.62470746040344E-006</v>
      </c>
    </row>
    <row r="109" customFormat="false" ht="15" hidden="false" customHeight="false" outlineLevel="0" collapsed="false">
      <c r="A109" s="34" t="n">
        <v>40</v>
      </c>
      <c r="B109" s="54" t="n">
        <f aca="false">IF(E108&lt;0,D108,B108)</f>
        <v>0.0341900628699659</v>
      </c>
      <c r="C109" s="54" t="n">
        <f aca="false">IF(E108&lt;0,C108,D108)</f>
        <v>0.0341900628703661</v>
      </c>
      <c r="D109" s="54" t="n">
        <f aca="false">(B109+C109)/2</f>
        <v>0.034190062870166</v>
      </c>
      <c r="E109" s="31" t="n">
        <f aca="false">SUMPRODUCT(($A$6:$A$15&lt;='3. Assumptions'!$B$45)*('6. Income and costs'!$B$8*(1+D109)^($A$6:$A$15-1)-'6.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costs'!$B$8*(1+D109)^'3.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-2.22865492105484E-005</v>
      </c>
      <c r="G109" s="54" t="n">
        <f aca="false">IF(J108&gt;0,I108,G108)</f>
        <v>0.0212204543144253</v>
      </c>
      <c r="H109" s="54" t="n">
        <f aca="false">IF(J108&gt;0,H108,I108)</f>
        <v>0.02122045431488</v>
      </c>
      <c r="I109" s="54" t="n">
        <f aca="false">(G109+H109)/2</f>
        <v>0.0212204543146527</v>
      </c>
      <c r="J109" s="31" t="n">
        <f aca="false">SUMPRODUCT(($A$6:$A$15&lt;='3. Assumptions'!$B$45)*('6. Income and costs'!$B$8*(1+'3. Assumptions'!$B$41)^($A$6:$A$15-1)-'6. Income and costs'!$B$23*(1+I109)^($A$6:$A$15-1)-('3. Assumptions'!$B$34*'2. The tape'!$B$13*(1+I109)^($A$6:$A$15-1)+(MOD($A$6:$A$15+'3. Assumptions'!$B$37,'3. Assumptions'!$B$35)=0)*'3. Assumptions'!$B$36*'2. The tape'!$B$13*(1+I109)^($A$6:$A$15-1)))/(1+'3. Assumptions'!$B$40)^$A$6:$A$15)+((('6. Income and costs'!$B$8*(1+'3. Assumptions'!$B$41)^'3. Assumptions'!$B$45-'6. Income and costs'!$B$23*(1+I109)^'3. Assumptions'!$B$45)/'3. Assumptions'!$B$39)*(1-'3. Assumptions'!$B$44)-'3. Assumptions'!$B$36*'2. The tape'!$B$13*(1+I109)^'3. Assumptions'!$B$45*MOD('3. Assumptions'!$B$45+'3. Assumptions'!$B$37,'3. Assumptions'!$B$35)/'3. Assumptions'!$B$35)/(1+'3. Assumptions'!$B$40)^'3. Assumptions'!$B$45-'6. Income and costs'!$B$35</f>
        <v>1.14236027002335E-005</v>
      </c>
    </row>
    <row r="110" customFormat="false" ht="15" hidden="false" customHeight="false" outlineLevel="0" collapsed="false">
      <c r="A110" s="34" t="n">
        <v>41</v>
      </c>
      <c r="B110" s="54" t="n">
        <f aca="false">IF(E109&lt;0,D109,B109)</f>
        <v>0.034190062870166</v>
      </c>
      <c r="C110" s="54" t="n">
        <f aca="false">IF(E109&lt;0,C109,D109)</f>
        <v>0.0341900628703661</v>
      </c>
      <c r="D110" s="54" t="n">
        <f aca="false">(B110+C110)/2</f>
        <v>0.0341900628702661</v>
      </c>
      <c r="E110" s="31" t="n">
        <f aca="false">SUMPRODUCT(($A$6:$A$15&lt;='3. Assumptions'!$B$45)*('6. Income and costs'!$B$8*(1+D110)^($A$6:$A$15-1)-'6.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costs'!$B$8*(1+D110)^'3.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-9.07853245735169E-006</v>
      </c>
      <c r="G110" s="54" t="n">
        <f aca="false">IF(J109&gt;0,I109,G109)</f>
        <v>0.0212204543146527</v>
      </c>
      <c r="H110" s="54" t="n">
        <f aca="false">IF(J109&gt;0,H109,I109)</f>
        <v>0.02122045431488</v>
      </c>
      <c r="I110" s="54" t="n">
        <f aca="false">(G110+H110)/2</f>
        <v>0.0212204543147664</v>
      </c>
      <c r="J110" s="31" t="n">
        <f aca="false">SUMPRODUCT(($A$6:$A$15&lt;='3. Assumptions'!$B$45)*('6. Income and costs'!$B$8*(1+'3. Assumptions'!$B$41)^($A$6:$A$15-1)-'6. Income and costs'!$B$23*(1+I110)^($A$6:$A$15-1)-('3. Assumptions'!$B$34*'2. The tape'!$B$13*(1+I110)^($A$6:$A$15-1)+(MOD($A$6:$A$15+'3. Assumptions'!$B$37,'3. Assumptions'!$B$35)=0)*'3. Assumptions'!$B$36*'2. The tape'!$B$13*(1+I110)^($A$6:$A$15-1)))/(1+'3. Assumptions'!$B$40)^$A$6:$A$15)+((('6. Income and costs'!$B$8*(1+'3. Assumptions'!$B$41)^'3. Assumptions'!$B$45-'6. Income and costs'!$B$23*(1+I110)^'3. Assumptions'!$B$45)/'3. Assumptions'!$B$39)*(1-'3. Assumptions'!$B$44)-'3. Assumptions'!$B$36*'2. The tape'!$B$13*(1+I110)^'3. Assumptions'!$B$45*MOD('3. Assumptions'!$B$45+'3. Assumptions'!$B$37,'3. Assumptions'!$B$35)/'3. Assumptions'!$B$35)/(1+'3. Assumptions'!$B$40)^'3. Assumptions'!$B$45-'6. Income and costs'!$B$35</f>
        <v>3.89851629734039E-006</v>
      </c>
    </row>
    <row r="111" customFormat="false" ht="15" hidden="false" customHeight="false" outlineLevel="0" collapsed="false">
      <c r="A111" s="34" t="n">
        <v>42</v>
      </c>
      <c r="B111" s="54" t="n">
        <f aca="false">IF(E110&lt;0,D110,B110)</f>
        <v>0.0341900628702661</v>
      </c>
      <c r="C111" s="54" t="n">
        <f aca="false">IF(E110&lt;0,C110,D110)</f>
        <v>0.0341900628703661</v>
      </c>
      <c r="D111" s="54" t="n">
        <f aca="false">(B111+C111)/2</f>
        <v>0.0341900628703161</v>
      </c>
      <c r="E111" s="31" t="n">
        <f aca="false">SUMPRODUCT(($A$6:$A$15&lt;='3. Assumptions'!$B$45)*('6. Income and costs'!$B$8*(1+D111)^($A$6:$A$15-1)-'6.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costs'!$B$8*(1+D111)^'3.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-2.47731804847717E-006</v>
      </c>
      <c r="G111" s="54" t="n">
        <f aca="false">IF(J110&gt;0,I110,G110)</f>
        <v>0.0212204543147664</v>
      </c>
      <c r="H111" s="54" t="n">
        <f aca="false">IF(J110&gt;0,H110,I110)</f>
        <v>0.02122045431488</v>
      </c>
      <c r="I111" s="54" t="n">
        <f aca="false">(G111+H111)/2</f>
        <v>0.0212204543148232</v>
      </c>
      <c r="J111" s="31" t="n">
        <f aca="false">SUMPRODUCT(($A$6:$A$15&lt;='3. Assumptions'!$B$45)*('6. Income and costs'!$B$8*(1+'3. Assumptions'!$B$41)^($A$6:$A$15-1)-'6. Income and costs'!$B$23*(1+I111)^($A$6:$A$15-1)-('3. Assumptions'!$B$34*'2. The tape'!$B$13*(1+I111)^($A$6:$A$15-1)+(MOD($A$6:$A$15+'3. Assumptions'!$B$37,'3. Assumptions'!$B$35)=0)*'3. Assumptions'!$B$36*'2. The tape'!$B$13*(1+I111)^($A$6:$A$15-1)))/(1+'3. Assumptions'!$B$40)^$A$6:$A$15)+((('6. Income and costs'!$B$8*(1+'3. Assumptions'!$B$41)^'3. Assumptions'!$B$45-'6. Income and costs'!$B$23*(1+I111)^'3. Assumptions'!$B$45)/'3. Assumptions'!$B$39)*(1-'3. Assumptions'!$B$44)-'3. Assumptions'!$B$36*'2. The tape'!$B$13*(1+I111)^'3. Assumptions'!$B$45*MOD('3. Assumptions'!$B$45+'3. Assumptions'!$B$37,'3. Assumptions'!$B$35)/'3. Assumptions'!$B$35)/(1+'3. Assumptions'!$B$40)^'3. Assumptions'!$B$45-'6. Income and costs'!$B$35</f>
        <v>1.3597309589386E-007</v>
      </c>
    </row>
    <row r="112" customFormat="false" ht="15" hidden="false" customHeight="false" outlineLevel="0" collapsed="false">
      <c r="A112" s="34" t="n">
        <v>43</v>
      </c>
      <c r="B112" s="54" t="n">
        <f aca="false">IF(E111&lt;0,D111,B111)</f>
        <v>0.0341900628703161</v>
      </c>
      <c r="C112" s="54" t="n">
        <f aca="false">IF(E111&lt;0,C111,D111)</f>
        <v>0.0341900628703661</v>
      </c>
      <c r="D112" s="54" t="n">
        <f aca="false">(B112+C112)/2</f>
        <v>0.0341900628703411</v>
      </c>
      <c r="E112" s="31" t="n">
        <f aca="false">SUMPRODUCT(($A$6:$A$15&lt;='3. Assumptions'!$B$45)*('6. Income and costs'!$B$8*(1+D112)^($A$6:$A$15-1)-'6.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costs'!$B$8*(1+D112)^'3.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8.40052962303162E-007</v>
      </c>
      <c r="G112" s="54" t="n">
        <f aca="false">IF(J111&gt;0,I111,G111)</f>
        <v>0.0212204543148232</v>
      </c>
      <c r="H112" s="54" t="n">
        <f aca="false">IF(J111&gt;0,H111,I111)</f>
        <v>0.02122045431488</v>
      </c>
      <c r="I112" s="54" t="n">
        <f aca="false">(G112+H112)/2</f>
        <v>0.0212204543148516</v>
      </c>
      <c r="J112" s="31" t="n">
        <f aca="false">SUMPRODUCT(($A$6:$A$15&lt;='3. Assumptions'!$B$45)*('6. Income and costs'!$B$8*(1+'3. Assumptions'!$B$41)^($A$6:$A$15-1)-'6. Income and costs'!$B$23*(1+I112)^($A$6:$A$15-1)-('3. Assumptions'!$B$34*'2. The tape'!$B$13*(1+I112)^($A$6:$A$15-1)+(MOD($A$6:$A$15+'3. Assumptions'!$B$37,'3. Assumptions'!$B$35)=0)*'3. Assumptions'!$B$36*'2. The tape'!$B$13*(1+I112)^($A$6:$A$15-1)))/(1+'3. Assumptions'!$B$40)^$A$6:$A$15)+((('6. Income and costs'!$B$8*(1+'3. Assumptions'!$B$41)^'3. Assumptions'!$B$45-'6. Income and costs'!$B$23*(1+I112)^'3. Assumptions'!$B$45)/'3. Assumptions'!$B$39)*(1-'3. Assumptions'!$B$44)-'3. Assumptions'!$B$36*'2. The tape'!$B$13*(1+I112)^'3. Assumptions'!$B$45*MOD('3. Assumptions'!$B$45+'3. Assumptions'!$B$37,'3. Assumptions'!$B$35)/'3. Assumptions'!$B$35)/(1+'3. Assumptions'!$B$40)^'3. Assumptions'!$B$45-'6. Income and costs'!$B$35</f>
        <v>-1.74529850482941E-006</v>
      </c>
    </row>
    <row r="113" customFormat="false" ht="15" hidden="false" customHeight="false" outlineLevel="0" collapsed="false">
      <c r="A113" s="34" t="n">
        <v>44</v>
      </c>
      <c r="B113" s="54" t="n">
        <f aca="false">IF(E112&lt;0,D112,B112)</f>
        <v>0.0341900628703161</v>
      </c>
      <c r="C113" s="54" t="n">
        <f aca="false">IF(E112&lt;0,C112,D112)</f>
        <v>0.0341900628703411</v>
      </c>
      <c r="D113" s="54" t="n">
        <f aca="false">(B113+C113)/2</f>
        <v>0.0341900628703286</v>
      </c>
      <c r="E113" s="31" t="n">
        <f aca="false">SUMPRODUCT(($A$6:$A$15&lt;='3. Assumptions'!$B$45)*('6. Income and costs'!$B$8*(1+D113)^($A$6:$A$15-1)-'6.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costs'!$B$8*(1+D113)^'3.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-8.02800059318543E-007</v>
      </c>
      <c r="G113" s="54" t="n">
        <f aca="false">IF(J112&gt;0,I112,G112)</f>
        <v>0.0212204543148232</v>
      </c>
      <c r="H113" s="54" t="n">
        <f aca="false">IF(J112&gt;0,H112,I112)</f>
        <v>0.0212204543148516</v>
      </c>
      <c r="I113" s="54" t="n">
        <f aca="false">(G113+H113)/2</f>
        <v>0.0212204543148374</v>
      </c>
      <c r="J113" s="31" t="n">
        <f aca="false">SUMPRODUCT(($A$6:$A$15&lt;='3. Assumptions'!$B$45)*('6. Income and costs'!$B$8*(1+'3. Assumptions'!$B$41)^($A$6:$A$15-1)-'6. Income and costs'!$B$23*(1+I113)^($A$6:$A$15-1)-('3. Assumptions'!$B$34*'2. The tape'!$B$13*(1+I113)^($A$6:$A$15-1)+(MOD($A$6:$A$15+'3. Assumptions'!$B$37,'3. Assumptions'!$B$35)=0)*'3. Assumptions'!$B$36*'2. The tape'!$B$13*(1+I113)^($A$6:$A$15-1)))/(1+'3. Assumptions'!$B$40)^$A$6:$A$15)+((('6. Income and costs'!$B$8*(1+'3. Assumptions'!$B$41)^'3. Assumptions'!$B$45-'6. Income and costs'!$B$23*(1+I113)^'3. Assumptions'!$B$45)/'3. Assumptions'!$B$39)*(1-'3. Assumptions'!$B$44)-'3. Assumptions'!$B$36*'2. The tape'!$B$13*(1+I113)^'3. Assumptions'!$B$45*MOD('3. Assumptions'!$B$45+'3. Assumptions'!$B$37,'3. Assumptions'!$B$35)/'3. Assumptions'!$B$35)/(1+'3. Assumptions'!$B$40)^'3. Assumptions'!$B$45-'6. Income and costs'!$B$35</f>
        <v>-8.02800059318543E-007</v>
      </c>
    </row>
    <row r="114" customFormat="false" ht="15" hidden="false" customHeight="false" outlineLevel="0" collapsed="false">
      <c r="A114" s="34" t="n">
        <v>45</v>
      </c>
      <c r="B114" s="54" t="n">
        <f aca="false">IF(E113&lt;0,D113,B113)</f>
        <v>0.0341900628703286</v>
      </c>
      <c r="C114" s="54" t="n">
        <f aca="false">IF(E113&lt;0,C113,D113)</f>
        <v>0.0341900628703411</v>
      </c>
      <c r="D114" s="54" t="n">
        <f aca="false">(B114+C114)/2</f>
        <v>0.0341900628703348</v>
      </c>
      <c r="E114" s="31" t="n">
        <f aca="false">SUMPRODUCT(($A$6:$A$15&lt;='3. Assumptions'!$B$45)*('6. Income and costs'!$B$8*(1+D114)^($A$6:$A$15-1)-'6.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costs'!$B$8*(1+D114)^'3.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</v>
      </c>
      <c r="G114" s="54" t="n">
        <f aca="false">IF(J113&gt;0,I113,G113)</f>
        <v>0.0212204543148232</v>
      </c>
      <c r="H114" s="54" t="n">
        <f aca="false">IF(J113&gt;0,H113,I113)</f>
        <v>0.0212204543148374</v>
      </c>
      <c r="I114" s="54" t="n">
        <f aca="false">(G114+H114)/2</f>
        <v>0.0212204543148303</v>
      </c>
      <c r="J114" s="31" t="n">
        <f aca="false">SUMPRODUCT(($A$6:$A$15&lt;='3. Assumptions'!$B$45)*('6. Income and costs'!$B$8*(1+'3. Assumptions'!$B$41)^($A$6:$A$15-1)-'6. Income and costs'!$B$23*(1+I114)^($A$6:$A$15-1)-('3. Assumptions'!$B$34*'2. The tape'!$B$13*(1+I114)^($A$6:$A$15-1)+(MOD($A$6:$A$15+'3. Assumptions'!$B$37,'3. Assumptions'!$B$35)=0)*'3. Assumptions'!$B$36*'2. The tape'!$B$13*(1+I114)^($A$6:$A$15-1)))/(1+'3. Assumptions'!$B$40)^$A$6:$A$15)+((('6. Income and costs'!$B$8*(1+'3. Assumptions'!$B$41)^'3. Assumptions'!$B$45-'6. Income and costs'!$B$23*(1+I114)^'3. Assumptions'!$B$45)/'3. Assumptions'!$B$39)*(1-'3. Assumptions'!$B$44)-'3. Assumptions'!$B$36*'2. The tape'!$B$13*(1+I114)^'3. Assumptions'!$B$45*MOD('3. Assumptions'!$B$45+'3. Assumptions'!$B$37,'3. Assumptions'!$B$35)/'3. Assumptions'!$B$35)/(1+'3. Assumptions'!$B$40)^'3. Assumptions'!$B$45-'6. Income and costs'!$B$35</f>
        <v>-3.33413481712341E-007</v>
      </c>
    </row>
    <row r="115" customFormat="false" ht="15" hidden="false" customHeight="false" outlineLevel="0" collapsed="false">
      <c r="A115" s="34" t="n">
        <v>46</v>
      </c>
      <c r="B115" s="54" t="n">
        <f aca="false">IF(E114&lt;0,D114,B114)</f>
        <v>0.0341900628703286</v>
      </c>
      <c r="C115" s="54" t="n">
        <f aca="false">IF(E114&lt;0,C114,D114)</f>
        <v>0.0341900628703348</v>
      </c>
      <c r="D115" s="54" t="n">
        <f aca="false">(B115+C115)/2</f>
        <v>0.0341900628703317</v>
      </c>
      <c r="E115" s="31" t="n">
        <f aca="false">SUMPRODUCT(($A$6:$A$15&lt;='3. Assumptions'!$B$45)*('6. Income and costs'!$B$8*(1+D115)^($A$6:$A$15-1)-'6.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costs'!$B$8*(1+D115)^'3.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-3.94880771636963E-007</v>
      </c>
      <c r="G115" s="54" t="n">
        <f aca="false">IF(J114&gt;0,I114,G114)</f>
        <v>0.0212204543148232</v>
      </c>
      <c r="H115" s="54" t="n">
        <f aca="false">IF(J114&gt;0,H114,I114)</f>
        <v>0.0212204543148303</v>
      </c>
      <c r="I115" s="54" t="n">
        <f aca="false">(G115+H115)/2</f>
        <v>0.0212204543148267</v>
      </c>
      <c r="J115" s="31" t="n">
        <f aca="false">SUMPRODUCT(($A$6:$A$15&lt;='3. Assumptions'!$B$45)*('6. Income and costs'!$B$8*(1+'3. Assumptions'!$B$41)^($A$6:$A$15-1)-'6. Income and costs'!$B$23*(1+I115)^($A$6:$A$15-1)-('3. Assumptions'!$B$34*'2. The tape'!$B$13*(1+I115)^($A$6:$A$15-1)+(MOD($A$6:$A$15+'3. Assumptions'!$B$37,'3. Assumptions'!$B$35)=0)*'3. Assumptions'!$B$36*'2. The tape'!$B$13*(1+I115)^($A$6:$A$15-1)))/(1+'3. Assumptions'!$B$40)^$A$6:$A$15)+((('6. Income and costs'!$B$8*(1+'3. Assumptions'!$B$41)^'3. Assumptions'!$B$45-'6. Income and costs'!$B$23*(1+I115)^'3. Assumptions'!$B$45)/'3. Assumptions'!$B$39)*(1-'3. Assumptions'!$B$44)-'3. Assumptions'!$B$36*'2. The tape'!$B$13*(1+I115)^'3. Assumptions'!$B$45*MOD('3. Assumptions'!$B$45+'3. Assumptions'!$B$37,'3. Assumptions'!$B$35)/'3. Assumptions'!$B$35)/(1+'3. Assumptions'!$B$40)^'3. Assumptions'!$B$45-'6. Income and costs'!$B$35</f>
        <v>-9.87201929092407E-008</v>
      </c>
    </row>
    <row r="116" customFormat="false" ht="15" hidden="false" customHeight="false" outlineLevel="0" collapsed="false">
      <c r="A116" s="34" t="n">
        <v>47</v>
      </c>
      <c r="B116" s="54" t="n">
        <f aca="false">IF(E115&lt;0,D115,B115)</f>
        <v>0.0341900628703317</v>
      </c>
      <c r="C116" s="54" t="n">
        <f aca="false">IF(E115&lt;0,C115,D115)</f>
        <v>0.0341900628703348</v>
      </c>
      <c r="D116" s="54" t="n">
        <f aca="false">(B116+C116)/2</f>
        <v>0.0341900628703333</v>
      </c>
      <c r="E116" s="31" t="n">
        <f aca="false">SUMPRODUCT(($A$6:$A$15&lt;='3. Assumptions'!$B$45)*('6. Income and costs'!$B$8*(1+D116)^($A$6:$A$15-1)-'6.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costs'!$B$8*(1+D116)^'3.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-1.88127160072327E-007</v>
      </c>
      <c r="G116" s="54" t="n">
        <f aca="false">IF(J115&gt;0,I115,G115)</f>
        <v>0.0212204543148232</v>
      </c>
      <c r="H116" s="54" t="n">
        <f aca="false">IF(J115&gt;0,H115,I115)</f>
        <v>0.0212204543148267</v>
      </c>
      <c r="I116" s="54" t="n">
        <f aca="false">(G116+H116)/2</f>
        <v>0.021220454314825</v>
      </c>
      <c r="J116" s="31" t="n">
        <f aca="false">SUMPRODUCT(($A$6:$A$15&lt;='3. Assumptions'!$B$45)*('6. Income and costs'!$B$8*(1+'3. Assumptions'!$B$41)^($A$6:$A$15-1)-'6. Income and costs'!$B$23*(1+I116)^($A$6:$A$15-1)-('3. Assumptions'!$B$34*'2. The tape'!$B$13*(1+I116)^($A$6:$A$15-1)+(MOD($A$6:$A$15+'3. Assumptions'!$B$37,'3. Assumptions'!$B$35)=0)*'3. Assumptions'!$B$36*'2. The tape'!$B$13*(1+I116)^($A$6:$A$15-1)))/(1+'3. Assumptions'!$B$40)^$A$6:$A$15)+((('6. Income and costs'!$B$8*(1+'3. Assumptions'!$B$41)^'3. Assumptions'!$B$45-'6. Income and costs'!$B$23*(1+I116)^'3. Assumptions'!$B$45)/'3. Assumptions'!$B$39)*(1-'3. Assumptions'!$B$44)-'3. Assumptions'!$B$36*'2. The tape'!$B$13*(1+I116)^'3. Assumptions'!$B$45*MOD('3. Assumptions'!$B$45+'3. Assumptions'!$B$37,'3. Assumptions'!$B$35)/'3. Assumptions'!$B$35)/(1+'3. Assumptions'!$B$40)^'3. Assumptions'!$B$45-'6. Income and costs'!$B$35</f>
        <v>0</v>
      </c>
    </row>
    <row r="117" customFormat="false" ht="15" hidden="false" customHeight="false" outlineLevel="0" collapsed="false">
      <c r="A117" s="34" t="n">
        <v>48</v>
      </c>
      <c r="B117" s="54" t="n">
        <f aca="false">IF(E116&lt;0,D116,B116)</f>
        <v>0.0341900628703333</v>
      </c>
      <c r="C117" s="54" t="n">
        <f aca="false">IF(E116&lt;0,C116,D116)</f>
        <v>0.0341900628703348</v>
      </c>
      <c r="D117" s="54" t="n">
        <f aca="false">(B117+C117)/2</f>
        <v>0.0341900628703341</v>
      </c>
      <c r="E117" s="31" t="n">
        <f aca="false">SUMPRODUCT(($A$6:$A$15&lt;='3. Assumptions'!$B$45)*('6. Income and costs'!$B$8*(1+D117)^($A$6:$A$15-1)-'6.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costs'!$B$8*(1+D117)^'3.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-9.87201929092407E-008</v>
      </c>
      <c r="G117" s="54" t="n">
        <f aca="false">IF(J116&gt;0,I116,G116)</f>
        <v>0.0212204543148232</v>
      </c>
      <c r="H117" s="54" t="n">
        <f aca="false">IF(J116&gt;0,H116,I116)</f>
        <v>0.021220454314825</v>
      </c>
      <c r="I117" s="54" t="n">
        <f aca="false">(G117+H117)/2</f>
        <v>0.0212204543148241</v>
      </c>
      <c r="J117" s="31" t="n">
        <f aca="false">SUMPRODUCT(($A$6:$A$15&lt;='3. Assumptions'!$B$45)*('6. Income and costs'!$B$8*(1+'3. Assumptions'!$B$41)^($A$6:$A$15-1)-'6. Income and costs'!$B$23*(1+I117)^($A$6:$A$15-1)-('3. Assumptions'!$B$34*'2. The tape'!$B$13*(1+I117)^($A$6:$A$15-1)+(MOD($A$6:$A$15+'3. Assumptions'!$B$37,'3. Assumptions'!$B$35)=0)*'3. Assumptions'!$B$36*'2. The tape'!$B$13*(1+I117)^($A$6:$A$15-1)))/(1+'3. Assumptions'!$B$40)^$A$6:$A$15)+((('6. Income and costs'!$B$8*(1+'3. Assumptions'!$B$41)^'3. Assumptions'!$B$45-'6. Income and costs'!$B$23*(1+I117)^'3. Assumptions'!$B$45)/'3. Assumptions'!$B$39)*(1-'3. Assumptions'!$B$44)-'3. Assumptions'!$B$36*'2. The tape'!$B$13*(1+I117)^'3. Assumptions'!$B$45*MOD('3. Assumptions'!$B$45+'3. Assumptions'!$B$37,'3. Assumptions'!$B$35)/'3. Assumptions'!$B$35)/(1+'3. Assumptions'!$B$40)^'3. Assumptions'!$B$45-'6. Income and costs'!$B$35</f>
        <v>7.82310962677002E-008</v>
      </c>
    </row>
    <row r="118" customFormat="false" ht="15" hidden="false" customHeight="false" outlineLevel="0" collapsed="false">
      <c r="A118" s="34" t="n">
        <v>49</v>
      </c>
      <c r="B118" s="54" t="n">
        <f aca="false">IF(E117&lt;0,D117,B117)</f>
        <v>0.0341900628703341</v>
      </c>
      <c r="C118" s="54" t="n">
        <f aca="false">IF(E117&lt;0,C117,D117)</f>
        <v>0.0341900628703348</v>
      </c>
      <c r="D118" s="54" t="n">
        <f aca="false">(B118+C118)/2</f>
        <v>0.0341900628703345</v>
      </c>
      <c r="E118" s="31" t="n">
        <f aca="false">SUMPRODUCT(($A$6:$A$15&lt;='3. Assumptions'!$B$45)*('6. Income and costs'!$B$8*(1+D118)^($A$6:$A$15-1)-'6.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costs'!$B$8*(1+D118)^'3.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-3.91155481338501E-008</v>
      </c>
      <c r="G118" s="54" t="n">
        <f aca="false">IF(J117&gt;0,I117,G117)</f>
        <v>0.0212204543148241</v>
      </c>
      <c r="H118" s="54" t="n">
        <f aca="false">IF(J117&gt;0,H117,I117)</f>
        <v>0.021220454314825</v>
      </c>
      <c r="I118" s="54" t="n">
        <f aca="false">(G118+H118)/2</f>
        <v>0.0212204543148245</v>
      </c>
      <c r="J118" s="31" t="n">
        <f aca="false">SUMPRODUCT(($A$6:$A$15&lt;='3. Assumptions'!$B$45)*('6. Income and costs'!$B$8*(1+'3. Assumptions'!$B$41)^($A$6:$A$15-1)-'6. Income and costs'!$B$23*(1+I118)^($A$6:$A$15-1)-('3. Assumptions'!$B$34*'2. The tape'!$B$13*(1+I118)^($A$6:$A$15-1)+(MOD($A$6:$A$15+'3. Assumptions'!$B$37,'3. Assumptions'!$B$35)=0)*'3. Assumptions'!$B$36*'2. The tape'!$B$13*(1+I118)^($A$6:$A$15-1)))/(1+'3. Assumptions'!$B$40)^$A$6:$A$15)+((('6. Income and costs'!$B$8*(1+'3. Assumptions'!$B$41)^'3. Assumptions'!$B$45-'6. Income and costs'!$B$23*(1+I118)^'3. Assumptions'!$B$45)/'3. Assumptions'!$B$39)*(1-'3. Assumptions'!$B$44)-'3. Assumptions'!$B$36*'2. The tape'!$B$13*(1+I118)^'3. Assumptions'!$B$45*MOD('3. Assumptions'!$B$45+'3. Assumptions'!$B$37,'3. Assumptions'!$B$35)/'3. Assumptions'!$B$35)/(1+'3. Assumptions'!$B$40)^'3. Assumptions'!$B$45-'6. Income and costs'!$B$35</f>
        <v>4.84287738800049E-008</v>
      </c>
    </row>
    <row r="119" customFormat="false" ht="15" hidden="false" customHeight="false" outlineLevel="0" collapsed="false">
      <c r="A119" s="34" t="n">
        <v>50</v>
      </c>
      <c r="B119" s="54" t="n">
        <f aca="false">IF(E118&lt;0,D118,B118)</f>
        <v>0.0341900628703345</v>
      </c>
      <c r="C119" s="54" t="n">
        <f aca="false">IF(E118&lt;0,C118,D118)</f>
        <v>0.0341900628703348</v>
      </c>
      <c r="D119" s="54" t="n">
        <f aca="false">(B119+C119)/2</f>
        <v>0.0341900628703346</v>
      </c>
      <c r="E119" s="31" t="n">
        <f aca="false">SUMPRODUCT(($A$6:$A$15&lt;='3. Assumptions'!$B$45)*('6. Income and costs'!$B$8*(1+D119)^($A$6:$A$15-1)-'6. Income and costs'!$B$23*(1+'3. Assumptions'!$B$42)^($A$6:$A$15-1)-('3. Assumptions'!$B$34*'2. The tape'!$B$13*(1+'3. Assumptions'!$B$42)^($A$6:$A$15-1)+(MOD($A$6:$A$15+'3. Assumptions'!$B$37,'3. Assumptions'!$B$35)=0)*'3. Assumptions'!$B$36*'2. The tape'!$B$13*(1+'3. Assumptions'!$B$42)^($A$6:$A$15-1)))/(1+'3. Assumptions'!$B$40)^$A$6:$A$15)+((('6. Income and costs'!$B$8*(1+D119)^'3. Assumptions'!$B$45-'6. Income and costs'!$B$23*(1+'3. Assumptions'!$B$42)^'3. Assumptions'!$B$45)/'3. Assumptions'!$B$39)*(1-'3. Assumptions'!$B$44)-'3. Assumptions'!$B$36*'2. The tape'!$B$13*(1+'3. Assumptions'!$B$42)^'3. Assumptions'!$B$45*MOD('3. Assumptions'!$B$45+'3. Assumptions'!$B$37,'3. Assumptions'!$B$35)/'3. Assumptions'!$B$35)/(1+'3. Assumptions'!$B$40)^'3. Assumptions'!$B$45-'6. Income and costs'!$B$35</f>
        <v>0</v>
      </c>
      <c r="G119" s="54" t="n">
        <f aca="false">IF(J118&gt;0,I118,G118)</f>
        <v>0.0212204543148245</v>
      </c>
      <c r="H119" s="54" t="n">
        <f aca="false">IF(J118&gt;0,H118,I118)</f>
        <v>0.021220454314825</v>
      </c>
      <c r="I119" s="54" t="n">
        <f aca="false">(G119+H119)/2</f>
        <v>0.0212204543148248</v>
      </c>
      <c r="J119" s="31" t="n">
        <f aca="false">SUMPRODUCT(($A$6:$A$15&lt;='3. Assumptions'!$B$45)*('6. Income and costs'!$B$8*(1+'3. Assumptions'!$B$41)^($A$6:$A$15-1)-'6. Income and costs'!$B$23*(1+I119)^($A$6:$A$15-1)-('3. Assumptions'!$B$34*'2. The tape'!$B$13*(1+I119)^($A$6:$A$15-1)+(MOD($A$6:$A$15+'3. Assumptions'!$B$37,'3. Assumptions'!$B$35)=0)*'3. Assumptions'!$B$36*'2. The tape'!$B$13*(1+I119)^($A$6:$A$15-1)))/(1+'3. Assumptions'!$B$40)^$A$6:$A$15)+((('6. Income and costs'!$B$8*(1+'3. Assumptions'!$B$41)^'3. Assumptions'!$B$45-'6. Income and costs'!$B$23*(1+I119)^'3. Assumptions'!$B$45)/'3. Assumptions'!$B$39)*(1-'3. Assumptions'!$B$44)-'3. Assumptions'!$B$36*'2. The tape'!$B$13*(1+I119)^'3. Assumptions'!$B$45*MOD('3. Assumptions'!$B$45+'3. Assumptions'!$B$37,'3. Assumptions'!$B$35)/'3. Assumptions'!$B$35)/(1+'3. Assumptions'!$B$40)^'3. Assumptions'!$B$45-'6. Income and costs'!$B$35</f>
        <v>3.35276126861572E-008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18" min="3" style="0" width="11"/>
  </cols>
  <sheetData>
    <row r="1" customFormat="false" ht="16.15" hidden="false" customHeight="false" outlineLevel="0" collapsed="false">
      <c r="A1" s="5" t="s">
        <v>342</v>
      </c>
    </row>
    <row r="2" customFormat="false" ht="15" hidden="false" customHeight="false" outlineLevel="0" collapsed="false">
      <c r="A2" s="2" t="s">
        <v>343</v>
      </c>
    </row>
    <row r="4" customFormat="false" ht="15" hidden="false" customHeight="false" outlineLevel="0" collapsed="false">
      <c r="A4" s="47"/>
      <c r="B4" s="47" t="s">
        <v>47</v>
      </c>
      <c r="C4" s="47" t="s">
        <v>344</v>
      </c>
      <c r="D4" s="47" t="s">
        <v>345</v>
      </c>
      <c r="E4" s="47" t="s">
        <v>346</v>
      </c>
      <c r="F4" s="47" t="s">
        <v>347</v>
      </c>
      <c r="G4" s="47" t="s">
        <v>348</v>
      </c>
      <c r="H4" s="47" t="s">
        <v>349</v>
      </c>
      <c r="I4" s="47" t="s">
        <v>350</v>
      </c>
      <c r="J4" s="47" t="s">
        <v>351</v>
      </c>
      <c r="K4" s="47" t="s">
        <v>352</v>
      </c>
      <c r="L4" s="47" t="s">
        <v>353</v>
      </c>
      <c r="M4" s="47" t="s">
        <v>354</v>
      </c>
      <c r="N4" s="47" t="s">
        <v>355</v>
      </c>
      <c r="O4" s="47" t="s">
        <v>356</v>
      </c>
      <c r="P4" s="47" t="s">
        <v>357</v>
      </c>
      <c r="Q4" s="47" t="s">
        <v>358</v>
      </c>
      <c r="R4" s="47" t="s">
        <v>359</v>
      </c>
    </row>
    <row r="5" customFormat="false" ht="15" hidden="false" customHeight="false" outlineLevel="0" collapsed="false">
      <c r="A5" s="34" t="s">
        <v>360</v>
      </c>
      <c r="B5" s="31" t="n">
        <f aca="false">R5</f>
        <v>510124.32336655</v>
      </c>
      <c r="C5" s="53" t="n">
        <f aca="false">'3. Assumptions'!$B$9</f>
        <v>0.082</v>
      </c>
      <c r="D5" s="53" t="n">
        <f aca="false">IF(C5&gt;0,MIN('3. Assumptions'!$B$16,'3. Assumptions'!$B$13*(C5/'3. Assumptions'!$B$15)^'3. Assumptions'!$B$14),0)</f>
        <v>0.03</v>
      </c>
      <c r="E5" s="34" t="n">
        <f aca="false">(1-'3. Assumptions'!$B$12-D5)*(1-'3. Assumptions'!$B$12)^('3. Assumptions'!$B$8-1)</f>
        <v>0.640471439905083</v>
      </c>
      <c r="F5" s="34" t="n">
        <f aca="false">1+(1-'3. Assumptions'!$B$12-D5)*(1-(1-'3. Assumptions'!$B$12)^('3. Assumptions'!$B$8-1))/'3. Assumptions'!$B$12</f>
        <v>4.95531669315665</v>
      </c>
      <c r="G5" s="34" t="n">
        <f aca="false">(1-'3. Assumptions'!$B$11)*(1-'3. Assumptions'!$B$12)^('3. Assumptions'!$B$7-1)</f>
        <v>0.690273454655712</v>
      </c>
      <c r="H5" s="34" t="n">
        <f aca="false">1+(1-'3. Assumptions'!$B$11)*(1-(1-'3. Assumptions'!$B$12)^('3. Assumptions'!$B$7-1))/'3. Assumptions'!$B$12</f>
        <v>4.28912098262087</v>
      </c>
      <c r="I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J5" s="34" t="n">
        <f aca="false">IF(C5&lt;=0,0,MAX(0,ROUNDUP(LN('3. Assumptions'!$B$10)/LN(1+C5)-0.000000000001,0)-1))</f>
        <v>6</v>
      </c>
      <c r="K5" s="34" t="n">
        <f aca="false">IF(C5&lt;=0,1/(1-E5),(1+C5)*(1-(E5*(1+C5))^J5)/(1-E5*(1+C5))+'3. Assumptions'!$B$10*E5^J5/(1-E5))</f>
        <v>3.44499589912979</v>
      </c>
      <c r="L5" s="45" t="n">
        <f aca="false">H5+G5*F5/(1-E5)</f>
        <v>13.8030343468202</v>
      </c>
      <c r="M5" s="34" t="n">
        <f aca="false">H5-I5+G5*F5*K5</f>
        <v>15.1882337403666</v>
      </c>
      <c r="N5" s="45" t="n">
        <f aca="false">'3. Assumptions'!$B$17*'2. The tape'!$B$11/L5</f>
        <v>34.0244027653378</v>
      </c>
      <c r="O5" s="31" t="n">
        <f aca="false">N5*'2. The tape'!$B$15*'2. The tape'!$D$11*M5</f>
        <v>991178.238775187</v>
      </c>
      <c r="P5" s="31" t="n">
        <f aca="false">O5*(1+'3. Assumptions'!$B$19+'3. Assumptions'!$B$20+'3. Assumptions'!$B$22)</f>
        <v>1096243.13208536</v>
      </c>
      <c r="Q5" s="31" t="n">
        <f aca="false">'6. Income and costs'!$B$39+'3. Assumptions'!$B$31*N5*12+O5*('3. Assumptions'!$B$20*(1-'3. Assumptions'!$B$21)+'3. Assumptions'!$B$33)+P5*('3. Assumptions'!$B$26+'3. Assumptions'!$B$32)</f>
        <v>586118.808718807</v>
      </c>
      <c r="R5" s="31" t="n">
        <f aca="false">P5-Q5</f>
        <v>510124.32336655</v>
      </c>
    </row>
    <row r="6" customFormat="false" ht="15" hidden="false" customHeight="false" outlineLevel="0" collapsed="false">
      <c r="A6" s="34" t="s">
        <v>361</v>
      </c>
      <c r="B6" s="55" t="n">
        <f aca="false">B5-'6. Income and costs'!B25</f>
        <v>0.00942365790251643</v>
      </c>
    </row>
    <row r="8" customFormat="false" ht="15" hidden="false" customHeight="false" outlineLevel="0" collapsed="false">
      <c r="A8" s="14" t="s">
        <v>258</v>
      </c>
      <c r="B8" s="52" t="n">
        <f aca="false">B157</f>
        <v>0.128180927925918</v>
      </c>
    </row>
    <row r="9" customFormat="false" ht="15" hidden="false" customHeight="false" outlineLevel="0" collapsed="false">
      <c r="A9" s="14" t="s">
        <v>362</v>
      </c>
      <c r="B9" s="16" t="n">
        <f aca="false">B158</f>
        <v>534086.592374851</v>
      </c>
    </row>
    <row r="10" customFormat="false" ht="15" hidden="false" customHeight="false" outlineLevel="0" collapsed="false">
      <c r="A10" s="34" t="s">
        <v>363</v>
      </c>
      <c r="B10" s="31" t="n">
        <f aca="false">B9-B5</f>
        <v>23962.2690083009</v>
      </c>
    </row>
    <row r="11" customFormat="false" ht="15" hidden="false" customHeight="false" outlineLevel="0" collapsed="false">
      <c r="A11" s="34" t="s">
        <v>364</v>
      </c>
      <c r="B11" s="31" t="n">
        <f aca="false">B10/'3. Assumptions'!$B$38</f>
        <v>396070.562120675</v>
      </c>
    </row>
    <row r="12" customFormat="false" ht="15" hidden="false" customHeight="false" outlineLevel="0" collapsed="false">
      <c r="A12" s="34" t="s">
        <v>365</v>
      </c>
      <c r="B12" s="45" t="n">
        <f aca="false">B159</f>
        <v>12.3969242729843</v>
      </c>
    </row>
    <row r="13" customFormat="false" ht="15" hidden="false" customHeight="false" outlineLevel="0" collapsed="false">
      <c r="A13" s="34" t="s">
        <v>366</v>
      </c>
      <c r="B13" s="31" t="n">
        <f aca="false">R13</f>
        <v>525842.197917691</v>
      </c>
      <c r="C13" s="53" t="n">
        <f aca="false">$B$8+0.03</f>
        <v>0.158180927925918</v>
      </c>
      <c r="D13" s="53" t="n">
        <f aca="false">IF(C13&gt;0,MIN('3. Assumptions'!$B$16,'3. Assumptions'!$B$13*(C13/'3. Assumptions'!$B$15)^'3. Assumptions'!$B$14),0)</f>
        <v>0.145190397523205</v>
      </c>
      <c r="E13" s="34" t="n">
        <f aca="false">(1-'3. Assumptions'!$B$12-D13)*(1-'3. Assumptions'!$B$12)^('3. Assumptions'!$B$8-1)</f>
        <v>0.558815480010312</v>
      </c>
      <c r="F13" s="34" t="n">
        <f aca="false">1+(1-'3. Assumptions'!$B$12-D13)*(1-(1-'3. Assumptions'!$B$12)^('3. Assumptions'!$B$8-1))/'3. Assumptions'!$B$12</f>
        <v>4.45103943558622</v>
      </c>
      <c r="G13" s="34" t="n">
        <f aca="false">(1-'3. Assumptions'!$B$11)*(1-'3. Assumptions'!$B$12)^('3. Assumptions'!$B$7-1)</f>
        <v>0.690273454655712</v>
      </c>
      <c r="H13" s="34" t="n">
        <f aca="false">1+(1-'3. Assumptions'!$B$11)*(1-(1-'3. Assumptions'!$B$12)^('3. Assumptions'!$B$7-1))/'3. Assumptions'!$B$12</f>
        <v>4.28912098262087</v>
      </c>
      <c r="I1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J13" s="34" t="n">
        <f aca="false">IF(C13&lt;=0,0,MAX(0,ROUNDUP(LN('3. Assumptions'!$B$10)/LN(1+C13)-0.000000000001,0)-1))</f>
        <v>3</v>
      </c>
      <c r="K13" s="34" t="n">
        <f aca="false">IF(C13&lt;=0,1/(1-E13),(1+C13)*(1-(E13*(1+C13))^J13)/(1-E13*(1+C13))+'3. Assumptions'!$B$10*E13^J13/(1-E13))</f>
        <v>3.03367227684145</v>
      </c>
      <c r="L13" s="45" t="n">
        <f aca="false">H13+G13*F13/(1-E13)</f>
        <v>11.2531784887245</v>
      </c>
      <c r="M13" s="34" t="n">
        <f aca="false">H13-I13+G13*F13*K13</f>
        <v>12.7253030241935</v>
      </c>
      <c r="N13" s="45" t="n">
        <f aca="false">'3. Assumptions'!$B$17*'2. The tape'!$B$11/L13</f>
        <v>41.7339865772654</v>
      </c>
      <c r="O13" s="31" t="n">
        <f aca="false">N13*'2. The tape'!$B$15*'2. The tape'!$D$11*M13</f>
        <v>1018619.48774915</v>
      </c>
      <c r="P13" s="31" t="n">
        <f aca="false">O13*(1+'3. Assumptions'!$B$19+'3. Assumptions'!$B$20+'3. Assumptions'!$B$22)</f>
        <v>1126593.15345056</v>
      </c>
      <c r="Q13" s="31" t="n">
        <f aca="false">'6. Income and costs'!$B$39+'3. Assumptions'!$B$31*N13*12+O13*('3. Assumptions'!$B$20*(1-'3. Assumptions'!$B$21)+'3. Assumptions'!$B$33)+P13*('3. Assumptions'!$B$26+'3. Assumptions'!$B$32)</f>
        <v>600750.955532865</v>
      </c>
      <c r="R13" s="31" t="n">
        <f aca="false">P13-Q13</f>
        <v>525842.197917691</v>
      </c>
    </row>
    <row r="14" customFormat="false" ht="15" hidden="false" customHeight="false" outlineLevel="0" collapsed="false">
      <c r="A14" s="34" t="s">
        <v>367</v>
      </c>
      <c r="B14" s="31" t="n">
        <f aca="false">B9-B13</f>
        <v>8244.3944571591</v>
      </c>
    </row>
    <row r="15" customFormat="false" ht="15" hidden="false" customHeight="false" outlineLevel="0" collapsed="false">
      <c r="A15" s="34" t="s">
        <v>368</v>
      </c>
      <c r="B15" s="53" t="n">
        <f aca="false">B14/B9</f>
        <v>0.0154364377890482</v>
      </c>
    </row>
    <row r="16" customFormat="false" ht="15" hidden="false" customHeight="false" outlineLevel="0" collapsed="false">
      <c r="A16" s="34" t="s">
        <v>369</v>
      </c>
      <c r="B16" s="45" t="n">
        <f aca="false">LN('3. Assumptions'!$B$10)/LN(1+B8)</f>
        <v>4</v>
      </c>
    </row>
    <row r="17" customFormat="false" ht="15" hidden="false" customHeight="false" outlineLevel="0" collapsed="false">
      <c r="A17" s="2" t="s">
        <v>370</v>
      </c>
    </row>
    <row r="20" customFormat="false" ht="15" hidden="false" customHeight="false" outlineLevel="0" collapsed="false">
      <c r="A20" s="14" t="s">
        <v>371</v>
      </c>
    </row>
    <row r="21" customFormat="false" ht="15" hidden="false" customHeight="false" outlineLevel="0" collapsed="false">
      <c r="A21" s="47" t="s">
        <v>344</v>
      </c>
      <c r="B21" s="47" t="s">
        <v>345</v>
      </c>
      <c r="C21" s="47" t="s">
        <v>346</v>
      </c>
      <c r="D21" s="47" t="s">
        <v>347</v>
      </c>
      <c r="E21" s="47" t="s">
        <v>348</v>
      </c>
      <c r="F21" s="47" t="s">
        <v>349</v>
      </c>
      <c r="G21" s="47" t="s">
        <v>350</v>
      </c>
      <c r="H21" s="47" t="s">
        <v>351</v>
      </c>
      <c r="I21" s="47" t="s">
        <v>352</v>
      </c>
      <c r="J21" s="47" t="s">
        <v>353</v>
      </c>
      <c r="K21" s="47" t="s">
        <v>354</v>
      </c>
      <c r="L21" s="47" t="s">
        <v>355</v>
      </c>
      <c r="M21" s="47" t="s">
        <v>356</v>
      </c>
      <c r="N21" s="47" t="s">
        <v>357</v>
      </c>
      <c r="O21" s="47" t="s">
        <v>358</v>
      </c>
      <c r="P21" s="47" t="s">
        <v>359</v>
      </c>
    </row>
    <row r="22" customFormat="false" ht="15" hidden="false" customHeight="false" outlineLevel="0" collapsed="false">
      <c r="A22" s="53" t="n">
        <f aca="false">0*0.0025</f>
        <v>0</v>
      </c>
      <c r="B22" s="53" t="n">
        <f aca="false">IF(A22&gt;0,MIN('3. Assumptions'!$B$16,'3. Assumptions'!$B$13*(A22/'3. Assumptions'!$B$15)^'3. Assumptions'!$B$14),0)</f>
        <v>0</v>
      </c>
      <c r="C22" s="34" t="n">
        <f aca="false">(1-'3. Assumptions'!$B$12-B22)*(1-'3. Assumptions'!$B$12)^('3. Assumptions'!$B$8-1)</f>
        <v>0.661737785447033</v>
      </c>
      <c r="D22" s="34" t="n">
        <f aca="false">1+(1-'3. Assumptions'!$B$12-B22)*(1-(1-'3. Assumptions'!$B$12)^('3. Assumptions'!$B$8-1))/'3. Assumptions'!$B$12</f>
        <v>5.08664984290175</v>
      </c>
      <c r="E22" s="34" t="n">
        <f aca="false">(1-'3. Assumptions'!$B$11)*(1-'3. Assumptions'!$B$12)^('3. Assumptions'!$B$7-1)</f>
        <v>0.690273454655712</v>
      </c>
      <c r="F22" s="34" t="n">
        <f aca="false">1+(1-'3. Assumptions'!$B$11)*(1-(1-'3. Assumptions'!$B$12)^('3. Assumptions'!$B$7-1))/'3. Assumptions'!$B$12</f>
        <v>4.28912098262087</v>
      </c>
      <c r="G2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2" s="34" t="n">
        <f aca="false">IF(A22&lt;=0,0,MAX(0,ROUNDUP(LN('3. Assumptions'!$B$10)/LN(1+A22)-0.000000000001,0)-1))</f>
        <v>0</v>
      </c>
      <c r="I22" s="34" t="n">
        <f aca="false">IF(A22&lt;=0,1/(1-C22),(1+A22)*(1-(C22*(1+A22))^H22)/(1-C22*(1+A22))+'3. Assumptions'!$B$10*C22^H22/(1-C22))</f>
        <v>2.95628644577272</v>
      </c>
      <c r="J22" s="45" t="n">
        <f aca="false">F22+E22*D22/(1-C22)</f>
        <v>14.6691729323308</v>
      </c>
      <c r="K22" s="34" t="n">
        <f aca="false">F22-G22+E22*D22*I22</f>
        <v>13.7845960092539</v>
      </c>
      <c r="L22" s="45" t="n">
        <f aca="false">'3. Assumptions'!$B$17*'2. The tape'!$B$11/J22</f>
        <v>32.0154382368016</v>
      </c>
      <c r="M22" s="31" t="n">
        <f aca="false">L22*'2. The tape'!$B$15*'2. The tape'!$D$11*K22</f>
        <v>846462.005967676</v>
      </c>
      <c r="N22" s="31" t="n">
        <f aca="false">M22*(1+'3. Assumptions'!$B$19+'3. Assumptions'!$B$20+'3. Assumptions'!$B$22)</f>
        <v>936186.978600249</v>
      </c>
      <c r="O22" s="31" t="n">
        <f aca="false">'6. Income and costs'!$B$39+'3. Assumptions'!$B$31*L22*12+M22*('3. Assumptions'!$B$20*(1-'3. Assumptions'!$B$21)+'3. Assumptions'!$B$33)+N22*('3. Assumptions'!$B$26+'3. Assumptions'!$B$32)</f>
        <v>567500.190129965</v>
      </c>
      <c r="P22" s="31" t="n">
        <f aca="false">N22-O22</f>
        <v>368686.788470285</v>
      </c>
    </row>
    <row r="23" customFormat="false" ht="15" hidden="false" customHeight="false" outlineLevel="0" collapsed="false">
      <c r="A23" s="53" t="n">
        <f aca="false">1*0.0025</f>
        <v>0.0025</v>
      </c>
      <c r="B23" s="53" t="n">
        <f aca="false">IF(A23&gt;0,MIN('3. Assumptions'!$B$16,'3. Assumptions'!$B$13*(A23/'3. Assumptions'!$B$15)^'3. Assumptions'!$B$14),0)</f>
        <v>6.90277996338728E-006</v>
      </c>
      <c r="C23" s="34" t="n">
        <f aca="false">(1-'3. Assumptions'!$B$12-B23)*(1-'3. Assumptions'!$B$12)^('3. Assumptions'!$B$8-1)</f>
        <v>0.661732892216903</v>
      </c>
      <c r="D23" s="34" t="n">
        <f aca="false">1+(1-'3. Assumptions'!$B$12-B23)*(1-(1-'3. Assumptions'!$B$12)^('3. Assumptions'!$B$8-1))/'3. Assumptions'!$B$12</f>
        <v>5.08661962410727</v>
      </c>
      <c r="E23" s="34" t="n">
        <f aca="false">(1-'3. Assumptions'!$B$11)*(1-'3. Assumptions'!$B$12)^('3. Assumptions'!$B$7-1)</f>
        <v>0.690273454655712</v>
      </c>
      <c r="F23" s="34" t="n">
        <f aca="false">1+(1-'3. Assumptions'!$B$11)*(1-(1-'3. Assumptions'!$B$12)^('3. Assumptions'!$B$7-1))/'3. Assumptions'!$B$12</f>
        <v>4.28912098262087</v>
      </c>
      <c r="G2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3" s="34" t="n">
        <f aca="false">IF(A23&lt;=0,0,MAX(0,ROUNDUP(LN('3. Assumptions'!$B$10)/LN(1+A23)-0.000000000001,0)-1))</f>
        <v>193</v>
      </c>
      <c r="I23" s="34" t="n">
        <f aca="false">IF(A23&lt;=0,1/(1-C23),(1+A23)*(1-(C23*(1+A23))^H23)/(1-C23*(1+A23))+'3. Assumptions'!$B$10*C23^H23/(1-C23))</f>
        <v>2.97819950046276</v>
      </c>
      <c r="J23" s="45" t="n">
        <f aca="false">F23+E23*D23/(1-C23)</f>
        <v>14.6689611138804</v>
      </c>
      <c r="K23" s="34" t="n">
        <f aca="false">F23-G23+E23*D23*I23</f>
        <v>13.8614745516358</v>
      </c>
      <c r="L23" s="45" t="n">
        <f aca="false">'3. Assumptions'!$B$17*'2. The tape'!$B$11/J23</f>
        <v>32.0159005367877</v>
      </c>
      <c r="M23" s="31" t="n">
        <f aca="false">L23*'2. The tape'!$B$15*'2. The tape'!$D$11*K23</f>
        <v>851195.129205623</v>
      </c>
      <c r="N23" s="31" t="n">
        <f aca="false">M23*(1+'3. Assumptions'!$B$19+'3. Assumptions'!$B$20+'3. Assumptions'!$B$22)</f>
        <v>941421.812901418</v>
      </c>
      <c r="O23" s="31" t="n">
        <f aca="false">'6. Income and costs'!$B$39+'3. Assumptions'!$B$31*L23*12+M23*('3. Assumptions'!$B$20*(1-'3. Assumptions'!$B$21)+'3. Assumptions'!$B$33)+N23*('3. Assumptions'!$B$26+'3. Assumptions'!$B$32)</f>
        <v>568010.302291702</v>
      </c>
      <c r="P23" s="31" t="n">
        <f aca="false">N23-O23</f>
        <v>373411.510609716</v>
      </c>
    </row>
    <row r="24" customFormat="false" ht="15" hidden="false" customHeight="false" outlineLevel="0" collapsed="false">
      <c r="A24" s="53" t="n">
        <f aca="false">2*0.0025</f>
        <v>0.005</v>
      </c>
      <c r="B24" s="53" t="n">
        <f aca="false">IF(A24&gt;0,MIN('3. Assumptions'!$B$16,'3. Assumptions'!$B$13*(A24/'3. Assumptions'!$B$15)^'3. Assumptions'!$B$14),0)</f>
        <v>3.64330910720566E-005</v>
      </c>
      <c r="C24" s="34" t="n">
        <f aca="false">(1-'3. Assumptions'!$B$12-B24)*(1-'3. Assumptions'!$B$12)^('3. Assumptions'!$B$8-1)</f>
        <v>0.66171195882357</v>
      </c>
      <c r="D24" s="34" t="n">
        <f aca="false">1+(1-'3. Assumptions'!$B$12-B24)*(1-(1-'3. Assumptions'!$B$12)^('3. Assumptions'!$B$8-1))/'3. Assumptions'!$B$12</f>
        <v>5.08649034714824</v>
      </c>
      <c r="E24" s="34" t="n">
        <f aca="false">(1-'3. Assumptions'!$B$11)*(1-'3. Assumptions'!$B$12)^('3. Assumptions'!$B$7-1)</f>
        <v>0.690273454655712</v>
      </c>
      <c r="F24" s="34" t="n">
        <f aca="false">1+(1-'3. Assumptions'!$B$11)*(1-(1-'3. Assumptions'!$B$12)^('3. Assumptions'!$B$7-1))/'3. Assumptions'!$B$12</f>
        <v>4.28912098262087</v>
      </c>
      <c r="G2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4" s="34" t="n">
        <f aca="false">IF(A24&lt;=0,0,MAX(0,ROUNDUP(LN('3. Assumptions'!$B$10)/LN(1+A24)-0.000000000001,0)-1))</f>
        <v>96</v>
      </c>
      <c r="I24" s="34" t="n">
        <f aca="false">IF(A24&lt;=0,1/(1-C24),(1+A24)*(1-(C24*(1+A24))^H24)/(1-C24*(1+A24))+'3. Assumptions'!$B$10*C24^H24/(1-C24))</f>
        <v>3.00018376007035</v>
      </c>
      <c r="J24" s="45" t="n">
        <f aca="false">F24+E24*D24/(1-C24)</f>
        <v>14.6680550170279</v>
      </c>
      <c r="K24" s="34" t="n">
        <f aca="false">F24-G24+E24*D24*I24</f>
        <v>13.9383970458757</v>
      </c>
      <c r="L24" s="45" t="n">
        <f aca="false">'3. Assumptions'!$B$17*'2. The tape'!$B$11/J24</f>
        <v>32.0178782704866</v>
      </c>
      <c r="M24" s="31" t="n">
        <f aca="false">L24*'2. The tape'!$B$15*'2. The tape'!$D$11*K24</f>
        <v>855971.601654354</v>
      </c>
      <c r="N24" s="31" t="n">
        <f aca="false">M24*(1+'3. Assumptions'!$B$19+'3. Assumptions'!$B$20+'3. Assumptions'!$B$22)</f>
        <v>946704.591429716</v>
      </c>
      <c r="O24" s="31" t="n">
        <f aca="false">'6. Income and costs'!$B$39+'3. Assumptions'!$B$31*L24*12+M24*('3. Assumptions'!$B$20*(1-'3. Assumptions'!$B$21)+'3. Assumptions'!$B$33)+N24*('3. Assumptions'!$B$26+'3. Assumptions'!$B$32)</f>
        <v>568527.375627069</v>
      </c>
      <c r="P24" s="31" t="n">
        <f aca="false">N24-O24</f>
        <v>378177.215802647</v>
      </c>
    </row>
    <row r="25" customFormat="false" ht="15" hidden="false" customHeight="false" outlineLevel="0" collapsed="false">
      <c r="A25" s="53" t="n">
        <f aca="false">3*0.0025</f>
        <v>0.0075</v>
      </c>
      <c r="B25" s="53" t="n">
        <f aca="false">IF(A25&gt;0,MIN('3. Assumptions'!$B$16,'3. Assumptions'!$B$13*(A25/'3. Assumptions'!$B$15)^'3. Assumptions'!$B$14),0)</f>
        <v>9.64084368050477E-005</v>
      </c>
      <c r="C25" s="34" t="n">
        <f aca="false">(1-'3. Assumptions'!$B$12-B25)*(1-'3. Assumptions'!$B$12)^('3. Assumptions'!$B$8-1)</f>
        <v>0.661669443609358</v>
      </c>
      <c r="D25" s="34" t="n">
        <f aca="false">1+(1-'3. Assumptions'!$B$12-B25)*(1-(1-'3. Assumptions'!$B$12)^('3. Assumptions'!$B$8-1))/'3. Assumptions'!$B$12</f>
        <v>5.0862277887795</v>
      </c>
      <c r="E25" s="34" t="n">
        <f aca="false">(1-'3. Assumptions'!$B$11)*(1-'3. Assumptions'!$B$12)^('3. Assumptions'!$B$7-1)</f>
        <v>0.690273454655712</v>
      </c>
      <c r="F25" s="34" t="n">
        <f aca="false">1+(1-'3. Assumptions'!$B$11)*(1-(1-'3. Assumptions'!$B$12)^('3. Assumptions'!$B$7-1))/'3. Assumptions'!$B$12</f>
        <v>4.28912098262087</v>
      </c>
      <c r="G2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5" s="34" t="n">
        <f aca="false">IF(A25&lt;=0,0,MAX(0,ROUNDUP(LN('3. Assumptions'!$B$10)/LN(1+A25)-0.000000000001,0)-1))</f>
        <v>64</v>
      </c>
      <c r="I25" s="34" t="n">
        <f aca="false">IF(A25&lt;=0,1/(1-C25),(1+A25)*(1-(C25*(1+A25))^H25)/(1-C25*(1+A25))+'3. Assumptions'!$B$10*C25^H25/(1-C25))</f>
        <v>3.02218537028209</v>
      </c>
      <c r="J25" s="45" t="n">
        <f aca="false">F25+E25*D25/(1-C25)</f>
        <v>14.6662151014062</v>
      </c>
      <c r="K25" s="34" t="n">
        <f aca="false">F25-G25+E25*D25*I25</f>
        <v>14.0150984912204</v>
      </c>
      <c r="L25" s="45" t="n">
        <f aca="false">'3. Assumptions'!$B$17*'2. The tape'!$B$11/J25</f>
        <v>32.0218949983196</v>
      </c>
      <c r="M25" s="31" t="n">
        <f aca="false">L25*'2. The tape'!$B$15*'2. The tape'!$D$11*K25</f>
        <v>860789.892801751</v>
      </c>
      <c r="N25" s="31" t="n">
        <f aca="false">M25*(1+'3. Assumptions'!$B$19+'3. Assumptions'!$B$20+'3. Assumptions'!$B$22)</f>
        <v>952033.621438737</v>
      </c>
      <c r="O25" s="31" t="n">
        <f aca="false">'6. Income and costs'!$B$39+'3. Assumptions'!$B$31*L25*12+M25*('3. Assumptions'!$B$20*(1-'3. Assumptions'!$B$21)+'3. Assumptions'!$B$33)+N25*('3. Assumptions'!$B$26+'3. Assumptions'!$B$32)</f>
        <v>569052.038517938</v>
      </c>
      <c r="P25" s="31" t="n">
        <f aca="false">N25-O25</f>
        <v>382981.582920799</v>
      </c>
    </row>
    <row r="26" customFormat="false" ht="15" hidden="false" customHeight="false" outlineLevel="0" collapsed="false">
      <c r="A26" s="53" t="n">
        <f aca="false">4*0.0025</f>
        <v>0.01</v>
      </c>
      <c r="B26" s="53" t="n">
        <f aca="false">IF(A26&gt;0,MIN('3. Assumptions'!$B$16,'3. Assumptions'!$B$13*(A26/'3. Assumptions'!$B$15)^'3. Assumptions'!$B$14),0)</f>
        <v>0.000192295007533952</v>
      </c>
      <c r="C26" s="34" t="n">
        <f aca="false">(1-'3. Assumptions'!$B$12-B26)*(1-'3. Assumptions'!$B$12)^('3. Assumptions'!$B$8-1)</f>
        <v>0.66160147171116</v>
      </c>
      <c r="D26" s="34" t="n">
        <f aca="false">1+(1-'3. Assumptions'!$B$12-B26)*(1-(1-'3. Assumptions'!$B$12)^('3. Assumptions'!$B$8-1))/'3. Assumptions'!$B$12</f>
        <v>5.08580801926776</v>
      </c>
      <c r="E26" s="34" t="n">
        <f aca="false">(1-'3. Assumptions'!$B$11)*(1-'3. Assumptions'!$B$12)^('3. Assumptions'!$B$7-1)</f>
        <v>0.690273454655712</v>
      </c>
      <c r="F26" s="34" t="n">
        <f aca="false">1+(1-'3. Assumptions'!$B$11)*(1-(1-'3. Assumptions'!$B$12)^('3. Assumptions'!$B$7-1))/'3. Assumptions'!$B$12</f>
        <v>4.28912098262087</v>
      </c>
      <c r="G2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6" s="34" t="n">
        <f aca="false">IF(A26&lt;=0,0,MAX(0,ROUNDUP(LN('3. Assumptions'!$B$10)/LN(1+A26)-0.000000000001,0)-1))</f>
        <v>48</v>
      </c>
      <c r="I26" s="34" t="n">
        <f aca="false">IF(A26&lt;=0,1/(1-C26),(1+A26)*(1-(C26*(1+A26))^H26)/(1-C26*(1+A26))+'3. Assumptions'!$B$10*C26^H26/(1-C26))</f>
        <v>3.04416284339143</v>
      </c>
      <c r="J26" s="45" t="n">
        <f aca="false">F26+E26*D26/(1-C26)</f>
        <v>14.6632744664658</v>
      </c>
      <c r="K26" s="34" t="n">
        <f aca="false">F26-G26+E26*D26*I26</f>
        <v>14.0913768747312</v>
      </c>
      <c r="L26" s="45" t="n">
        <f aca="false">'3. Assumptions'!$B$17*'2. The tape'!$B$11/J26</f>
        <v>32.0283168042747</v>
      </c>
      <c r="M26" s="31" t="n">
        <f aca="false">L26*'2. The tape'!$B$15*'2. The tape'!$D$11*K26</f>
        <v>865648.382080235</v>
      </c>
      <c r="N26" s="31" t="n">
        <f aca="false">M26*(1+'3. Assumptions'!$B$19+'3. Assumptions'!$B$20+'3. Assumptions'!$B$22)</f>
        <v>957407.11058074</v>
      </c>
      <c r="O26" s="31" t="n">
        <f aca="false">'6. Income and costs'!$B$39+'3. Assumptions'!$B$31*L26*12+M26*('3. Assumptions'!$B$20*(1-'3. Assumptions'!$B$21)+'3. Assumptions'!$B$33)+N26*('3. Assumptions'!$B$26+'3. Assumptions'!$B$32)</f>
        <v>569584.671103375</v>
      </c>
      <c r="P26" s="31" t="n">
        <f aca="false">N26-O26</f>
        <v>387822.439477365</v>
      </c>
    </row>
    <row r="27" customFormat="false" ht="15" hidden="false" customHeight="false" outlineLevel="0" collapsed="false">
      <c r="A27" s="53" t="n">
        <f aca="false">5*0.0025</f>
        <v>0.0125</v>
      </c>
      <c r="B27" s="53" t="n">
        <f aca="false">IF(A27&gt;0,MIN('3. Assumptions'!$B$16,'3. Assumptions'!$B$13*(A27/'3. Assumptions'!$B$15)^'3. Assumptions'!$B$14),0)</f>
        <v>0.000328512606634781</v>
      </c>
      <c r="C27" s="34" t="n">
        <f aca="false">(1-'3. Assumptions'!$B$12-B27)*(1-'3. Assumptions'!$B$12)^('3. Assumptions'!$B$8-1)</f>
        <v>0.661504910026781</v>
      </c>
      <c r="D27" s="34" t="n">
        <f aca="false">1+(1-'3. Assumptions'!$B$12-B27)*(1-(1-'3. Assumptions'!$B$12)^('3. Assumptions'!$B$8-1))/'3. Assumptions'!$B$12</f>
        <v>5.08521168972308</v>
      </c>
      <c r="E27" s="34" t="n">
        <f aca="false">(1-'3. Assumptions'!$B$11)*(1-'3. Assumptions'!$B$12)^('3. Assumptions'!$B$7-1)</f>
        <v>0.690273454655712</v>
      </c>
      <c r="F27" s="34" t="n">
        <f aca="false">1+(1-'3. Assumptions'!$B$11)*(1-(1-'3. Assumptions'!$B$12)^('3. Assumptions'!$B$7-1))/'3. Assumptions'!$B$12</f>
        <v>4.28912098262087</v>
      </c>
      <c r="G2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7" s="34" t="n">
        <f aca="false">IF(A27&lt;=0,0,MAX(0,ROUNDUP(LN('3. Assumptions'!$B$10)/LN(1+A27)-0.000000000001,0)-1))</f>
        <v>38</v>
      </c>
      <c r="I27" s="34" t="n">
        <f aca="false">IF(A27&lt;=0,1/(1-C27),(1+A27)*(1-(C27*(1+A27))^H27)/(1-C27*(1+A27))+'3. Assumptions'!$B$10*C27^H27/(1-C27))</f>
        <v>3.06607941016007</v>
      </c>
      <c r="J27" s="45" t="n">
        <f aca="false">F27+E27*D27/(1-C27)</f>
        <v>14.6590989961822</v>
      </c>
      <c r="K27" s="34" t="n">
        <f aca="false">F27-G27+E27*D27*I27</f>
        <v>14.1670550444768</v>
      </c>
      <c r="L27" s="45" t="n">
        <f aca="false">'3. Assumptions'!$B$17*'2. The tape'!$B$11/J27</f>
        <v>32.0374396900049</v>
      </c>
      <c r="M27" s="31" t="n">
        <f aca="false">L27*'2. The tape'!$B$15*'2. The tape'!$D$11*K27</f>
        <v>870545.26701893</v>
      </c>
      <c r="N27" s="31" t="n">
        <f aca="false">M27*(1+'3. Assumptions'!$B$19+'3. Assumptions'!$B$20+'3. Assumptions'!$B$22)</f>
        <v>962823.065322936</v>
      </c>
      <c r="O27" s="31" t="n">
        <f aca="false">'6. Income and costs'!$B$39+'3. Assumptions'!$B$31*L27*12+M27*('3. Assumptions'!$B$20*(1-'3. Assumptions'!$B$21)+'3. Assumptions'!$B$33)+N27*('3. Assumptions'!$B$26+'3. Assumptions'!$B$32)</f>
        <v>570125.52778175</v>
      </c>
      <c r="P27" s="31" t="n">
        <f aca="false">N27-O27</f>
        <v>392697.537541187</v>
      </c>
    </row>
    <row r="28" customFormat="false" ht="15" hidden="false" customHeight="false" outlineLevel="0" collapsed="false">
      <c r="A28" s="53" t="n">
        <f aca="false">6*0.0025</f>
        <v>0.015</v>
      </c>
      <c r="B28" s="53" t="n">
        <f aca="false">IF(A28&gt;0,MIN('3. Assumptions'!$B$16,'3. Assumptions'!$B$13*(A28/'3. Assumptions'!$B$15)^'3. Assumptions'!$B$14),0)</f>
        <v>0.000508846780118036</v>
      </c>
      <c r="C28" s="34" t="n">
        <f aca="false">(1-'3. Assumptions'!$B$12-B28)*(1-'3. Assumptions'!$B$12)^('3. Assumptions'!$B$8-1)</f>
        <v>0.661377075065237</v>
      </c>
      <c r="D28" s="34" t="n">
        <f aca="false">1+(1-'3. Assumptions'!$B$12-B28)*(1-(1-'3. Assumptions'!$B$12)^('3. Assumptions'!$B$8-1))/'3. Assumptions'!$B$12</f>
        <v>5.0844222278894</v>
      </c>
      <c r="E28" s="34" t="n">
        <f aca="false">(1-'3. Assumptions'!$B$11)*(1-'3. Assumptions'!$B$12)^('3. Assumptions'!$B$7-1)</f>
        <v>0.690273454655712</v>
      </c>
      <c r="F28" s="34" t="n">
        <f aca="false">1+(1-'3. Assumptions'!$B$11)*(1-(1-'3. Assumptions'!$B$12)^('3. Assumptions'!$B$7-1))/'3. Assumptions'!$B$12</f>
        <v>4.28912098262087</v>
      </c>
      <c r="G2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8" s="34" t="n">
        <f aca="false">IF(A28&lt;=0,0,MAX(0,ROUNDUP(LN('3. Assumptions'!$B$10)/LN(1+A28)-0.000000000001,0)-1))</f>
        <v>32</v>
      </c>
      <c r="I28" s="34" t="n">
        <f aca="false">IF(A28&lt;=0,1/(1-C28),(1+A28)*(1-(C28*(1+A28))^H28)/(1-C28*(1+A28))+'3. Assumptions'!$B$10*C28^H28/(1-C28))</f>
        <v>3.08790046511219</v>
      </c>
      <c r="J28" s="45" t="n">
        <f aca="false">F28+E28*D28/(1-C28)</f>
        <v>14.6535748861764</v>
      </c>
      <c r="K28" s="34" t="n">
        <f aca="false">F28-G28+E28*D28*I28</f>
        <v>14.2419682855353</v>
      </c>
      <c r="L28" s="45" t="n">
        <f aca="false">'3. Assumptions'!$B$17*'2. The tape'!$B$11/J28</f>
        <v>32.0495171757056</v>
      </c>
      <c r="M28" s="31" t="n">
        <f aca="false">L28*'2. The tape'!$B$15*'2. The tape'!$D$11*K28</f>
        <v>875478.492351627</v>
      </c>
      <c r="N28" s="31" t="n">
        <f aca="false">M28*(1+'3. Assumptions'!$B$19+'3. Assumptions'!$B$20+'3. Assumptions'!$B$22)</f>
        <v>968279.2125409</v>
      </c>
      <c r="O28" s="31" t="n">
        <f aca="false">'6. Income and costs'!$B$39+'3. Assumptions'!$B$31*L28*12+M28*('3. Assumptions'!$B$20*(1-'3. Assumptions'!$B$21)+'3. Assumptions'!$B$33)+N28*('3. Assumptions'!$B$26+'3. Assumptions'!$B$32)</f>
        <v>570674.771391535</v>
      </c>
      <c r="P28" s="31" t="n">
        <f aca="false">N28-O28</f>
        <v>397604.441149364</v>
      </c>
    </row>
    <row r="29" customFormat="false" ht="15" hidden="false" customHeight="false" outlineLevel="0" collapsed="false">
      <c r="A29" s="53" t="n">
        <f aca="false">7*0.0025</f>
        <v>0.0175</v>
      </c>
      <c r="B29" s="53" t="n">
        <f aca="false">IF(A29&gt;0,MIN('3. Assumptions'!$B$16,'3. Assumptions'!$B$13*(A29/'3. Assumptions'!$B$15)^'3. Assumptions'!$B$14),0)</f>
        <v>0.000736646832623557</v>
      </c>
      <c r="C29" s="34" t="n">
        <f aca="false">(1-'3. Assumptions'!$B$12-B29)*(1-'3. Assumptions'!$B$12)^('3. Assumptions'!$B$8-1)</f>
        <v>0.661215592577535</v>
      </c>
      <c r="D29" s="34" t="n">
        <f aca="false">1+(1-'3. Assumptions'!$B$12-B29)*(1-(1-'3. Assumptions'!$B$12)^('3. Assumptions'!$B$8-1))/'3. Assumptions'!$B$12</f>
        <v>5.08342497127581</v>
      </c>
      <c r="E29" s="34" t="n">
        <f aca="false">(1-'3. Assumptions'!$B$11)*(1-'3. Assumptions'!$B$12)^('3. Assumptions'!$B$7-1)</f>
        <v>0.690273454655712</v>
      </c>
      <c r="F29" s="34" t="n">
        <f aca="false">1+(1-'3. Assumptions'!$B$11)*(1-(1-'3. Assumptions'!$B$12)^('3. Assumptions'!$B$7-1))/'3. Assumptions'!$B$12</f>
        <v>4.28912098262087</v>
      </c>
      <c r="G2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29" s="34" t="n">
        <f aca="false">IF(A29&lt;=0,0,MAX(0,ROUNDUP(LN('3. Assumptions'!$B$10)/LN(1+A29)-0.000000000001,0)-1))</f>
        <v>27</v>
      </c>
      <c r="I29" s="34" t="n">
        <f aca="false">IF(A29&lt;=0,1/(1-C29),(1+A29)*(1-(C29*(1+A29))^H29)/(1-C29*(1+A29))+'3. Assumptions'!$B$10*C29^H29/(1-C29))</f>
        <v>3.10959138241275</v>
      </c>
      <c r="J29" s="45" t="n">
        <f aca="false">F29+E29*D29/(1-C29)</f>
        <v>14.6466027306814</v>
      </c>
      <c r="K29" s="34" t="n">
        <f aca="false">F29-G29+E29*D29*I29</f>
        <v>14.3159550535277</v>
      </c>
      <c r="L29" s="45" t="n">
        <f aca="false">'3. Assumptions'!$B$17*'2. The tape'!$B$11/J29</f>
        <v>32.0647735611897</v>
      </c>
      <c r="M29" s="31" t="n">
        <f aca="false">L29*'2. The tape'!$B$15*'2. The tape'!$D$11*K29</f>
        <v>880445.502348305</v>
      </c>
      <c r="N29" s="31" t="n">
        <f aca="false">M29*(1+'3. Assumptions'!$B$19+'3. Assumptions'!$B$20+'3. Assumptions'!$B$22)</f>
        <v>973772.725597225</v>
      </c>
      <c r="O29" s="31" t="n">
        <f aca="false">'6. Income and costs'!$B$39+'3. Assumptions'!$B$31*L29*12+M29*('3. Assumptions'!$B$20*(1-'3. Assumptions'!$B$21)+'3. Assumptions'!$B$33)+N29*('3. Assumptions'!$B$26+'3. Assumptions'!$B$32)</f>
        <v>571232.466643806</v>
      </c>
      <c r="P29" s="31" t="n">
        <f aca="false">N29-O29</f>
        <v>402540.258953419</v>
      </c>
    </row>
    <row r="30" customFormat="false" ht="15" hidden="false" customHeight="false" outlineLevel="0" collapsed="false">
      <c r="A30" s="53" t="n">
        <f aca="false">8*0.0025</f>
        <v>0.02</v>
      </c>
      <c r="B30" s="53" t="n">
        <f aca="false">IF(A30&gt;0,MIN('3. Assumptions'!$B$16,'3. Assumptions'!$B$13*(A30/'3. Assumptions'!$B$15)^'3. Assumptions'!$B$14),0)</f>
        <v>0.00101493913457273</v>
      </c>
      <c r="C30" s="34" t="n">
        <f aca="false">(1-'3. Assumptions'!$B$12-B30)*(1-'3. Assumptions'!$B$12)^('3. Assumptions'!$B$8-1)</f>
        <v>0.661018317235704</v>
      </c>
      <c r="D30" s="34" t="n">
        <f aca="false">1+(1-'3. Assumptions'!$B$12-B30)*(1-(1-'3. Assumptions'!$B$12)^('3. Assumptions'!$B$8-1))/'3. Assumptions'!$B$12</f>
        <v>5.08220667112365</v>
      </c>
      <c r="E30" s="34" t="n">
        <f aca="false">(1-'3. Assumptions'!$B$11)*(1-'3. Assumptions'!$B$12)^('3. Assumptions'!$B$7-1)</f>
        <v>0.690273454655712</v>
      </c>
      <c r="F30" s="34" t="n">
        <f aca="false">1+(1-'3. Assumptions'!$B$11)*(1-(1-'3. Assumptions'!$B$12)^('3. Assumptions'!$B$7-1))/'3. Assumptions'!$B$12</f>
        <v>4.28912098262087</v>
      </c>
      <c r="G3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0" s="34" t="n">
        <f aca="false">IF(A30&lt;=0,0,MAX(0,ROUNDUP(LN('3. Assumptions'!$B$10)/LN(1+A30)-0.000000000001,0)-1))</f>
        <v>24</v>
      </c>
      <c r="I30" s="34" t="n">
        <f aca="false">IF(A30&lt;=0,1/(1-C30),(1+A30)*(1-(C30*(1+A30))^H30)/(1-C30*(1+A30))+'3. Assumptions'!$B$10*C30^H30/(1-C30))</f>
        <v>3.13111437953576</v>
      </c>
      <c r="J30" s="45" t="n">
        <f aca="false">F30+E30*D30/(1-C30)</f>
        <v>14.638094200121</v>
      </c>
      <c r="K30" s="34" t="n">
        <f aca="false">F30-G30+E30*D30*I30</f>
        <v>14.3888451029149</v>
      </c>
      <c r="L30" s="45" t="n">
        <f aca="false">'3. Assumptions'!$B$17*'2. The tape'!$B$11/J30</f>
        <v>32.0834115137828</v>
      </c>
      <c r="M30" s="31" t="n">
        <f aca="false">L30*'2. The tape'!$B$15*'2. The tape'!$D$11*K30</f>
        <v>885442.685967251</v>
      </c>
      <c r="N30" s="31" t="n">
        <f aca="false">M30*(1+'3. Assumptions'!$B$19+'3. Assumptions'!$B$20+'3. Assumptions'!$B$22)</f>
        <v>979299.61067978</v>
      </c>
      <c r="O30" s="31" t="n">
        <f aca="false">'6. Income and costs'!$B$39+'3. Assumptions'!$B$31*L30*12+M30*('3. Assumptions'!$B$20*(1-'3. Assumptions'!$B$21)+'3. Assumptions'!$B$33)+N30*('3. Assumptions'!$B$26+'3. Assumptions'!$B$32)</f>
        <v>571798.531900012</v>
      </c>
      <c r="P30" s="31" t="n">
        <f aca="false">N30-O30</f>
        <v>407501.078779768</v>
      </c>
    </row>
    <row r="31" customFormat="false" ht="15" hidden="false" customHeight="false" outlineLevel="0" collapsed="false">
      <c r="A31" s="53" t="n">
        <f aca="false">9*0.0025</f>
        <v>0.0225</v>
      </c>
      <c r="B31" s="53" t="n">
        <f aca="false">IF(A31&gt;0,MIN('3. Assumptions'!$B$16,'3. Assumptions'!$B$13*(A31/'3. Assumptions'!$B$15)^'3. Assumptions'!$B$14),0)</f>
        <v>0.00134649905349611</v>
      </c>
      <c r="C31" s="34" t="n">
        <f aca="false">(1-'3. Assumptions'!$B$12-B31)*(1-'3. Assumptions'!$B$12)^('3. Assumptions'!$B$8-1)</f>
        <v>0.660783281642248</v>
      </c>
      <c r="D31" s="34" t="n">
        <f aca="false">1+(1-'3. Assumptions'!$B$12-B31)*(1-(1-'3. Assumptions'!$B$12)^('3. Assumptions'!$B$8-1))/'3. Assumptions'!$B$12</f>
        <v>5.08075517750761</v>
      </c>
      <c r="E31" s="34" t="n">
        <f aca="false">(1-'3. Assumptions'!$B$11)*(1-'3. Assumptions'!$B$12)^('3. Assumptions'!$B$7-1)</f>
        <v>0.690273454655712</v>
      </c>
      <c r="F31" s="34" t="n">
        <f aca="false">1+(1-'3. Assumptions'!$B$11)*(1-(1-'3. Assumptions'!$B$12)^('3. Assumptions'!$B$7-1))/'3. Assumptions'!$B$12</f>
        <v>4.28912098262087</v>
      </c>
      <c r="G3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1" s="34" t="n">
        <f aca="false">IF(A31&lt;=0,0,MAX(0,ROUNDUP(LN('3. Assumptions'!$B$10)/LN(1+A31)-0.000000000001,0)-1))</f>
        <v>21</v>
      </c>
      <c r="I31" s="34" t="n">
        <f aca="false">IF(A31&lt;=0,1/(1-C31),(1+A31)*(1-(C31*(1+A31))^H31)/(1-C31*(1+A31))+'3. Assumptions'!$B$10*C31^H31/(1-C31))</f>
        <v>3.15242521801526</v>
      </c>
      <c r="J31" s="45" t="n">
        <f aca="false">F31+E31*D31/(1-C31)</f>
        <v>14.6279699804445</v>
      </c>
      <c r="K31" s="34" t="n">
        <f aca="false">F31-G31+E31*D31*I31</f>
        <v>14.4604474171469</v>
      </c>
      <c r="L31" s="45" t="n">
        <f aca="false">'3. Assumptions'!$B$17*'2. The tape'!$B$11/J31</f>
        <v>32.1056168851755</v>
      </c>
      <c r="M31" s="31" t="n">
        <f aca="false">L31*'2. The tape'!$B$15*'2. The tape'!$D$11*K31</f>
        <v>890464.735952299</v>
      </c>
      <c r="N31" s="31" t="n">
        <f aca="false">M31*(1+'3. Assumptions'!$B$19+'3. Assumptions'!$B$20+'3. Assumptions'!$B$22)</f>
        <v>984853.997963242</v>
      </c>
      <c r="O31" s="31" t="n">
        <f aca="false">'6. Income and costs'!$B$39+'3. Assumptions'!$B$31*L31*12+M31*('3. Assumptions'!$B$20*(1-'3. Assumptions'!$B$21)+'3. Assumptions'!$B$33)+N31*('3. Assumptions'!$B$26+'3. Assumptions'!$B$32)</f>
        <v>572372.677490259</v>
      </c>
      <c r="P31" s="31" t="n">
        <f aca="false">N31-O31</f>
        <v>412481.320472984</v>
      </c>
    </row>
    <row r="32" customFormat="false" ht="15" hidden="false" customHeight="false" outlineLevel="0" collapsed="false">
      <c r="A32" s="53" t="n">
        <f aca="false">10*0.0025</f>
        <v>0.025</v>
      </c>
      <c r="B32" s="53" t="n">
        <f aca="false">IF(A32&gt;0,MIN('3. Assumptions'!$B$16,'3. Assumptions'!$B$13*(A32/'3. Assumptions'!$B$15)^'3. Assumptions'!$B$14),0)</f>
        <v>0.00173389993297287</v>
      </c>
      <c r="C32" s="34" t="n">
        <f aca="false">(1-'3. Assumptions'!$B$12-B32)*(1-'3. Assumptions'!$B$12)^('3. Assumptions'!$B$8-1)</f>
        <v>0.660508661610041</v>
      </c>
      <c r="D32" s="34" t="n">
        <f aca="false">1+(1-'3. Assumptions'!$B$12-B32)*(1-(1-'3. Assumptions'!$B$12)^('3. Assumptions'!$B$8-1))/'3. Assumptions'!$B$12</f>
        <v>5.07905922491708</v>
      </c>
      <c r="E32" s="34" t="n">
        <f aca="false">(1-'3. Assumptions'!$B$11)*(1-'3. Assumptions'!$B$12)^('3. Assumptions'!$B$7-1)</f>
        <v>0.690273454655712</v>
      </c>
      <c r="F32" s="34" t="n">
        <f aca="false">1+(1-'3. Assumptions'!$B$11)*(1-(1-'3. Assumptions'!$B$12)^('3. Assumptions'!$B$7-1))/'3. Assumptions'!$B$12</f>
        <v>4.28912098262087</v>
      </c>
      <c r="G3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2" s="34" t="n">
        <f aca="false">IF(A32&lt;=0,0,MAX(0,ROUNDUP(LN('3. Assumptions'!$B$10)/LN(1+A32)-0.000000000001,0)-1))</f>
        <v>19</v>
      </c>
      <c r="I32" s="34" t="n">
        <f aca="false">IF(A32&lt;=0,1/(1-C32),(1+A32)*(1-(C32*(1+A32))^H32)/(1-C32*(1+A32))+'3. Assumptions'!$B$10*C32^H32/(1-C32))</f>
        <v>3.17347060068059</v>
      </c>
      <c r="J32" s="45" t="n">
        <f aca="false">F32+E32*D32/(1-C32)</f>
        <v>14.6161584092941</v>
      </c>
      <c r="K32" s="34" t="n">
        <f aca="false">F32-G32+E32*D32*I32</f>
        <v>14.5305408079955</v>
      </c>
      <c r="L32" s="45" t="n">
        <f aca="false">'3. Assumptions'!$B$17*'2. The tape'!$B$11/J32</f>
        <v>32.1315619911021</v>
      </c>
      <c r="M32" s="31" t="n">
        <f aca="false">L32*'2. The tape'!$B$15*'2. The tape'!$D$11*K32</f>
        <v>895504.128429699</v>
      </c>
      <c r="N32" s="31" t="n">
        <f aca="false">M32*(1+'3. Assumptions'!$B$19+'3. Assumptions'!$B$20+'3. Assumptions'!$B$22)</f>
        <v>990427.566043247</v>
      </c>
      <c r="O32" s="31" t="n">
        <f aca="false">'6. Income and costs'!$B$39+'3. Assumptions'!$B$31*L32*12+M32*('3. Assumptions'!$B$20*(1-'3. Assumptions'!$B$21)+'3. Assumptions'!$B$33)+N32*('3. Assumptions'!$B$26+'3. Assumptions'!$B$32)</f>
        <v>572954.354672048</v>
      </c>
      <c r="P32" s="31" t="n">
        <f aca="false">N32-O32</f>
        <v>417473.211371199</v>
      </c>
    </row>
    <row r="33" customFormat="false" ht="15" hidden="false" customHeight="false" outlineLevel="0" collapsed="false">
      <c r="A33" s="53" t="n">
        <f aca="false">11*0.0025</f>
        <v>0.0275</v>
      </c>
      <c r="B33" s="53" t="n">
        <f aca="false">IF(A33&gt;0,MIN('3. Assumptions'!$B$16,'3. Assumptions'!$B$13*(A33/'3. Assumptions'!$B$15)^'3. Assumptions'!$B$14),0)</f>
        <v>0.00217954818218482</v>
      </c>
      <c r="C33" s="34" t="n">
        <f aca="false">(1-'3. Assumptions'!$B$12-B33)*(1-'3. Assumptions'!$B$12)^('3. Assumptions'!$B$8-1)</f>
        <v>0.660192751288111</v>
      </c>
      <c r="D33" s="34" t="n">
        <f aca="false">1+(1-'3. Assumptions'!$B$12-B33)*(1-(1-'3. Assumptions'!$B$12)^('3. Assumptions'!$B$8-1))/'3. Assumptions'!$B$12</f>
        <v>5.07710827864217</v>
      </c>
      <c r="E33" s="34" t="n">
        <f aca="false">(1-'3. Assumptions'!$B$11)*(1-'3. Assumptions'!$B$12)^('3. Assumptions'!$B$7-1)</f>
        <v>0.690273454655712</v>
      </c>
      <c r="F33" s="34" t="n">
        <f aca="false">1+(1-'3. Assumptions'!$B$11)*(1-(1-'3. Assumptions'!$B$12)^('3. Assumptions'!$B$7-1))/'3. Assumptions'!$B$12</f>
        <v>4.28912098262087</v>
      </c>
      <c r="G3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3" s="34" t="n">
        <f aca="false">IF(A33&lt;=0,0,MAX(0,ROUNDUP(LN('3. Assumptions'!$B$10)/LN(1+A33)-0.000000000001,0)-1))</f>
        <v>17</v>
      </c>
      <c r="I33" s="34" t="n">
        <f aca="false">IF(A33&lt;=0,1/(1-C33),(1+A33)*(1-(C33*(1+A33))^H33)/(1-C33*(1+A33))+'3. Assumptions'!$B$10*C33^H33/(1-C33))</f>
        <v>3.19418973909115</v>
      </c>
      <c r="J33" s="45" t="n">
        <f aca="false">F33+E33*D33/(1-C33)</f>
        <v>14.6025945310644</v>
      </c>
      <c r="K33" s="34" t="n">
        <f aca="false">F33-G33+E33*D33*I33</f>
        <v>14.5988792871314</v>
      </c>
      <c r="L33" s="45" t="n">
        <f aca="false">'3. Assumptions'!$B$17*'2. The tape'!$B$11/J33</f>
        <v>32.1614079608199</v>
      </c>
      <c r="M33" s="31" t="n">
        <f aca="false">L33*'2. The tape'!$B$15*'2. The tape'!$D$11*K33</f>
        <v>900551.484186112</v>
      </c>
      <c r="N33" s="31" t="n">
        <f aca="false">M33*(1+'3. Assumptions'!$B$19+'3. Assumptions'!$B$20+'3. Assumptions'!$B$22)</f>
        <v>996009.94150984</v>
      </c>
      <c r="O33" s="31" t="n">
        <f aca="false">'6. Income and costs'!$B$39+'3. Assumptions'!$B$31*L33*12+M33*('3. Assumptions'!$B$20*(1-'3. Assumptions'!$B$21)+'3. Assumptions'!$B$33)+N33*('3. Assumptions'!$B$26+'3. Assumptions'!$B$32)</f>
        <v>573542.798072608</v>
      </c>
      <c r="P33" s="31" t="n">
        <f aca="false">N33-O33</f>
        <v>422467.143437232</v>
      </c>
    </row>
    <row r="34" customFormat="false" ht="15" hidden="false" customHeight="false" outlineLevel="0" collapsed="false">
      <c r="A34" s="53" t="n">
        <f aca="false">12*0.0025</f>
        <v>0.03</v>
      </c>
      <c r="B34" s="53" t="n">
        <f aca="false">IF(A34&gt;0,MIN('3. Assumptions'!$B$16,'3. Assumptions'!$B$13*(A34/'3. Assumptions'!$B$15)^'3. Assumptions'!$B$14),0)</f>
        <v>0.00268570940694826</v>
      </c>
      <c r="C34" s="34" t="n">
        <f aca="false">(1-'3. Assumptions'!$B$12-B34)*(1-'3. Assumptions'!$B$12)^('3. Assumptions'!$B$8-1)</f>
        <v>0.659833944637919</v>
      </c>
      <c r="D34" s="34" t="n">
        <f aca="false">1+(1-'3. Assumptions'!$B$12-B34)*(1-(1-'3. Assumptions'!$B$12)^('3. Assumptions'!$B$8-1))/'3. Assumptions'!$B$12</f>
        <v>5.07489242037793</v>
      </c>
      <c r="E34" s="34" t="n">
        <f aca="false">(1-'3. Assumptions'!$B$11)*(1-'3. Assumptions'!$B$12)^('3. Assumptions'!$B$7-1)</f>
        <v>0.690273454655712</v>
      </c>
      <c r="F34" s="34" t="n">
        <f aca="false">1+(1-'3. Assumptions'!$B$11)*(1-(1-'3. Assumptions'!$B$12)^('3. Assumptions'!$B$7-1))/'3. Assumptions'!$B$12</f>
        <v>4.28912098262087</v>
      </c>
      <c r="G3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4" s="34" t="n">
        <f aca="false">IF(A34&lt;=0,0,MAX(0,ROUNDUP(LN('3. Assumptions'!$B$10)/LN(1+A34)-0.000000000001,0)-1))</f>
        <v>16</v>
      </c>
      <c r="I34" s="34" t="n">
        <f aca="false">IF(A34&lt;=0,1/(1-C34),(1+A34)*(1-(C34*(1+A34))^H34)/(1-C34*(1+A34))+'3. Assumptions'!$B$10*C34^H34/(1-C34))</f>
        <v>3.21450992648458</v>
      </c>
      <c r="J34" s="45" t="n">
        <f aca="false">F34+E34*D34/(1-C34)</f>
        <v>14.5872194195493</v>
      </c>
      <c r="K34" s="34" t="n">
        <f aca="false">F34-G34+E34*D34*I34</f>
        <v>14.665176527399</v>
      </c>
      <c r="L34" s="45" t="n">
        <f aca="false">'3. Assumptions'!$B$17*'2. The tape'!$B$11/J34</f>
        <v>32.1953064866224</v>
      </c>
      <c r="M34" s="31" t="n">
        <f aca="false">L34*'2. The tape'!$B$15*'2. The tape'!$D$11*K34</f>
        <v>905594.621571531</v>
      </c>
      <c r="N34" s="31" t="n">
        <f aca="false">M34*(1+'3. Assumptions'!$B$19+'3. Assumptions'!$B$20+'3. Assumptions'!$B$22)</f>
        <v>1001587.65145811</v>
      </c>
      <c r="O34" s="31" t="n">
        <f aca="false">'6. Income and costs'!$B$39+'3. Assumptions'!$B$31*L34*12+M34*('3. Assumptions'!$B$20*(1-'3. Assumptions'!$B$21)+'3. Assumptions'!$B$33)+N34*('3. Assumptions'!$B$26+'3. Assumptions'!$B$32)</f>
        <v>574136.926405898</v>
      </c>
      <c r="P34" s="31" t="n">
        <f aca="false">N34-O34</f>
        <v>427450.725052215</v>
      </c>
    </row>
    <row r="35" customFormat="false" ht="15" hidden="false" customHeight="false" outlineLevel="0" collapsed="false">
      <c r="A35" s="53" t="n">
        <f aca="false">13*0.0025</f>
        <v>0.0325</v>
      </c>
      <c r="B35" s="53" t="n">
        <f aca="false">IF(A35&gt;0,MIN('3. Assumptions'!$B$16,'3. Assumptions'!$B$13*(A35/'3. Assumptions'!$B$15)^'3. Assumptions'!$B$14),0)</f>
        <v>0.003254528472454</v>
      </c>
      <c r="C35" s="34" t="n">
        <f aca="false">(1-'3. Assumptions'!$B$12-B35)*(1-'3. Assumptions'!$B$12)^('3. Assumptions'!$B$8-1)</f>
        <v>0.659430721211323</v>
      </c>
      <c r="D35" s="34" t="n">
        <f aca="false">1+(1-'3. Assumptions'!$B$12-B35)*(1-(1-'3. Assumptions'!$B$12)^('3. Assumptions'!$B$8-1))/'3. Assumptions'!$B$12</f>
        <v>5.07240226039434</v>
      </c>
      <c r="E35" s="34" t="n">
        <f aca="false">(1-'3. Assumptions'!$B$11)*(1-'3. Assumptions'!$B$12)^('3. Assumptions'!$B$7-1)</f>
        <v>0.690273454655712</v>
      </c>
      <c r="F35" s="34" t="n">
        <f aca="false">1+(1-'3. Assumptions'!$B$11)*(1-(1-'3. Assumptions'!$B$12)^('3. Assumptions'!$B$7-1))/'3. Assumptions'!$B$12</f>
        <v>4.28912098262087</v>
      </c>
      <c r="G3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5" s="34" t="n">
        <f aca="false">IF(A35&lt;=0,0,MAX(0,ROUNDUP(LN('3. Assumptions'!$B$10)/LN(1+A35)-0.000000000001,0)-1))</f>
        <v>15</v>
      </c>
      <c r="I35" s="34" t="n">
        <f aca="false">IF(A35&lt;=0,1/(1-C35),(1+A35)*(1-(C35*(1+A35))^H35)/(1-C35*(1+A35))+'3. Assumptions'!$B$10*C35^H35/(1-C35))</f>
        <v>3.23436776947349</v>
      </c>
      <c r="J35" s="45" t="n">
        <f aca="false">F35+E35*D35/(1-C35)</f>
        <v>14.5699796793867</v>
      </c>
      <c r="K35" s="34" t="n">
        <f aca="false">F35-G35+E35*D35*I35</f>
        <v>14.7291802860877</v>
      </c>
      <c r="L35" s="45" t="n">
        <f aca="false">'3. Assumptions'!$B$17*'2. The tape'!$B$11/J35</f>
        <v>32.2334011669513</v>
      </c>
      <c r="M35" s="31" t="n">
        <f aca="false">L35*'2. The tape'!$B$15*'2. The tape'!$D$11*K35</f>
        <v>910623.150494074</v>
      </c>
      <c r="N35" s="31" t="n">
        <f aca="false">M35*(1+'3. Assumptions'!$B$19+'3. Assumptions'!$B$20+'3. Assumptions'!$B$22)</f>
        <v>1007149.20444645</v>
      </c>
      <c r="O35" s="31" t="n">
        <f aca="false">'6. Income and costs'!$B$39+'3. Assumptions'!$B$31*L35*12+M35*('3. Assumptions'!$B$20*(1-'3. Assumptions'!$B$21)+'3. Assumptions'!$B$33)+N35*('3. Assumptions'!$B$26+'3. Assumptions'!$B$32)</f>
        <v>574735.838945075</v>
      </c>
      <c r="P35" s="31" t="n">
        <f aca="false">N35-O35</f>
        <v>432413.365501372</v>
      </c>
    </row>
    <row r="36" customFormat="false" ht="15" hidden="false" customHeight="false" outlineLevel="0" collapsed="false">
      <c r="A36" s="53" t="n">
        <f aca="false">14*0.0025</f>
        <v>0.035</v>
      </c>
      <c r="B36" s="53" t="n">
        <f aca="false">IF(A36&gt;0,MIN('3. Assumptions'!$B$16,'3. Assumptions'!$B$13*(A36/'3. Assumptions'!$B$15)^'3. Assumptions'!$B$14),0)</f>
        <v>0.00388804529237032</v>
      </c>
      <c r="C36" s="34" t="n">
        <f aca="false">(1-'3. Assumptions'!$B$12-B36)*(1-'3. Assumptions'!$B$12)^('3. Assumptions'!$B$8-1)</f>
        <v>0.658981634958023</v>
      </c>
      <c r="D36" s="34" t="n">
        <f aca="false">1+(1-'3. Assumptions'!$B$12-B36)*(1-(1-'3. Assumptions'!$B$12)^('3. Assumptions'!$B$8-1))/'3. Assumptions'!$B$12</f>
        <v>5.06962886841513</v>
      </c>
      <c r="E36" s="34" t="n">
        <f aca="false">(1-'3. Assumptions'!$B$11)*(1-'3. Assumptions'!$B$12)^('3. Assumptions'!$B$7-1)</f>
        <v>0.690273454655712</v>
      </c>
      <c r="F36" s="34" t="n">
        <f aca="false">1+(1-'3. Assumptions'!$B$11)*(1-(1-'3. Assumptions'!$B$12)^('3. Assumptions'!$B$7-1))/'3. Assumptions'!$B$12</f>
        <v>4.28912098262087</v>
      </c>
      <c r="G3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6" s="34" t="n">
        <f aca="false">IF(A36&lt;=0,0,MAX(0,ROUNDUP(LN('3. Assumptions'!$B$10)/LN(1+A36)-0.000000000001,0)-1))</f>
        <v>14</v>
      </c>
      <c r="I36" s="34" t="n">
        <f aca="false">IF(A36&lt;=0,1/(1-C36),(1+A36)*(1-(C36*(1+A36))^H36)/(1-C36*(1+A36))+'3. Assumptions'!$B$10*C36^H36/(1-C36))</f>
        <v>3.25367726723787</v>
      </c>
      <c r="J36" s="45" t="n">
        <f aca="false">F36+E36*D36/(1-C36)</f>
        <v>14.5508270710671</v>
      </c>
      <c r="K36" s="34" t="n">
        <f aca="false">F36-G36+E36*D36*I36</f>
        <v>14.7905606563658</v>
      </c>
      <c r="L36" s="45" t="n">
        <f aca="false">'3. Assumptions'!$B$17*'2. The tape'!$B$11/J36</f>
        <v>32.2758285633009</v>
      </c>
      <c r="M36" s="31" t="n">
        <f aca="false">L36*'2. The tape'!$B$15*'2. The tape'!$D$11*K36</f>
        <v>915621.564595807</v>
      </c>
      <c r="N36" s="31" t="n">
        <f aca="false">M36*(1+'3. Assumptions'!$B$19+'3. Assumptions'!$B$20+'3. Assumptions'!$B$22)</f>
        <v>1012677.45044296</v>
      </c>
      <c r="O36" s="31" t="n">
        <f aca="false">'6. Income and costs'!$B$39+'3. Assumptions'!$B$31*L36*12+M36*('3. Assumptions'!$B$20*(1-'3. Assumptions'!$B$21)+'3. Assumptions'!$B$33)+N36*('3. Assumptions'!$B$26+'3. Assumptions'!$B$32)</f>
        <v>575338.073655131</v>
      </c>
      <c r="P36" s="31" t="n">
        <f aca="false">N36-O36</f>
        <v>437339.376787831</v>
      </c>
    </row>
    <row r="37" customFormat="false" ht="15" hidden="false" customHeight="false" outlineLevel="0" collapsed="false">
      <c r="A37" s="53" t="n">
        <f aca="false">15*0.0025</f>
        <v>0.0375</v>
      </c>
      <c r="B37" s="53" t="n">
        <f aca="false">IF(A37&gt;0,MIN('3. Assumptions'!$B$16,'3. Assumptions'!$B$13*(A37/'3. Assumptions'!$B$15)^'3. Assumptions'!$B$14),0)</f>
        <v>0.00458820751123425</v>
      </c>
      <c r="C37" s="34" t="n">
        <f aca="false">(1-'3. Assumptions'!$B$12-B37)*(1-'3. Assumptions'!$B$12)^('3. Assumptions'!$B$8-1)</f>
        <v>0.658485305235297</v>
      </c>
      <c r="D37" s="34" t="n">
        <f aca="false">1+(1-'3. Assumptions'!$B$12-B37)*(1-(1-'3. Assumptions'!$B$12)^('3. Assumptions'!$B$8-1))/'3. Assumptions'!$B$12</f>
        <v>5.06656371809727</v>
      </c>
      <c r="E37" s="34" t="n">
        <f aca="false">(1-'3. Assumptions'!$B$11)*(1-'3. Assumptions'!$B$12)^('3. Assumptions'!$B$7-1)</f>
        <v>0.690273454655712</v>
      </c>
      <c r="F37" s="34" t="n">
        <f aca="false">1+(1-'3. Assumptions'!$B$11)*(1-(1-'3. Assumptions'!$B$12)^('3. Assumptions'!$B$7-1))/'3. Assumptions'!$B$12</f>
        <v>4.28912098262087</v>
      </c>
      <c r="G3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7" s="34" t="n">
        <f aca="false">IF(A37&lt;=0,0,MAX(0,ROUNDUP(LN('3. Assumptions'!$B$10)/LN(1+A37)-0.000000000001,0)-1))</f>
        <v>13</v>
      </c>
      <c r="I37" s="34" t="n">
        <f aca="false">IF(A37&lt;=0,1/(1-C37),(1+A37)*(1-(C37*(1+A37))^H37)/(1-C37*(1+A37))+'3. Assumptions'!$B$10*C37^H37/(1-C37))</f>
        <v>3.27234666035102</v>
      </c>
      <c r="J37" s="45" t="n">
        <f aca="false">F37+E37*D37/(1-C37)</f>
        <v>14.5297182234918</v>
      </c>
      <c r="K37" s="34" t="n">
        <f aca="false">F37-G37+E37*D37*I37</f>
        <v>14.8489692904999</v>
      </c>
      <c r="L37" s="45" t="n">
        <f aca="false">'3. Assumptions'!$B$17*'2. The tape'!$B$11/J37</f>
        <v>32.3227190490646</v>
      </c>
      <c r="M37" s="31" t="n">
        <f aca="false">L37*'2. The tape'!$B$15*'2. The tape'!$D$11*K37</f>
        <v>920572.870820456</v>
      </c>
      <c r="N37" s="31" t="n">
        <f aca="false">M37*(1+'3. Assumptions'!$B$19+'3. Assumptions'!$B$20+'3. Assumptions'!$B$22)</f>
        <v>1018153.59512742</v>
      </c>
      <c r="O37" s="31" t="n">
        <f aca="false">'6. Income and costs'!$B$39+'3. Assumptions'!$B$31*L37*12+M37*('3. Assumptions'!$B$20*(1-'3. Assumptions'!$B$21)+'3. Assumptions'!$B$33)+N37*('3. Assumptions'!$B$26+'3. Assumptions'!$B$32)</f>
        <v>575941.999118242</v>
      </c>
      <c r="P37" s="31" t="n">
        <f aca="false">N37-O37</f>
        <v>442211.596009181</v>
      </c>
    </row>
    <row r="38" customFormat="false" ht="15" hidden="false" customHeight="false" outlineLevel="0" collapsed="false">
      <c r="A38" s="53" t="n">
        <f aca="false">16*0.0025</f>
        <v>0.04</v>
      </c>
      <c r="B38" s="53" t="n">
        <f aca="false">IF(A38&gt;0,MIN('3. Assumptions'!$B$16,'3. Assumptions'!$B$13*(A38/'3. Assumptions'!$B$15)^'3. Assumptions'!$B$14),0)</f>
        <v>0.00535688086808686</v>
      </c>
      <c r="C38" s="34" t="n">
        <f aca="false">(1-'3. Assumptions'!$B$12-B38)*(1-'3. Assumptions'!$B$12)^('3. Assumptions'!$B$8-1)</f>
        <v>0.65794040946144</v>
      </c>
      <c r="D38" s="34" t="n">
        <f aca="false">1+(1-'3. Assumptions'!$B$12-B38)*(1-(1-'3. Assumptions'!$B$12)^('3. Assumptions'!$B$8-1))/'3. Assumptions'!$B$12</f>
        <v>5.06319864166125</v>
      </c>
      <c r="E38" s="34" t="n">
        <f aca="false">(1-'3. Assumptions'!$B$11)*(1-'3. Assumptions'!$B$12)^('3. Assumptions'!$B$7-1)</f>
        <v>0.690273454655712</v>
      </c>
      <c r="F38" s="34" t="n">
        <f aca="false">1+(1-'3. Assumptions'!$B$11)*(1-(1-'3. Assumptions'!$B$12)^('3. Assumptions'!$B$7-1))/'3. Assumptions'!$B$12</f>
        <v>4.28912098262087</v>
      </c>
      <c r="G3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8" s="34" t="n">
        <f aca="false">IF(A38&lt;=0,0,MAX(0,ROUNDUP(LN('3. Assumptions'!$B$10)/LN(1+A38)-0.000000000001,0)-1))</f>
        <v>12</v>
      </c>
      <c r="I38" s="34" t="n">
        <f aca="false">IF(A38&lt;=0,1/(1-C38),(1+A38)*(1-(C38*(1+A38))^H38)/(1-C38*(1+A38))+'3. Assumptions'!$B$10*C38^H38/(1-C38))</f>
        <v>3.29029186073033</v>
      </c>
      <c r="J38" s="45" t="n">
        <f aca="false">F38+E38*D38/(1-C38)</f>
        <v>14.5066144096722</v>
      </c>
      <c r="K38" s="34" t="n">
        <f aca="false">F38-G38+E38*D38*I38</f>
        <v>14.9040865335293</v>
      </c>
      <c r="L38" s="45" t="n">
        <f aca="false">'3. Assumptions'!$B$17*'2. The tape'!$B$11/J38</f>
        <v>32.3741975030969</v>
      </c>
      <c r="M38" s="31" t="n">
        <f aca="false">L38*'2. The tape'!$B$15*'2. The tape'!$D$11*K38</f>
        <v>925461.488452794</v>
      </c>
      <c r="N38" s="31" t="n">
        <f aca="false">M38*(1+'3. Assumptions'!$B$19+'3. Assumptions'!$B$20+'3. Assumptions'!$B$22)</f>
        <v>1023560.40622879</v>
      </c>
      <c r="O38" s="31" t="n">
        <f aca="false">'6. Income and costs'!$B$39+'3. Assumptions'!$B$31*L38*12+M38*('3. Assumptions'!$B$20*(1-'3. Assumptions'!$B$21)+'3. Assumptions'!$B$33)+N38*('3. Assumptions'!$B$26+'3. Assumptions'!$B$32)</f>
        <v>576546.127599309</v>
      </c>
      <c r="P38" s="31" t="n">
        <f aca="false">N38-O38</f>
        <v>447014.27862948</v>
      </c>
    </row>
    <row r="39" customFormat="false" ht="15" hidden="false" customHeight="false" outlineLevel="0" collapsed="false">
      <c r="A39" s="53" t="n">
        <f aca="false">17*0.0025</f>
        <v>0.0425</v>
      </c>
      <c r="B39" s="53" t="n">
        <f aca="false">IF(A39&gt;0,MIN('3. Assumptions'!$B$16,'3. Assumptions'!$B$13*(A39/'3. Assumptions'!$B$15)^'3. Assumptions'!$B$14),0)</f>
        <v>0.00619585779045893</v>
      </c>
      <c r="C39" s="34" t="n">
        <f aca="false">(1-'3. Assumptions'!$B$12-B39)*(1-'3. Assumptions'!$B$12)^('3. Assumptions'!$B$8-1)</f>
        <v>0.657345677023677</v>
      </c>
      <c r="D39" s="34" t="n">
        <f aca="false">1+(1-'3. Assumptions'!$B$12-B39)*(1-(1-'3. Assumptions'!$B$12)^('3. Assumptions'!$B$8-1))/'3. Assumptions'!$B$12</f>
        <v>5.05952579226863</v>
      </c>
      <c r="E39" s="34" t="n">
        <f aca="false">(1-'3. Assumptions'!$B$11)*(1-'3. Assumptions'!$B$12)^('3. Assumptions'!$B$7-1)</f>
        <v>0.690273454655712</v>
      </c>
      <c r="F39" s="34" t="n">
        <f aca="false">1+(1-'3. Assumptions'!$B$11)*(1-(1-'3. Assumptions'!$B$12)^('3. Assumptions'!$B$7-1))/'3. Assumptions'!$B$12</f>
        <v>4.28912098262087</v>
      </c>
      <c r="G3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39" s="34" t="n">
        <f aca="false">IF(A39&lt;=0,0,MAX(0,ROUNDUP(LN('3. Assumptions'!$B$10)/LN(1+A39)-0.000000000001,0)-1))</f>
        <v>11</v>
      </c>
      <c r="I39" s="34" t="n">
        <f aca="false">IF(A39&lt;=0,1/(1-C39),(1+A39)*(1-(C39*(1+A39))^H39)/(1-C39*(1+A39))+'3. Assumptions'!$B$10*C39^H39/(1-C39))</f>
        <v>3.3074669490307</v>
      </c>
      <c r="J39" s="45" t="n">
        <f aca="false">F39+E39*D39/(1-C39)</f>
        <v>14.4814813684849</v>
      </c>
      <c r="K39" s="34" t="n">
        <f aca="false">F39-G39+E39*D39*I39</f>
        <v>14.9557279999946</v>
      </c>
      <c r="L39" s="45" t="n">
        <f aca="false">'3. Assumptions'!$B$17*'2. The tape'!$B$11/J39</f>
        <v>32.4303838847623</v>
      </c>
      <c r="M39" s="31" t="n">
        <f aca="false">L39*'2. The tape'!$B$15*'2. The tape'!$D$11*K39</f>
        <v>930279.86955508</v>
      </c>
      <c r="N39" s="31" t="n">
        <f aca="false">M39*(1+'3. Assumptions'!$B$19+'3. Assumptions'!$B$20+'3. Assumptions'!$B$22)</f>
        <v>1028889.53572792</v>
      </c>
      <c r="O39" s="31" t="n">
        <f aca="false">'6. Income and costs'!$B$39+'3. Assumptions'!$B$31*L39*12+M39*('3. Assumptions'!$B$20*(1-'3. Assumptions'!$B$21)+'3. Assumptions'!$B$33)+N39*('3. Assumptions'!$B$26+'3. Assumptions'!$B$32)</f>
        <v>577149.828454771</v>
      </c>
      <c r="P39" s="31" t="n">
        <f aca="false">N39-O39</f>
        <v>451739.707273148</v>
      </c>
    </row>
    <row r="40" customFormat="false" ht="15" hidden="false" customHeight="false" outlineLevel="0" collapsed="false">
      <c r="A40" s="53" t="n">
        <f aca="false">18*0.0025</f>
        <v>0.045</v>
      </c>
      <c r="B40" s="53" t="n">
        <f aca="false">IF(A40&gt;0,MIN('3. Assumptions'!$B$16,'3. Assumptions'!$B$13*(A40/'3. Assumptions'!$B$15)^'3. Assumptions'!$B$14),0)</f>
        <v>0.00710686461174531</v>
      </c>
      <c r="C40" s="34" t="n">
        <f aca="false">(1-'3. Assumptions'!$B$12-B40)*(1-'3. Assumptions'!$B$12)^('3. Assumptions'!$B$8-1)</f>
        <v>0.656699884161926</v>
      </c>
      <c r="D40" s="34" t="n">
        <f aca="false">1+(1-'3. Assumptions'!$B$12-B40)*(1-(1-'3. Assumptions'!$B$12)^('3. Assumptions'!$B$8-1))/'3. Assumptions'!$B$12</f>
        <v>5.055537612426</v>
      </c>
      <c r="E40" s="34" t="n">
        <f aca="false">(1-'3. Assumptions'!$B$11)*(1-'3. Assumptions'!$B$12)^('3. Assumptions'!$B$7-1)</f>
        <v>0.690273454655712</v>
      </c>
      <c r="F40" s="34" t="n">
        <f aca="false">1+(1-'3. Assumptions'!$B$11)*(1-(1-'3. Assumptions'!$B$12)^('3. Assumptions'!$B$7-1))/'3. Assumptions'!$B$12</f>
        <v>4.28912098262087</v>
      </c>
      <c r="G4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0" s="34" t="n">
        <f aca="false">IF(A40&lt;=0,0,MAX(0,ROUNDUP(LN('3. Assumptions'!$B$10)/LN(1+A40)-0.000000000001,0)-1))</f>
        <v>10</v>
      </c>
      <c r="I40" s="34" t="n">
        <f aca="false">IF(A40&lt;=0,1/(1-C40),(1+A40)*(1-(C40*(1+A40))^H40)/(1-C40*(1+A40))+'3. Assumptions'!$B$10*C40^H40/(1-C40))</f>
        <v>3.32392636979405</v>
      </c>
      <c r="J40" s="45" t="n">
        <f aca="false">F40+E40*D40/(1-C40)</f>
        <v>14.4542891601847</v>
      </c>
      <c r="K40" s="34" t="n">
        <f aca="false">F40-G40+E40*D40*I40</f>
        <v>15.0040612563468</v>
      </c>
      <c r="L40" s="45" t="n">
        <f aca="false">'3. Assumptions'!$B$17*'2. The tape'!$B$11/J40</f>
        <v>32.4913937167974</v>
      </c>
      <c r="M40" s="31" t="n">
        <f aca="false">L40*'2. The tape'!$B$15*'2. The tape'!$D$11*K40</f>
        <v>935042.056472598</v>
      </c>
      <c r="N40" s="31" t="n">
        <f aca="false">M40*(1+'3. Assumptions'!$B$19+'3. Assumptions'!$B$20+'3. Assumptions'!$B$22)</f>
        <v>1034156.51445869</v>
      </c>
      <c r="O40" s="31" t="n">
        <f aca="false">'6. Income and costs'!$B$39+'3. Assumptions'!$B$31*L40*12+M40*('3. Assumptions'!$B$20*(1-'3. Assumptions'!$B$21)+'3. Assumptions'!$B$33)+N40*('3. Assumptions'!$B$26+'3. Assumptions'!$B$32)</f>
        <v>577754.788017709</v>
      </c>
      <c r="P40" s="31" t="n">
        <f aca="false">N40-O40</f>
        <v>456401.726440984</v>
      </c>
    </row>
    <row r="41" customFormat="false" ht="15" hidden="false" customHeight="false" outlineLevel="0" collapsed="false">
      <c r="A41" s="53" t="n">
        <f aca="false">19*0.0025</f>
        <v>0.0475</v>
      </c>
      <c r="B41" s="53" t="n">
        <f aca="false">IF(A41&gt;0,MIN('3. Assumptions'!$B$16,'3. Assumptions'!$B$13*(A41/'3. Assumptions'!$B$15)^'3. Assumptions'!$B$14),0)</f>
        <v>0.00809156769984548</v>
      </c>
      <c r="C41" s="34" t="n">
        <f aca="false">(1-'3. Assumptions'!$B$12-B41)*(1-'3. Assumptions'!$B$12)^('3. Assumptions'!$B$8-1)</f>
        <v>0.656001849624333</v>
      </c>
      <c r="D41" s="34" t="n">
        <f aca="false">1+(1-'3. Assumptions'!$B$12-B41)*(1-(1-'3. Assumptions'!$B$12)^('3. Assumptions'!$B$8-1))/'3. Assumptions'!$B$12</f>
        <v>5.05122680715521</v>
      </c>
      <c r="E41" s="34" t="n">
        <f aca="false">(1-'3. Assumptions'!$B$11)*(1-'3. Assumptions'!$B$12)^('3. Assumptions'!$B$7-1)</f>
        <v>0.690273454655712</v>
      </c>
      <c r="F41" s="34" t="n">
        <f aca="false">1+(1-'3. Assumptions'!$B$11)*(1-(1-'3. Assumptions'!$B$12)^('3. Assumptions'!$B$7-1))/'3. Assumptions'!$B$12</f>
        <v>4.28912098262087</v>
      </c>
      <c r="G4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1" s="34" t="n">
        <f aca="false">IF(A41&lt;=0,0,MAX(0,ROUNDUP(LN('3. Assumptions'!$B$10)/LN(1+A41)-0.000000000001,0)-1))</f>
        <v>10</v>
      </c>
      <c r="I41" s="34" t="n">
        <f aca="false">IF(A41&lt;=0,1/(1-C41),(1+A41)*(1-(C41*(1+A41))^H41)/(1-C41*(1+A41))+'3. Assumptions'!$B$10*C41^H41/(1-C41))</f>
        <v>3.33928116784155</v>
      </c>
      <c r="J41" s="45" t="n">
        <f aca="false">F41+E41*D41/(1-C41)</f>
        <v>14.4250120466189</v>
      </c>
      <c r="K41" s="34" t="n">
        <f aca="false">F41-G41+E41*D41*I41</f>
        <v>15.0477084674271</v>
      </c>
      <c r="L41" s="45" t="n">
        <f aca="false">'3. Assumptions'!$B$17*'2. The tape'!$B$11/J41</f>
        <v>32.5573384952618</v>
      </c>
      <c r="M41" s="31" t="n">
        <f aca="false">L41*'2. The tape'!$B$15*'2. The tape'!$D$11*K41</f>
        <v>939665.407637876</v>
      </c>
      <c r="N41" s="31" t="n">
        <f aca="false">M41*(1+'3. Assumptions'!$B$19+'3. Assumptions'!$B$20+'3. Assumptions'!$B$22)</f>
        <v>1039269.94084749</v>
      </c>
      <c r="O41" s="31" t="n">
        <f aca="false">'6. Income and costs'!$B$39+'3. Assumptions'!$B$31*L41*12+M41*('3. Assumptions'!$B$20*(1-'3. Assumptions'!$B$21)+'3. Assumptions'!$B$33)+N41*('3. Assumptions'!$B$26+'3. Assumptions'!$B$32)</f>
        <v>578352.280721988</v>
      </c>
      <c r="P41" s="31" t="n">
        <f aca="false">N41-O41</f>
        <v>460917.660125503</v>
      </c>
    </row>
    <row r="42" customFormat="false" ht="15" hidden="false" customHeight="false" outlineLevel="0" collapsed="false">
      <c r="A42" s="53" t="n">
        <f aca="false">20*0.0025</f>
        <v>0.05</v>
      </c>
      <c r="B42" s="53" t="n">
        <f aca="false">IF(A42&gt;0,MIN('3. Assumptions'!$B$16,'3. Assumptions'!$B$13*(A42/'3. Assumptions'!$B$15)^'3. Assumptions'!$B$14),0)</f>
        <v>0.00915157871218518</v>
      </c>
      <c r="C42" s="34" t="n">
        <f aca="false">(1-'3. Assumptions'!$B$12-B42)*(1-'3. Assumptions'!$B$12)^('3. Assumptions'!$B$8-1)</f>
        <v>0.65525043094211</v>
      </c>
      <c r="D42" s="34" t="n">
        <f aca="false">1+(1-'3. Assumptions'!$B$12-B42)*(1-(1-'3. Assumptions'!$B$12)^('3. Assumptions'!$B$8-1))/'3. Assumptions'!$B$12</f>
        <v>5.04658632098804</v>
      </c>
      <c r="E42" s="34" t="n">
        <f aca="false">(1-'3. Assumptions'!$B$11)*(1-'3. Assumptions'!$B$12)^('3. Assumptions'!$B$7-1)</f>
        <v>0.690273454655712</v>
      </c>
      <c r="F42" s="34" t="n">
        <f aca="false">1+(1-'3. Assumptions'!$B$11)*(1-(1-'3. Assumptions'!$B$12)^('3. Assumptions'!$B$7-1))/'3. Assumptions'!$B$12</f>
        <v>4.28912098262087</v>
      </c>
      <c r="G4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2" s="34" t="n">
        <f aca="false">IF(A42&lt;=0,0,MAX(0,ROUNDUP(LN('3. Assumptions'!$B$10)/LN(1+A42)-0.000000000001,0)-1))</f>
        <v>9</v>
      </c>
      <c r="I42" s="34" t="n">
        <f aca="false">IF(A42&lt;=0,1/(1-C42),(1+A42)*(1-(C42*(1+A42))^H42)/(1-C42*(1+A42))+'3. Assumptions'!$B$10*C42^H42/(1-C42))</f>
        <v>3.35390152333429</v>
      </c>
      <c r="J42" s="45" t="n">
        <f aca="false">F42+E42*D42/(1-C42)</f>
        <v>14.3936283893342</v>
      </c>
      <c r="K42" s="34" t="n">
        <f aca="false">F42-G42+E42*D42*I42</f>
        <v>15.0879424348774</v>
      </c>
      <c r="L42" s="45" t="n">
        <f aca="false">'3. Assumptions'!$B$17*'2. The tape'!$B$11/J42</f>
        <v>32.6283260409868</v>
      </c>
      <c r="M42" s="31" t="n">
        <f aca="false">L42*'2. The tape'!$B$15*'2. The tape'!$D$11*K42</f>
        <v>944232.158651089</v>
      </c>
      <c r="N42" s="31" t="n">
        <f aca="false">M42*(1+'3. Assumptions'!$B$19+'3. Assumptions'!$B$20+'3. Assumptions'!$B$22)</f>
        <v>1044320.7674681</v>
      </c>
      <c r="O42" s="31" t="n">
        <f aca="false">'6. Income and costs'!$B$39+'3. Assumptions'!$B$31*L42*12+M42*('3. Assumptions'!$B$20*(1-'3. Assumptions'!$B$21)+'3. Assumptions'!$B$33)+N42*('3. Assumptions'!$B$26+'3. Assumptions'!$B$32)</f>
        <v>578951.320669039</v>
      </c>
      <c r="P42" s="31" t="n">
        <f aca="false">N42-O42</f>
        <v>465369.446799065</v>
      </c>
    </row>
    <row r="43" customFormat="false" ht="15" hidden="false" customHeight="false" outlineLevel="0" collapsed="false">
      <c r="A43" s="53" t="n">
        <f aca="false">21*0.0025</f>
        <v>0.0525</v>
      </c>
      <c r="B43" s="53" t="n">
        <f aca="false">IF(A43&gt;0,MIN('3. Assumptions'!$B$16,'3. Assumptions'!$B$13*(A43/'3. Assumptions'!$B$15)^'3. Assumptions'!$B$14),0)</f>
        <v>0.0102884591407107</v>
      </c>
      <c r="C43" s="34" t="n">
        <f aca="false">(1-'3. Assumptions'!$B$12-B43)*(1-'3. Assumptions'!$B$12)^('3. Assumptions'!$B$8-1)</f>
        <v>0.65444452120768</v>
      </c>
      <c r="D43" s="34" t="n">
        <f aca="false">1+(1-'3. Assumptions'!$B$12-B43)*(1-(1-'3. Assumptions'!$B$12)^('3. Assumptions'!$B$8-1))/'3. Assumptions'!$B$12</f>
        <v>5.04160931806931</v>
      </c>
      <c r="E43" s="34" t="n">
        <f aca="false">(1-'3. Assumptions'!$B$11)*(1-'3. Assumptions'!$B$12)^('3. Assumptions'!$B$7-1)</f>
        <v>0.690273454655712</v>
      </c>
      <c r="F43" s="34" t="n">
        <f aca="false">1+(1-'3. Assumptions'!$B$11)*(1-(1-'3. Assumptions'!$B$12)^('3. Assumptions'!$B$7-1))/'3. Assumptions'!$B$12</f>
        <v>4.28912098262087</v>
      </c>
      <c r="G4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3" s="34" t="n">
        <f aca="false">IF(A43&lt;=0,0,MAX(0,ROUNDUP(LN('3. Assumptions'!$B$10)/LN(1+A43)-0.000000000001,0)-1))</f>
        <v>9</v>
      </c>
      <c r="I43" s="34" t="n">
        <f aca="false">IF(A43&lt;=0,1/(1-C43),(1+A43)*(1-(C43*(1+A43))^H43)/(1-C43*(1+A43))+'3. Assumptions'!$B$10*C43^H43/(1-C43))</f>
        <v>3.36729840796732</v>
      </c>
      <c r="J43" s="45" t="n">
        <f aca="false">F43+E43*D43/(1-C43)</f>
        <v>14.3601205603752</v>
      </c>
      <c r="K43" s="34" t="n">
        <f aca="false">F43-G43+E43*D43*I43</f>
        <v>15.1230424816071</v>
      </c>
      <c r="L43" s="45" t="n">
        <f aca="false">'3. Assumptions'!$B$17*'2. The tape'!$B$11/J43</f>
        <v>32.7044608034775</v>
      </c>
      <c r="M43" s="31" t="n">
        <f aca="false">L43*'2. The tape'!$B$15*'2. The tape'!$D$11*K43</f>
        <v>948637.178288868</v>
      </c>
      <c r="N43" s="31" t="n">
        <f aca="false">M43*(1+'3. Assumptions'!$B$19+'3. Assumptions'!$B$20+'3. Assumptions'!$B$22)</f>
        <v>1049192.71918749</v>
      </c>
      <c r="O43" s="31" t="n">
        <f aca="false">'6. Income and costs'!$B$39+'3. Assumptions'!$B$31*L43*12+M43*('3. Assumptions'!$B$20*(1-'3. Assumptions'!$B$21)+'3. Assumptions'!$B$33)+N43*('3. Assumptions'!$B$26+'3. Assumptions'!$B$32)</f>
        <v>579540.75112418</v>
      </c>
      <c r="P43" s="31" t="n">
        <f aca="false">N43-O43</f>
        <v>469651.968063308</v>
      </c>
    </row>
    <row r="44" customFormat="false" ht="15" hidden="false" customHeight="false" outlineLevel="0" collapsed="false">
      <c r="A44" s="53" t="n">
        <f aca="false">22*0.0025</f>
        <v>0.055</v>
      </c>
      <c r="B44" s="53" t="n">
        <f aca="false">IF(A44&gt;0,MIN('3. Assumptions'!$B$16,'3. Assumptions'!$B$13*(A44/'3. Assumptions'!$B$15)^'3. Assumptions'!$B$14),0)</f>
        <v>0.0115037242732142</v>
      </c>
      <c r="C44" s="34" t="n">
        <f aca="false">(1-'3. Assumptions'!$B$12-B44)*(1-'3. Assumptions'!$B$12)^('3. Assumptions'!$B$8-1)</f>
        <v>0.653583046266583</v>
      </c>
      <c r="D44" s="34" t="n">
        <f aca="false">1+(1-'3. Assumptions'!$B$12-B44)*(1-(1-'3. Assumptions'!$B$12)^('3. Assumptions'!$B$8-1))/'3. Assumptions'!$B$12</f>
        <v>5.03628916481507</v>
      </c>
      <c r="E44" s="34" t="n">
        <f aca="false">(1-'3. Assumptions'!$B$11)*(1-'3. Assumptions'!$B$12)^('3. Assumptions'!$B$7-1)</f>
        <v>0.690273454655712</v>
      </c>
      <c r="F44" s="34" t="n">
        <f aca="false">1+(1-'3. Assumptions'!$B$11)*(1-(1-'3. Assumptions'!$B$12)^('3. Assumptions'!$B$7-1))/'3. Assumptions'!$B$12</f>
        <v>4.28912098262087</v>
      </c>
      <c r="G4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4" s="34" t="n">
        <f aca="false">IF(A44&lt;=0,0,MAX(0,ROUNDUP(LN('3. Assumptions'!$B$10)/LN(1+A44)-0.000000000001,0)-1))</f>
        <v>9</v>
      </c>
      <c r="I44" s="34" t="n">
        <f aca="false">IF(A44&lt;=0,1/(1-C44),(1+A44)*(1-(C44*(1+A44))^H44)/(1-C44*(1+A44))+'3. Assumptions'!$B$10*C44^H44/(1-C44))</f>
        <v>3.38011334286304</v>
      </c>
      <c r="J44" s="45" t="n">
        <f aca="false">F44+E44*D44/(1-C44)</f>
        <v>14.3244748617422</v>
      </c>
      <c r="K44" s="34" t="n">
        <f aca="false">F44-G44+E44*D44*I44</f>
        <v>15.1552266016622</v>
      </c>
      <c r="L44" s="45" t="n">
        <f aca="false">'3. Assumptions'!$B$17*'2. The tape'!$B$11/J44</f>
        <v>32.7858441257288</v>
      </c>
      <c r="M44" s="31" t="n">
        <f aca="false">L44*'2. The tape'!$B$15*'2. The tape'!$D$11*K44</f>
        <v>953021.678845365</v>
      </c>
      <c r="N44" s="31" t="n">
        <f aca="false">M44*(1+'3. Assumptions'!$B$19+'3. Assumptions'!$B$20+'3. Assumptions'!$B$22)</f>
        <v>1054041.97680297</v>
      </c>
      <c r="O44" s="31" t="n">
        <f aca="false">'6. Income and costs'!$B$39+'3. Assumptions'!$B$31*L44*12+M44*('3. Assumptions'!$B$20*(1-'3. Assumptions'!$B$21)+'3. Assumptions'!$B$33)+N44*('3. Assumptions'!$B$26+'3. Assumptions'!$B$32)</f>
        <v>580135.923860649</v>
      </c>
      <c r="P44" s="31" t="n">
        <f aca="false">N44-O44</f>
        <v>473906.052942324</v>
      </c>
    </row>
    <row r="45" customFormat="false" ht="15" hidden="false" customHeight="false" outlineLevel="0" collapsed="false">
      <c r="A45" s="53" t="n">
        <f aca="false">23*0.0025</f>
        <v>0.0575</v>
      </c>
      <c r="B45" s="53" t="n">
        <f aca="false">IF(A45&gt;0,MIN('3. Assumptions'!$B$16,'3. Assumptions'!$B$13*(A45/'3. Assumptions'!$B$15)^'3. Assumptions'!$B$14),0)</f>
        <v>0.0127988466699508</v>
      </c>
      <c r="C45" s="34" t="n">
        <f aca="false">(1-'3. Assumptions'!$B$12-B45)*(1-'3. Assumptions'!$B$12)^('3. Assumptions'!$B$8-1)</f>
        <v>0.652664962252979</v>
      </c>
      <c r="D45" s="34" t="n">
        <f aca="false">1+(1-'3. Assumptions'!$B$12-B45)*(1-(1-'3. Assumptions'!$B$12)^('3. Assumptions'!$B$8-1))/'3. Assumptions'!$B$12</f>
        <v>5.03061941469278</v>
      </c>
      <c r="E45" s="34" t="n">
        <f aca="false">(1-'3. Assumptions'!$B$11)*(1-'3. Assumptions'!$B$12)^('3. Assumptions'!$B$7-1)</f>
        <v>0.690273454655712</v>
      </c>
      <c r="F45" s="34" t="n">
        <f aca="false">1+(1-'3. Assumptions'!$B$11)*(1-(1-'3. Assumptions'!$B$12)^('3. Assumptions'!$B$7-1))/'3. Assumptions'!$B$12</f>
        <v>4.28912098262087</v>
      </c>
      <c r="G4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5" s="34" t="n">
        <f aca="false">IF(A45&lt;=0,0,MAX(0,ROUNDUP(LN('3. Assumptions'!$B$10)/LN(1+A45)-0.000000000001,0)-1))</f>
        <v>8</v>
      </c>
      <c r="I45" s="34" t="n">
        <f aca="false">IF(A45&lt;=0,1/(1-C45),(1+A45)*(1-(C45*(1+A45))^H45)/(1-C45*(1+A45))+'3. Assumptions'!$B$10*C45^H45/(1-C45))</f>
        <v>3.3912073348061</v>
      </c>
      <c r="J45" s="45" t="n">
        <f aca="false">F45+E45*D45/(1-C45)</f>
        <v>14.2866814503536</v>
      </c>
      <c r="K45" s="34" t="n">
        <f aca="false">F45-G45+E45*D45*I45</f>
        <v>15.1805218471965</v>
      </c>
      <c r="L45" s="45" t="n">
        <f aca="false">'3. Assumptions'!$B$17*'2. The tape'!$B$11/J45</f>
        <v>32.8725744765853</v>
      </c>
      <c r="M45" s="31" t="n">
        <f aca="false">L45*'2. The tape'!$B$15*'2. The tape'!$D$11*K45</f>
        <v>957137.638779344</v>
      </c>
      <c r="N45" s="31" t="n">
        <f aca="false">M45*(1+'3. Assumptions'!$B$19+'3. Assumptions'!$B$20+'3. Assumptions'!$B$22)</f>
        <v>1058594.22848995</v>
      </c>
      <c r="O45" s="31" t="n">
        <f aca="false">'6. Income and costs'!$B$39+'3. Assumptions'!$B$31*L45*12+M45*('3. Assumptions'!$B$20*(1-'3. Assumptions'!$B$21)+'3. Assumptions'!$B$33)+N45*('3. Assumptions'!$B$26+'3. Assumptions'!$B$32)</f>
        <v>580710.294227826</v>
      </c>
      <c r="P45" s="31" t="n">
        <f aca="false">N45-O45</f>
        <v>477883.934262129</v>
      </c>
    </row>
    <row r="46" customFormat="false" ht="15" hidden="false" customHeight="false" outlineLevel="0" collapsed="false">
      <c r="A46" s="53" t="n">
        <f aca="false">24*0.0025</f>
        <v>0.06</v>
      </c>
      <c r="B46" s="53" t="n">
        <f aca="false">IF(A46&gt;0,MIN('3. Assumptions'!$B$16,'3. Assumptions'!$B$13*(A46/'3. Assumptions'!$B$15)^'3. Assumptions'!$B$14),0)</f>
        <v>0.0141752592340216</v>
      </c>
      <c r="C46" s="34" t="n">
        <f aca="false">(1-'3. Assumptions'!$B$12-B46)*(1-'3. Assumptions'!$B$12)^('3. Assumptions'!$B$8-1)</f>
        <v>0.651689253413119</v>
      </c>
      <c r="D46" s="34" t="n">
        <f aca="false">1+(1-'3. Assumptions'!$B$12-B46)*(1-(1-'3. Assumptions'!$B$12)^('3. Assumptions'!$B$8-1))/'3. Assumptions'!$B$12</f>
        <v>5.02459379477984</v>
      </c>
      <c r="E46" s="34" t="n">
        <f aca="false">(1-'3. Assumptions'!$B$11)*(1-'3. Assumptions'!$B$12)^('3. Assumptions'!$B$7-1)</f>
        <v>0.690273454655712</v>
      </c>
      <c r="F46" s="34" t="n">
        <f aca="false">1+(1-'3. Assumptions'!$B$11)*(1-(1-'3. Assumptions'!$B$12)^('3. Assumptions'!$B$7-1))/'3. Assumptions'!$B$12</f>
        <v>4.28912098262087</v>
      </c>
      <c r="G4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6" s="34" t="n">
        <f aca="false">IF(A46&lt;=0,0,MAX(0,ROUNDUP(LN('3. Assumptions'!$B$10)/LN(1+A46)-0.000000000001,0)-1))</f>
        <v>8</v>
      </c>
      <c r="I46" s="34" t="n">
        <f aca="false">IF(A46&lt;=0,1/(1-C46),(1+A46)*(1-(C46*(1+A46))^H46)/(1-C46*(1+A46))+'3. Assumptions'!$B$10*C46^H46/(1-C46))</f>
        <v>3.40165329547477</v>
      </c>
      <c r="J46" s="45" t="n">
        <f aca="false">F46+E46*D46/(1-C46)</f>
        <v>14.2467342660204</v>
      </c>
      <c r="K46" s="34" t="n">
        <f aca="false">F46-G46+E46*D46*I46</f>
        <v>15.2026468941949</v>
      </c>
      <c r="L46" s="45" t="n">
        <f aca="false">'3. Assumptions'!$B$17*'2. The tape'!$B$11/J46</f>
        <v>32.9647476558982</v>
      </c>
      <c r="M46" s="31" t="n">
        <f aca="false">L46*'2. The tape'!$B$15*'2. The tape'!$D$11*K46</f>
        <v>961220.312543646</v>
      </c>
      <c r="N46" s="31" t="n">
        <f aca="false">M46*(1+'3. Assumptions'!$B$19+'3. Assumptions'!$B$20+'3. Assumptions'!$B$22)</f>
        <v>1063109.66567327</v>
      </c>
      <c r="O46" s="31" t="n">
        <f aca="false">'6. Income and costs'!$B$39+'3. Assumptions'!$B$31*L46*12+M46*('3. Assumptions'!$B$20*(1-'3. Assumptions'!$B$21)+'3. Assumptions'!$B$33)+N46*('3. Assumptions'!$B$26+'3. Assumptions'!$B$32)</f>
        <v>581289.327077426</v>
      </c>
      <c r="P46" s="31" t="n">
        <f aca="false">N46-O46</f>
        <v>481820.338595846</v>
      </c>
    </row>
    <row r="47" customFormat="false" ht="15" hidden="false" customHeight="false" outlineLevel="0" collapsed="false">
      <c r="A47" s="53" t="n">
        <f aca="false">25*0.0025</f>
        <v>0.0625</v>
      </c>
      <c r="B47" s="53" t="n">
        <f aca="false">IF(A47&gt;0,MIN('3. Assumptions'!$B$16,'3. Assumptions'!$B$13*(A47/'3. Assumptions'!$B$15)^'3. Assumptions'!$B$14),0)</f>
        <v>0.015634357938453</v>
      </c>
      <c r="C47" s="34" t="n">
        <f aca="false">(1-'3. Assumptions'!$B$12-B47)*(1-'3. Assumptions'!$B$12)^('3. Assumptions'!$B$8-1)</f>
        <v>0.650654930172177</v>
      </c>
      <c r="D47" s="34" t="n">
        <f aca="false">1+(1-'3. Assumptions'!$B$12-B47)*(1-(1-'3. Assumptions'!$B$12)^('3. Assumptions'!$B$8-1))/'3. Assumptions'!$B$12</f>
        <v>5.01820619382511</v>
      </c>
      <c r="E47" s="34" t="n">
        <f aca="false">(1-'3. Assumptions'!$B$11)*(1-'3. Assumptions'!$B$12)^('3. Assumptions'!$B$7-1)</f>
        <v>0.690273454655712</v>
      </c>
      <c r="F47" s="34" t="n">
        <f aca="false">1+(1-'3. Assumptions'!$B$11)*(1-(1-'3. Assumptions'!$B$12)^('3. Assumptions'!$B$7-1))/'3. Assumptions'!$B$12</f>
        <v>4.28912098262087</v>
      </c>
      <c r="G4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7" s="34" t="n">
        <f aca="false">IF(A47&lt;=0,0,MAX(0,ROUNDUP(LN('3. Assumptions'!$B$10)/LN(1+A47)-0.000000000001,0)-1))</f>
        <v>7</v>
      </c>
      <c r="I47" s="34" t="n">
        <f aca="false">IF(A47&lt;=0,1/(1-C47),(1+A47)*(1-(C47*(1+A47))^H47)/(1-C47*(1+A47))+'3. Assumptions'!$B$10*C47^H47/(1-C47))</f>
        <v>3.41125808458978</v>
      </c>
      <c r="J47" s="45" t="n">
        <f aca="false">F47+E47*D47/(1-C47)</f>
        <v>14.204630960459</v>
      </c>
      <c r="K47" s="34" t="n">
        <f aca="false">F47-G47+E47*D47*I47</f>
        <v>15.22091871444</v>
      </c>
      <c r="L47" s="45" t="n">
        <f aca="false">'3. Assumptions'!$B$17*'2. The tape'!$B$11/J47</f>
        <v>33.0624569766945</v>
      </c>
      <c r="M47" s="31" t="n">
        <f aca="false">L47*'2. The tape'!$B$15*'2. The tape'!$D$11*K47</f>
        <v>965228.122043393</v>
      </c>
      <c r="N47" s="31" t="n">
        <f aca="false">M47*(1+'3. Assumptions'!$B$19+'3. Assumptions'!$B$20+'3. Assumptions'!$B$22)</f>
        <v>1067542.30297999</v>
      </c>
      <c r="O47" s="31" t="n">
        <f aca="false">'6. Income and costs'!$B$39+'3. Assumptions'!$B$31*L47*12+M47*('3. Assumptions'!$B$20*(1-'3. Assumptions'!$B$21)+'3. Assumptions'!$B$33)+N47*('3. Assumptions'!$B$26+'3. Assumptions'!$B$32)</f>
        <v>581868.688837432</v>
      </c>
      <c r="P47" s="31" t="n">
        <f aca="false">N47-O47</f>
        <v>485673.614142561</v>
      </c>
    </row>
    <row r="48" customFormat="false" ht="15" hidden="false" customHeight="false" outlineLevel="0" collapsed="false">
      <c r="A48" s="53" t="n">
        <f aca="false">26*0.0025</f>
        <v>0.065</v>
      </c>
      <c r="B48" s="53" t="n">
        <f aca="false">IF(A48&gt;0,MIN('3. Assumptions'!$B$16,'3. Assumptions'!$B$13*(A48/'3. Assumptions'!$B$15)^'3. Assumptions'!$B$14),0)</f>
        <v>0.0171775042609547</v>
      </c>
      <c r="C48" s="34" t="n">
        <f aca="false">(1-'3. Assumptions'!$B$12-B48)*(1-'3. Assumptions'!$B$12)^('3. Assumptions'!$B$8-1)</f>
        <v>0.649561027408307</v>
      </c>
      <c r="D48" s="34" t="n">
        <f aca="false">1+(1-'3. Assumptions'!$B$12-B48)*(1-(1-'3. Assumptions'!$B$12)^('3. Assumptions'!$B$8-1))/'3. Assumptions'!$B$12</f>
        <v>5.01145065159005</v>
      </c>
      <c r="E48" s="34" t="n">
        <f aca="false">(1-'3. Assumptions'!$B$11)*(1-'3. Assumptions'!$B$12)^('3. Assumptions'!$B$7-1)</f>
        <v>0.690273454655712</v>
      </c>
      <c r="F48" s="34" t="n">
        <f aca="false">1+(1-'3. Assumptions'!$B$11)*(1-(1-'3. Assumptions'!$B$12)^('3. Assumptions'!$B$7-1))/'3. Assumptions'!$B$12</f>
        <v>4.28912098262087</v>
      </c>
      <c r="G4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8" s="34" t="n">
        <f aca="false">IF(A48&lt;=0,0,MAX(0,ROUNDUP(LN('3. Assumptions'!$B$10)/LN(1+A48)-0.000000000001,0)-1))</f>
        <v>7</v>
      </c>
      <c r="I48" s="34" t="n">
        <f aca="false">IF(A48&lt;=0,1/(1-C48),(1+A48)*(1-(C48*(1+A48))^H48)/(1-C48*(1+A48))+'3. Assumptions'!$B$10*C48^H48/(1-C48))</f>
        <v>3.41891510168017</v>
      </c>
      <c r="J48" s="45" t="n">
        <f aca="false">F48+E48*D48/(1-C48)</f>
        <v>14.1603728257776</v>
      </c>
      <c r="K48" s="34" t="n">
        <f aca="false">F48-G48+E48*D48*I48</f>
        <v>15.2314991329191</v>
      </c>
      <c r="L48" s="45" t="n">
        <f aca="false">'3. Assumptions'!$B$17*'2. The tape'!$B$11/J48</f>
        <v>33.1657934277738</v>
      </c>
      <c r="M48" s="31" t="n">
        <f aca="false">L48*'2. The tape'!$B$15*'2. The tape'!$D$11*K48</f>
        <v>968917.984820993</v>
      </c>
      <c r="N48" s="31" t="n">
        <f aca="false">M48*(1+'3. Assumptions'!$B$19+'3. Assumptions'!$B$20+'3. Assumptions'!$B$22)</f>
        <v>1071623.29121202</v>
      </c>
      <c r="O48" s="31" t="n">
        <f aca="false">'6. Income and costs'!$B$39+'3. Assumptions'!$B$31*L48*12+M48*('3. Assumptions'!$B$20*(1-'3. Assumptions'!$B$21)+'3. Assumptions'!$B$33)+N48*('3. Assumptions'!$B$26+'3. Assumptions'!$B$32)</f>
        <v>582422.355104963</v>
      </c>
      <c r="P48" s="31" t="n">
        <f aca="false">N48-O48</f>
        <v>489200.936107055</v>
      </c>
    </row>
    <row r="49" customFormat="false" ht="15" hidden="false" customHeight="false" outlineLevel="0" collapsed="false">
      <c r="A49" s="53" t="n">
        <f aca="false">27*0.0025</f>
        <v>0.0675</v>
      </c>
      <c r="B49" s="53" t="n">
        <f aca="false">IF(A49&gt;0,MIN('3. Assumptions'!$B$16,'3. Assumptions'!$B$13*(A49/'3. Assumptions'!$B$15)^'3. Assumptions'!$B$14),0)</f>
        <v>0.0188060273680424</v>
      </c>
      <c r="C49" s="34" t="n">
        <f aca="false">(1-'3. Assumptions'!$B$12-B49)*(1-'3. Assumptions'!$B$12)^('3. Assumptions'!$B$8-1)</f>
        <v>0.648406602904361</v>
      </c>
      <c r="D49" s="34" t="n">
        <f aca="false">1+(1-'3. Assumptions'!$B$12-B49)*(1-(1-'3. Assumptions'!$B$12)^('3. Assumptions'!$B$8-1))/'3. Assumptions'!$B$12</f>
        <v>5.00432134928717</v>
      </c>
      <c r="E49" s="34" t="n">
        <f aca="false">(1-'3. Assumptions'!$B$11)*(1-'3. Assumptions'!$B$12)^('3. Assumptions'!$B$7-1)</f>
        <v>0.690273454655712</v>
      </c>
      <c r="F49" s="34" t="n">
        <f aca="false">1+(1-'3. Assumptions'!$B$11)*(1-(1-'3. Assumptions'!$B$12)^('3. Assumptions'!$B$7-1))/'3. Assumptions'!$B$12</f>
        <v>4.28912098262087</v>
      </c>
      <c r="G4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49" s="34" t="n">
        <f aca="false">IF(A49&lt;=0,0,MAX(0,ROUNDUP(LN('3. Assumptions'!$B$10)/LN(1+A49)-0.000000000001,0)-1))</f>
        <v>7</v>
      </c>
      <c r="I49" s="34" t="n">
        <f aca="false">IF(A49&lt;=0,1/(1-C49),(1+A49)*(1-(C49*(1+A49))^H49)/(1-C49*(1+A49))+'3. Assumptions'!$B$10*C49^H49/(1-C49))</f>
        <v>3.42591674156943</v>
      </c>
      <c r="J49" s="45" t="n">
        <f aca="false">F49+E49*D49/(1-C49)</f>
        <v>14.113964721197</v>
      </c>
      <c r="K49" s="34" t="n">
        <f aca="false">F49-G49+E49*D49*I49</f>
        <v>15.2388601929356</v>
      </c>
      <c r="L49" s="45" t="n">
        <f aca="false">'3. Assumptions'!$B$17*'2. The tape'!$B$11/J49</f>
        <v>33.2748458195219</v>
      </c>
      <c r="M49" s="31" t="n">
        <f aca="false">L49*'2. The tape'!$B$15*'2. The tape'!$D$11*K49</f>
        <v>972573.679639433</v>
      </c>
      <c r="N49" s="31" t="n">
        <f aca="false">M49*(1+'3. Assumptions'!$B$19+'3. Assumptions'!$B$20+'3. Assumptions'!$B$22)</f>
        <v>1075666.48968121</v>
      </c>
      <c r="O49" s="31" t="n">
        <f aca="false">'6. Income and costs'!$B$39+'3. Assumptions'!$B$31*L49*12+M49*('3. Assumptions'!$B$20*(1-'3. Assumptions'!$B$21)+'3. Assumptions'!$B$33)+N49*('3. Assumptions'!$B$26+'3. Assumptions'!$B$32)</f>
        <v>582981.002669795</v>
      </c>
      <c r="P49" s="31" t="n">
        <f aca="false">N49-O49</f>
        <v>492685.487011418</v>
      </c>
    </row>
    <row r="50" customFormat="false" ht="15" hidden="false" customHeight="false" outlineLevel="0" collapsed="false">
      <c r="A50" s="53" t="n">
        <f aca="false">28*0.0025</f>
        <v>0.07</v>
      </c>
      <c r="B50" s="53" t="n">
        <f aca="false">IF(A50&gt;0,MIN('3. Assumptions'!$B$16,'3. Assumptions'!$B$13*(A50/'3. Assumptions'!$B$15)^'3. Assumptions'!$B$14),0)</f>
        <v>0.0205212260829038</v>
      </c>
      <c r="C50" s="34" t="n">
        <f aca="false">(1-'3. Assumptions'!$B$12-B50)*(1-'3. Assumptions'!$B$12)^('3. Assumptions'!$B$8-1)</f>
        <v>0.647190735952916</v>
      </c>
      <c r="D50" s="34" t="n">
        <f aca="false">1+(1-'3. Assumptions'!$B$12-B50)*(1-(1-'3. Assumptions'!$B$12)^('3. Assumptions'!$B$8-1))/'3. Assumptions'!$B$12</f>
        <v>4.99681260096512</v>
      </c>
      <c r="E50" s="34" t="n">
        <f aca="false">(1-'3. Assumptions'!$B$11)*(1-'3. Assumptions'!$B$12)^('3. Assumptions'!$B$7-1)</f>
        <v>0.690273454655712</v>
      </c>
      <c r="F50" s="34" t="n">
        <f aca="false">1+(1-'3. Assumptions'!$B$11)*(1-(1-'3. Assumptions'!$B$12)^('3. Assumptions'!$B$7-1))/'3. Assumptions'!$B$12</f>
        <v>4.28912098262087</v>
      </c>
      <c r="G5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0" s="34" t="n">
        <f aca="false">IF(A50&lt;=0,0,MAX(0,ROUNDUP(LN('3. Assumptions'!$B$10)/LN(1+A50)-0.000000000001,0)-1))</f>
        <v>7</v>
      </c>
      <c r="I50" s="34" t="n">
        <f aca="false">IF(A50&lt;=0,1/(1-C50),(1+A50)*(1-(C50*(1+A50))^H50)/(1-C50*(1+A50))+'3. Assumptions'!$B$10*C50^H50/(1-C50))</f>
        <v>3.4322506159909</v>
      </c>
      <c r="J50" s="45" t="n">
        <f aca="false">F50+E50*D50/(1-C50)</f>
        <v>14.0654149970407</v>
      </c>
      <c r="K50" s="34" t="n">
        <f aca="false">F50-G50+E50*D50*I50</f>
        <v>15.2429499505966</v>
      </c>
      <c r="L50" s="45" t="n">
        <f aca="false">'3. Assumptions'!$B$17*'2. The tape'!$B$11/J50</f>
        <v>33.3897009152456</v>
      </c>
      <c r="M50" s="31" t="n">
        <f aca="false">L50*'2. The tape'!$B$15*'2. The tape'!$D$11*K50</f>
        <v>976192.638518381</v>
      </c>
      <c r="N50" s="31" t="n">
        <f aca="false">M50*(1+'3. Assumptions'!$B$19+'3. Assumptions'!$B$20+'3. Assumptions'!$B$22)</f>
        <v>1079669.05820133</v>
      </c>
      <c r="O50" s="31" t="n">
        <f aca="false">'6. Income and costs'!$B$39+'3. Assumptions'!$B$31*L50*12+M50*('3. Assumptions'!$B$20*(1-'3. Assumptions'!$B$21)+'3. Assumptions'!$B$33)+N50*('3. Assumptions'!$B$26+'3. Assumptions'!$B$32)</f>
        <v>583544.486579779</v>
      </c>
      <c r="P50" s="31" t="n">
        <f aca="false">N50-O50</f>
        <v>496124.571621551</v>
      </c>
    </row>
    <row r="51" customFormat="false" ht="15" hidden="false" customHeight="false" outlineLevel="0" collapsed="false">
      <c r="A51" s="53" t="n">
        <f aca="false">29*0.0025</f>
        <v>0.0725</v>
      </c>
      <c r="B51" s="53" t="n">
        <f aca="false">IF(A51&gt;0,MIN('3. Assumptions'!$B$16,'3. Assumptions'!$B$13*(A51/'3. Assumptions'!$B$15)^'3. Assumptions'!$B$14),0)</f>
        <v>0.0223243706655778</v>
      </c>
      <c r="C51" s="34" t="n">
        <f aca="false">(1-'3. Assumptions'!$B$12-B51)*(1-'3. Assumptions'!$B$12)^('3. Assumptions'!$B$8-1)</f>
        <v>0.645912526094341</v>
      </c>
      <c r="D51" s="34" t="n">
        <f aca="false">1+(1-'3. Assumptions'!$B$12-B51)*(1-(1-'3. Assumptions'!$B$12)^('3. Assumptions'!$B$8-1))/'3. Assumptions'!$B$12</f>
        <v>4.9889188457155</v>
      </c>
      <c r="E51" s="34" t="n">
        <f aca="false">(1-'3. Assumptions'!$B$11)*(1-'3. Assumptions'!$B$12)^('3. Assumptions'!$B$7-1)</f>
        <v>0.690273454655712</v>
      </c>
      <c r="F51" s="34" t="n">
        <f aca="false">1+(1-'3. Assumptions'!$B$11)*(1-(1-'3. Assumptions'!$B$12)^('3. Assumptions'!$B$7-1))/'3. Assumptions'!$B$12</f>
        <v>4.28912098262087</v>
      </c>
      <c r="G5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1" s="34" t="n">
        <f aca="false">IF(A51&lt;=0,0,MAX(0,ROUNDUP(LN('3. Assumptions'!$B$10)/LN(1+A51)-0.000000000001,0)-1))</f>
        <v>6</v>
      </c>
      <c r="I51" s="34" t="n">
        <f aca="false">IF(A51&lt;=0,1/(1-C51),(1+A51)*(1-(C51*(1+A51))^H51)/(1-C51*(1+A51))+'3. Assumptions'!$B$10*C51^H51/(1-C51))</f>
        <v>3.43701704842555</v>
      </c>
      <c r="J51" s="45" t="n">
        <f aca="false">F51+E51*D51/(1-C51)</f>
        <v>14.0147354152471</v>
      </c>
      <c r="K51" s="34" t="n">
        <f aca="false">F51-G51+E51*D51*I51</f>
        <v>15.240662383182</v>
      </c>
      <c r="L51" s="45" t="n">
        <f aca="false">'3. Assumptions'!$B$17*'2. The tape'!$B$11/J51</f>
        <v>33.5104435499413</v>
      </c>
      <c r="M51" s="31" t="n">
        <f aca="false">L51*'2. The tape'!$B$15*'2. The tape'!$D$11*K51</f>
        <v>979575.680493182</v>
      </c>
      <c r="N51" s="31" t="n">
        <f aca="false">M51*(1+'3. Assumptions'!$B$19+'3. Assumptions'!$B$20+'3. Assumptions'!$B$22)</f>
        <v>1083410.70262546</v>
      </c>
      <c r="O51" s="31" t="n">
        <f aca="false">'6. Income and costs'!$B$39+'3. Assumptions'!$B$31*L51*12+M51*('3. Assumptions'!$B$20*(1-'3. Assumptions'!$B$21)+'3. Assumptions'!$B$33)+N51*('3. Assumptions'!$B$26+'3. Assumptions'!$B$32)</f>
        <v>584091.498096035</v>
      </c>
      <c r="P51" s="31" t="n">
        <f aca="false">N51-O51</f>
        <v>499319.204529424</v>
      </c>
    </row>
    <row r="52" customFormat="false" ht="15" hidden="false" customHeight="false" outlineLevel="0" collapsed="false">
      <c r="A52" s="53" t="n">
        <f aca="false">30*0.0025</f>
        <v>0.075</v>
      </c>
      <c r="B52" s="53" t="n">
        <f aca="false">IF(A52&gt;0,MIN('3. Assumptions'!$B$16,'3. Assumptions'!$B$13*(A52/'3. Assumptions'!$B$15)^'3. Assumptions'!$B$14),0)</f>
        <v>0.0242167044293648</v>
      </c>
      <c r="C52" s="34" t="n">
        <f aca="false">(1-'3. Assumptions'!$B$12-B52)*(1-'3. Assumptions'!$B$12)^('3. Assumptions'!$B$8-1)</f>
        <v>0.644571091970961</v>
      </c>
      <c r="D52" s="34" t="n">
        <f aca="false">1+(1-'3. Assumptions'!$B$12-B52)*(1-(1-'3. Assumptions'!$B$12)^('3. Assumptions'!$B$8-1))/'3. Assumptions'!$B$12</f>
        <v>4.9806346405966</v>
      </c>
      <c r="E52" s="34" t="n">
        <f aca="false">(1-'3. Assumptions'!$B$11)*(1-'3. Assumptions'!$B$12)^('3. Assumptions'!$B$7-1)</f>
        <v>0.690273454655712</v>
      </c>
      <c r="F52" s="34" t="n">
        <f aca="false">1+(1-'3. Assumptions'!$B$11)*(1-(1-'3. Assumptions'!$B$12)^('3. Assumptions'!$B$7-1))/'3. Assumptions'!$B$12</f>
        <v>4.28912098262087</v>
      </c>
      <c r="G5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2" s="34" t="n">
        <f aca="false">IF(A52&lt;=0,0,MAX(0,ROUNDUP(LN('3. Assumptions'!$B$10)/LN(1+A52)-0.000000000001,0)-1))</f>
        <v>6</v>
      </c>
      <c r="I52" s="34" t="n">
        <f aca="false">IF(A52&lt;=0,1/(1-C52),(1+A52)*(1-(C52*(1+A52))^H52)/(1-C52*(1+A52))+'3. Assumptions'!$B$10*C52^H52/(1-C52))</f>
        <v>3.44006880532907</v>
      </c>
      <c r="J52" s="45" t="n">
        <f aca="false">F52+E52*D52/(1-C52)</f>
        <v>13.9619410658473</v>
      </c>
      <c r="K52" s="34" t="n">
        <f aca="false">F52-G52+E52*D52*I52</f>
        <v>15.2315001985713</v>
      </c>
      <c r="L52" s="45" t="n">
        <f aca="false">'3. Assumptions'!$B$17*'2. The tape'!$B$11/J52</f>
        <v>33.6371567380985</v>
      </c>
      <c r="M52" s="31" t="n">
        <f aca="false">L52*'2. The tape'!$B$15*'2. The tape'!$D$11*K52</f>
        <v>982688.6389133</v>
      </c>
      <c r="N52" s="31" t="n">
        <f aca="false">M52*(1+'3. Assumptions'!$B$19+'3. Assumptions'!$B$20+'3. Assumptions'!$B$22)</f>
        <v>1086853.63463811</v>
      </c>
      <c r="O52" s="31" t="n">
        <f aca="false">'6. Income and costs'!$B$39+'3. Assumptions'!$B$31*L52*12+M52*('3. Assumptions'!$B$20*(1-'3. Assumptions'!$B$21)+'3. Assumptions'!$B$33)+N52*('3. Assumptions'!$B$26+'3. Assumptions'!$B$32)</f>
        <v>584618.485717506</v>
      </c>
      <c r="P52" s="31" t="n">
        <f aca="false">N52-O52</f>
        <v>502235.148920603</v>
      </c>
    </row>
    <row r="53" customFormat="false" ht="15" hidden="false" customHeight="false" outlineLevel="0" collapsed="false">
      <c r="A53" s="53" t="n">
        <f aca="false">31*0.0025</f>
        <v>0.0775</v>
      </c>
      <c r="B53" s="53" t="n">
        <f aca="false">IF(A53&gt;0,MIN('3. Assumptions'!$B$16,'3. Assumptions'!$B$13*(A53/'3. Assumptions'!$B$15)^'3. Assumptions'!$B$14),0)</f>
        <v>0.0261994452136223</v>
      </c>
      <c r="C53" s="34" t="n">
        <f aca="false">(1-'3. Assumptions'!$B$12-B53)*(1-'3. Assumptions'!$B$12)^('3. Assumptions'!$B$8-1)</f>
        <v>0.643165570283024</v>
      </c>
      <c r="D53" s="34" t="n">
        <f aca="false">1+(1-'3. Assumptions'!$B$12-B53)*(1-(1-'3. Assumptions'!$B$12)^('3. Assumptions'!$B$8-1))/'3. Assumptions'!$B$12</f>
        <v>4.97195465418578</v>
      </c>
      <c r="E53" s="34" t="n">
        <f aca="false">(1-'3. Assumptions'!$B$11)*(1-'3. Assumptions'!$B$12)^('3. Assumptions'!$B$7-1)</f>
        <v>0.690273454655712</v>
      </c>
      <c r="F53" s="34" t="n">
        <f aca="false">1+(1-'3. Assumptions'!$B$11)*(1-(1-'3. Assumptions'!$B$12)^('3. Assumptions'!$B$7-1))/'3. Assumptions'!$B$12</f>
        <v>4.28912098262087</v>
      </c>
      <c r="G5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3" s="34" t="n">
        <f aca="false">IF(A53&lt;=0,0,MAX(0,ROUNDUP(LN('3. Assumptions'!$B$10)/LN(1+A53)-0.000000000001,0)-1))</f>
        <v>6</v>
      </c>
      <c r="I53" s="34" t="n">
        <f aca="false">IF(A53&lt;=0,1/(1-C53),(1+A53)*(1-(C53*(1+A53))^H53)/(1-C53*(1+A53))+'3. Assumptions'!$B$10*C53^H53/(1-C53))</f>
        <v>3.44244399273613</v>
      </c>
      <c r="J53" s="45" t="n">
        <f aca="false">F53+E53*D53/(1-C53)</f>
        <v>13.9070502790132</v>
      </c>
      <c r="K53" s="34" t="n">
        <f aca="false">F53-G53+E53*D53*I53</f>
        <v>15.2190404683825</v>
      </c>
      <c r="L53" s="45" t="n">
        <f aca="false">'3. Assumptions'!$B$17*'2. The tape'!$B$11/J53</f>
        <v>33.7699217718888</v>
      </c>
      <c r="M53" s="31" t="n">
        <f aca="false">L53*'2. The tape'!$B$15*'2. The tape'!$D$11*K53</f>
        <v>985760.251348227</v>
      </c>
      <c r="N53" s="31" t="n">
        <f aca="false">M53*(1+'3. Assumptions'!$B$19+'3. Assumptions'!$B$20+'3. Assumptions'!$B$22)</f>
        <v>1090250.83799114</v>
      </c>
      <c r="O53" s="31" t="n">
        <f aca="false">'6. Income and costs'!$B$39+'3. Assumptions'!$B$31*L53*12+M53*('3. Assumptions'!$B$20*(1-'3. Assumptions'!$B$21)+'3. Assumptions'!$B$33)+N53*('3. Assumptions'!$B$26+'3. Assumptions'!$B$32)</f>
        <v>585150.190926601</v>
      </c>
      <c r="P53" s="31" t="n">
        <f aca="false">N53-O53</f>
        <v>505100.647064538</v>
      </c>
    </row>
    <row r="54" customFormat="false" ht="15" hidden="false" customHeight="false" outlineLevel="0" collapsed="false">
      <c r="A54" s="53" t="n">
        <f aca="false">32*0.0025</f>
        <v>0.08</v>
      </c>
      <c r="B54" s="53" t="n">
        <f aca="false">IF(A54&gt;0,MIN('3. Assumptions'!$B$16,'3. Assumptions'!$B$13*(A54/'3. Assumptions'!$B$15)^'3. Assumptions'!$B$14),0)</f>
        <v>0.0282737867300343</v>
      </c>
      <c r="C54" s="34" t="n">
        <f aca="false">(1-'3. Assumptions'!$B$12-B54)*(1-'3. Assumptions'!$B$12)^('3. Assumptions'!$B$8-1)</f>
        <v>0.641695114834356</v>
      </c>
      <c r="D54" s="34" t="n">
        <f aca="false">1+(1-'3. Assumptions'!$B$12-B54)*(1-(1-'3. Assumptions'!$B$12)^('3. Assumptions'!$B$8-1))/'3. Assumptions'!$B$12</f>
        <v>4.96287366068586</v>
      </c>
      <c r="E54" s="34" t="n">
        <f aca="false">(1-'3. Assumptions'!$B$11)*(1-'3. Assumptions'!$B$12)^('3. Assumptions'!$B$7-1)</f>
        <v>0.690273454655712</v>
      </c>
      <c r="F54" s="34" t="n">
        <f aca="false">1+(1-'3. Assumptions'!$B$11)*(1-(1-'3. Assumptions'!$B$12)^('3. Assumptions'!$B$7-1))/'3. Assumptions'!$B$12</f>
        <v>4.28912098262087</v>
      </c>
      <c r="G5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4" s="34" t="n">
        <f aca="false">IF(A54&lt;=0,0,MAX(0,ROUNDUP(LN('3. Assumptions'!$B$10)/LN(1+A54)-0.000000000001,0)-1))</f>
        <v>6</v>
      </c>
      <c r="I54" s="34" t="n">
        <f aca="false">IF(A54&lt;=0,1/(1-C54),(1+A54)*(1-(C54*(1+A54))^H54)/(1-C54*(1+A54))+'3. Assumptions'!$B$10*C54^H54/(1-C54))</f>
        <v>3.44413666646379</v>
      </c>
      <c r="J54" s="45" t="n">
        <f aca="false">F54+E54*D54/(1-C54)</f>
        <v>13.8500845324138</v>
      </c>
      <c r="K54" s="34" t="n">
        <f aca="false">F54-G54+E54*D54*I54</f>
        <v>15.2032606200237</v>
      </c>
      <c r="L54" s="45" t="n">
        <f aca="false">'3. Assumptions'!$B$17*'2. The tape'!$B$11/J54</f>
        <v>33.9088183108837</v>
      </c>
      <c r="M54" s="31" t="n">
        <f aca="false">L54*'2. The tape'!$B$15*'2. The tape'!$D$11*K54</f>
        <v>988788.419609975</v>
      </c>
      <c r="N54" s="31" t="n">
        <f aca="false">M54*(1+'3. Assumptions'!$B$19+'3. Assumptions'!$B$20+'3. Assumptions'!$B$22)</f>
        <v>1093599.99208863</v>
      </c>
      <c r="O54" s="31" t="n">
        <f aca="false">'6. Income and costs'!$B$39+'3. Assumptions'!$B$31*L54*12+M54*('3. Assumptions'!$B$20*(1-'3. Assumptions'!$B$21)+'3. Assumptions'!$B$33)+N54*('3. Assumptions'!$B$26+'3. Assumptions'!$B$32)</f>
        <v>585686.508572542</v>
      </c>
      <c r="P54" s="31" t="n">
        <f aca="false">N54-O54</f>
        <v>507913.48351609</v>
      </c>
    </row>
    <row r="55" customFormat="false" ht="15" hidden="false" customHeight="false" outlineLevel="0" collapsed="false">
      <c r="A55" s="53" t="n">
        <f aca="false">33*0.0025</f>
        <v>0.0825</v>
      </c>
      <c r="B55" s="53" t="n">
        <f aca="false">IF(A55&gt;0,MIN('3. Assumptions'!$B$16,'3. Assumptions'!$B$13*(A55/'3. Assumptions'!$B$15)^'3. Assumptions'!$B$14),0)</f>
        <v>0.0304408997969291</v>
      </c>
      <c r="C55" s="34" t="n">
        <f aca="false">(1-'3. Assumptions'!$B$12-B55)*(1-'3. Assumptions'!$B$12)^('3. Assumptions'!$B$8-1)</f>
        <v>0.640158895657387</v>
      </c>
      <c r="D55" s="34" t="n">
        <f aca="false">1+(1-'3. Assumptions'!$B$12-B55)*(1-(1-'3. Assumptions'!$B$12)^('3. Assumptions'!$B$8-1))/'3. Assumptions'!$B$12</f>
        <v>4.95338653452156</v>
      </c>
      <c r="E55" s="34" t="n">
        <f aca="false">(1-'3. Assumptions'!$B$11)*(1-'3. Assumptions'!$B$12)^('3. Assumptions'!$B$7-1)</f>
        <v>0.690273454655712</v>
      </c>
      <c r="F55" s="34" t="n">
        <f aca="false">1+(1-'3. Assumptions'!$B$11)*(1-(1-'3. Assumptions'!$B$12)^('3. Assumptions'!$B$7-1))/'3. Assumptions'!$B$12</f>
        <v>4.28912098262087</v>
      </c>
      <c r="G5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5" s="34" t="n">
        <f aca="false">IF(A55&lt;=0,0,MAX(0,ROUNDUP(LN('3. Assumptions'!$B$10)/LN(1+A55)-0.000000000001,0)-1))</f>
        <v>6</v>
      </c>
      <c r="I55" s="34" t="n">
        <f aca="false">IF(A55&lt;=0,1/(1-C55),(1+A55)*(1-(C55*(1+A55))^H55)/(1-C55*(1+A55))+'3. Assumptions'!$B$10*C55^H55/(1-C55))</f>
        <v>3.44514166215479</v>
      </c>
      <c r="J55" s="45" t="n">
        <f aca="false">F55+E55*D55/(1-C55)</f>
        <v>13.7910683537411</v>
      </c>
      <c r="K55" s="34" t="n">
        <f aca="false">F55-G55+E55*D55*I55</f>
        <v>15.1841422355959</v>
      </c>
      <c r="L55" s="45" t="n">
        <f aca="false">'3. Assumptions'!$B$17*'2. The tape'!$B$11/J55</f>
        <v>34.0539244642785</v>
      </c>
      <c r="M55" s="31" t="n">
        <f aca="false">L55*'2. The tape'!$B$15*'2. The tape'!$D$11*K55</f>
        <v>991771.005292726</v>
      </c>
      <c r="N55" s="31" t="n">
        <f aca="false">M55*(1+'3. Assumptions'!$B$19+'3. Assumptions'!$B$20+'3. Assumptions'!$B$22)</f>
        <v>1096898.73185376</v>
      </c>
      <c r="O55" s="31" t="n">
        <f aca="false">'6. Income and costs'!$B$39+'3. Assumptions'!$B$31*L55*12+M55*('3. Assumptions'!$B$20*(1-'3. Assumptions'!$B$21)+'3. Assumptions'!$B$33)+N55*('3. Assumptions'!$B$26+'3. Assumptions'!$B$32)</f>
        <v>586227.326827469</v>
      </c>
      <c r="P55" s="31" t="n">
        <f aca="false">N55-O55</f>
        <v>510671.405026286</v>
      </c>
    </row>
    <row r="56" customFormat="false" ht="15" hidden="false" customHeight="false" outlineLevel="0" collapsed="false">
      <c r="A56" s="53" t="n">
        <f aca="false">34*0.0025</f>
        <v>0.085</v>
      </c>
      <c r="B56" s="53" t="n">
        <f aca="false">IF(A56&gt;0,MIN('3. Assumptions'!$B$16,'3. Assumptions'!$B$13*(A56/'3. Assumptions'!$B$15)^'3. Assumptions'!$B$14),0)</f>
        <v>0.0327019334741377</v>
      </c>
      <c r="C56" s="34" t="n">
        <f aca="false">(1-'3. Assumptions'!$B$12-B56)*(1-'3. Assumptions'!$B$12)^('3. Assumptions'!$B$8-1)</f>
        <v>0.63855609820867</v>
      </c>
      <c r="D56" s="34" t="n">
        <f aca="false">1+(1-'3. Assumptions'!$B$12-B56)*(1-(1-'3. Assumptions'!$B$12)^('3. Assumptions'!$B$8-1))/'3. Assumptions'!$B$12</f>
        <v>4.94348824537131</v>
      </c>
      <c r="E56" s="34" t="n">
        <f aca="false">(1-'3. Assumptions'!$B$11)*(1-'3. Assumptions'!$B$12)^('3. Assumptions'!$B$7-1)</f>
        <v>0.690273454655712</v>
      </c>
      <c r="F56" s="34" t="n">
        <f aca="false">1+(1-'3. Assumptions'!$B$11)*(1-(1-'3. Assumptions'!$B$12)^('3. Assumptions'!$B$7-1))/'3. Assumptions'!$B$12</f>
        <v>4.28912098262087</v>
      </c>
      <c r="G5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6" s="34" t="n">
        <f aca="false">IF(A56&lt;=0,0,MAX(0,ROUNDUP(LN('3. Assumptions'!$B$10)/LN(1+A56)-0.000000000001,0)-1))</f>
        <v>5</v>
      </c>
      <c r="I56" s="34" t="n">
        <f aca="false">IF(A56&lt;=0,1/(1-C56),(1+A56)*(1-(C56*(1+A56))^H56)/(1-C56*(1+A56))+'3. Assumptions'!$B$10*C56^H56/(1-C56))</f>
        <v>3.44423710077546</v>
      </c>
      <c r="J56" s="45" t="n">
        <f aca="false">F56+E56*D56/(1-C56)</f>
        <v>13.730029218368</v>
      </c>
      <c r="K56" s="34" t="n">
        <f aca="false">F56-G56+E56*D56*I56</f>
        <v>15.1575165268641</v>
      </c>
      <c r="L56" s="45" t="n">
        <f aca="false">'3. Assumptions'!$B$17*'2. The tape'!$B$11/J56</f>
        <v>34.2053168664576</v>
      </c>
      <c r="M56" s="31" t="n">
        <f aca="false">L56*'2. The tape'!$B$15*'2. The tape'!$D$11*K56</f>
        <v>994433.26627403</v>
      </c>
      <c r="N56" s="31" t="n">
        <f aca="false">M56*(1+'3. Assumptions'!$B$19+'3. Assumptions'!$B$20+'3. Assumptions'!$B$22)</f>
        <v>1099843.19249908</v>
      </c>
      <c r="O56" s="31" t="n">
        <f aca="false">'6. Income and costs'!$B$39+'3. Assumptions'!$B$31*L56*12+M56*('3. Assumptions'!$B$20*(1-'3. Assumptions'!$B$21)+'3. Assumptions'!$B$33)+N56*('3. Assumptions'!$B$26+'3. Assumptions'!$B$32)</f>
        <v>586743.192109218</v>
      </c>
      <c r="P56" s="31" t="n">
        <f aca="false">N56-O56</f>
        <v>513100.000389859</v>
      </c>
    </row>
    <row r="57" customFormat="false" ht="15" hidden="false" customHeight="false" outlineLevel="0" collapsed="false">
      <c r="A57" s="53" t="n">
        <f aca="false">35*0.0025</f>
        <v>0.0875</v>
      </c>
      <c r="B57" s="53" t="n">
        <f aca="false">IF(A57&gt;0,MIN('3. Assumptions'!$B$16,'3. Assumptions'!$B$13*(A57/'3. Assumptions'!$B$15)^'3. Assumptions'!$B$14),0)</f>
        <v>0.0350580161091602</v>
      </c>
      <c r="C57" s="34" t="n">
        <f aca="false">(1-'3. Assumptions'!$B$12-B57)*(1-'3. Assumptions'!$B$12)^('3. Assumptions'!$B$8-1)</f>
        <v>0.636885922627278</v>
      </c>
      <c r="D57" s="34" t="n">
        <f aca="false">1+(1-'3. Assumptions'!$B$12-B57)*(1-(1-'3. Assumptions'!$B$12)^('3. Assumptions'!$B$8-1))/'3. Assumptions'!$B$12</f>
        <v>4.9331738535874</v>
      </c>
      <c r="E57" s="34" t="n">
        <f aca="false">(1-'3. Assumptions'!$B$11)*(1-'3. Assumptions'!$B$12)^('3. Assumptions'!$B$7-1)</f>
        <v>0.690273454655712</v>
      </c>
      <c r="F57" s="34" t="n">
        <f aca="false">1+(1-'3. Assumptions'!$B$11)*(1-(1-'3. Assumptions'!$B$12)^('3. Assumptions'!$B$7-1))/'3. Assumptions'!$B$12</f>
        <v>4.28912098262087</v>
      </c>
      <c r="G5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7" s="34" t="n">
        <f aca="false">IF(A57&lt;=0,0,MAX(0,ROUNDUP(LN('3. Assumptions'!$B$10)/LN(1+A57)-0.000000000001,0)-1))</f>
        <v>5</v>
      </c>
      <c r="I57" s="34" t="n">
        <f aca="false">IF(A57&lt;=0,1/(1-C57),(1+A57)*(1-(C57*(1+A57))^H57)/(1-C57*(1+A57))+'3. Assumptions'!$B$10*C57^H57/(1-C57))</f>
        <v>3.44149305141881</v>
      </c>
      <c r="J57" s="45" t="n">
        <f aca="false">F57+E57*D57/(1-C57)</f>
        <v>13.6669974421933</v>
      </c>
      <c r="K57" s="34" t="n">
        <f aca="false">F57-G57+E57*D57*I57</f>
        <v>15.1236502730676</v>
      </c>
      <c r="L57" s="45" t="n">
        <f aca="false">'3. Assumptions'!$B$17*'2. The tape'!$B$11/J57</f>
        <v>34.3630707466228</v>
      </c>
      <c r="M57" s="31" t="n">
        <f aca="false">L57*'2. The tape'!$B$15*'2. The tape'!$D$11*K57</f>
        <v>996787.465037484</v>
      </c>
      <c r="N57" s="31" t="n">
        <f aca="false">M57*(1+'3. Assumptions'!$B$19+'3. Assumptions'!$B$20+'3. Assumptions'!$B$22)</f>
        <v>1102446.93633146</v>
      </c>
      <c r="O57" s="31" t="n">
        <f aca="false">'6. Income and costs'!$B$39+'3. Assumptions'!$B$31*L57*12+M57*('3. Assumptions'!$B$20*(1-'3. Assumptions'!$B$21)+'3. Assumptions'!$B$33)+N57*('3. Assumptions'!$B$26+'3. Assumptions'!$B$32)</f>
        <v>587235.538151745</v>
      </c>
      <c r="P57" s="31" t="n">
        <f aca="false">N57-O57</f>
        <v>515211.398179712</v>
      </c>
    </row>
    <row r="58" customFormat="false" ht="15" hidden="false" customHeight="false" outlineLevel="0" collapsed="false">
      <c r="A58" s="53" t="n">
        <f aca="false">36*0.0025</f>
        <v>0.09</v>
      </c>
      <c r="B58" s="53" t="n">
        <f aca="false">IF(A58&gt;0,MIN('3. Assumptions'!$B$16,'3. Assumptions'!$B$13*(A58/'3. Assumptions'!$B$15)^'3. Assumptions'!$B$14),0)</f>
        <v>0.0375102563039595</v>
      </c>
      <c r="C58" s="34" t="n">
        <f aca="false">(1-'3. Assumptions'!$B$12-B58)*(1-'3. Assumptions'!$B$12)^('3. Assumptions'!$B$8-1)</f>
        <v>0.635147583049462</v>
      </c>
      <c r="D58" s="34" t="n">
        <f aca="false">1+(1-'3. Assumptions'!$B$12-B58)*(1-(1-'3. Assumptions'!$B$12)^('3. Assumptions'!$B$8-1))/'3. Assumptions'!$B$12</f>
        <v>4.92243850596358</v>
      </c>
      <c r="E58" s="34" t="n">
        <f aca="false">(1-'3. Assumptions'!$B$11)*(1-'3. Assumptions'!$B$12)^('3. Assumptions'!$B$7-1)</f>
        <v>0.690273454655712</v>
      </c>
      <c r="F58" s="34" t="n">
        <f aca="false">1+(1-'3. Assumptions'!$B$11)*(1-(1-'3. Assumptions'!$B$12)^('3. Assumptions'!$B$7-1))/'3. Assumptions'!$B$12</f>
        <v>4.28912098262087</v>
      </c>
      <c r="G5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8" s="34" t="n">
        <f aca="false">IF(A58&lt;=0,0,MAX(0,ROUNDUP(LN('3. Assumptions'!$B$10)/LN(1+A58)-0.000000000001,0)-1))</f>
        <v>5</v>
      </c>
      <c r="I58" s="34" t="n">
        <f aca="false">IF(A58&lt;=0,1/(1-C58),(1+A58)*(1-(C58*(1+A58))^H58)/(1-C58*(1+A58))+'3. Assumptions'!$B$10*C58^H58/(1-C58))</f>
        <v>3.43808832205474</v>
      </c>
      <c r="J58" s="45" t="n">
        <f aca="false">F58+E58*D58/(1-C58)</f>
        <v>13.6020060698051</v>
      </c>
      <c r="K58" s="34" t="n">
        <f aca="false">F58-G58+E58*D58*I58</f>
        <v>15.0865790024605</v>
      </c>
      <c r="L58" s="45" t="n">
        <f aca="false">'3. Assumptions'!$B$17*'2. The tape'!$B$11/J58</f>
        <v>34.5272599931085</v>
      </c>
      <c r="M58" s="31" t="n">
        <f aca="false">L58*'2. The tape'!$B$15*'2. The tape'!$D$11*K58</f>
        <v>999095.176224956</v>
      </c>
      <c r="N58" s="31" t="n">
        <f aca="false">M58*(1+'3. Assumptions'!$B$19+'3. Assumptions'!$B$20+'3. Assumptions'!$B$22)</f>
        <v>1104999.2649048</v>
      </c>
      <c r="O58" s="31" t="n">
        <f aca="false">'6. Income and costs'!$B$39+'3. Assumptions'!$B$31*L58*12+M58*('3. Assumptions'!$B$20*(1-'3. Assumptions'!$B$21)+'3. Assumptions'!$B$33)+N58*('3. Assumptions'!$B$26+'3. Assumptions'!$B$32)</f>
        <v>587732.629377476</v>
      </c>
      <c r="P58" s="31" t="n">
        <f aca="false">N58-O58</f>
        <v>517266.635527326</v>
      </c>
    </row>
    <row r="59" customFormat="false" ht="15" hidden="false" customHeight="false" outlineLevel="0" collapsed="false">
      <c r="A59" s="53" t="n">
        <f aca="false">37*0.0025</f>
        <v>0.0925</v>
      </c>
      <c r="B59" s="53" t="n">
        <f aca="false">IF(A59&gt;0,MIN('3. Assumptions'!$B$16,'3. Assumptions'!$B$13*(A59/'3. Assumptions'!$B$15)^'3. Assumptions'!$B$14),0)</f>
        <v>0.0400597438104847</v>
      </c>
      <c r="C59" s="34" t="n">
        <f aca="false">(1-'3. Assumptions'!$B$12-B59)*(1-'3. Assumptions'!$B$12)^('3. Assumptions'!$B$8-1)</f>
        <v>0.63334030697384</v>
      </c>
      <c r="D59" s="34" t="n">
        <f aca="false">1+(1-'3. Assumptions'!$B$12-B59)*(1-(1-'3. Assumptions'!$B$12)^('3. Assumptions'!$B$8-1))/'3. Assumptions'!$B$12</f>
        <v>4.91127743181466</v>
      </c>
      <c r="E59" s="34" t="n">
        <f aca="false">(1-'3. Assumptions'!$B$11)*(1-'3. Assumptions'!$B$12)^('3. Assumptions'!$B$7-1)</f>
        <v>0.690273454655712</v>
      </c>
      <c r="F59" s="34" t="n">
        <f aca="false">1+(1-'3. Assumptions'!$B$11)*(1-(1-'3. Assumptions'!$B$12)^('3. Assumptions'!$B$7-1))/'3. Assumptions'!$B$12</f>
        <v>4.28912098262087</v>
      </c>
      <c r="G5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59" s="34" t="n">
        <f aca="false">IF(A59&lt;=0,0,MAX(0,ROUNDUP(LN('3. Assumptions'!$B$10)/LN(1+A59)-0.000000000001,0)-1))</f>
        <v>5</v>
      </c>
      <c r="I59" s="34" t="n">
        <f aca="false">IF(A59&lt;=0,1/(1-C59),(1+A59)*(1-(C59*(1+A59))^H59)/(1-C59*(1+A59))+'3. Assumptions'!$B$10*C59^H59/(1-C59))</f>
        <v>3.43402439518563</v>
      </c>
      <c r="J59" s="45" t="n">
        <f aca="false">F59+E59*D59/(1-C59)</f>
        <v>13.5350907581682</v>
      </c>
      <c r="K59" s="34" t="n">
        <f aca="false">F59-G59+E59*D59*I59</f>
        <v>15.046314087953</v>
      </c>
      <c r="L59" s="45" t="n">
        <f aca="false">'3. Assumptions'!$B$17*'2. The tape'!$B$11/J59</f>
        <v>34.6979572129267</v>
      </c>
      <c r="M59" s="31" t="n">
        <f aca="false">L59*'2. The tape'!$B$15*'2. The tape'!$D$11*K59</f>
        <v>1001354.85140501</v>
      </c>
      <c r="N59" s="31" t="n">
        <f aca="false">M59*(1+'3. Assumptions'!$B$19+'3. Assumptions'!$B$20+'3. Assumptions'!$B$22)</f>
        <v>1107498.46565394</v>
      </c>
      <c r="O59" s="31" t="n">
        <f aca="false">'6. Income and costs'!$B$39+'3. Assumptions'!$B$31*L59*12+M59*('3. Assumptions'!$B$20*(1-'3. Assumptions'!$B$21)+'3. Assumptions'!$B$33)+N59*('3. Assumptions'!$B$26+'3. Assumptions'!$B$32)</f>
        <v>588234.409120835</v>
      </c>
      <c r="P59" s="31" t="n">
        <f aca="false">N59-O59</f>
        <v>519264.056533106</v>
      </c>
    </row>
    <row r="60" customFormat="false" ht="15" hidden="false" customHeight="false" outlineLevel="0" collapsed="false">
      <c r="A60" s="53" t="n">
        <f aca="false">38*0.0025</f>
        <v>0.095</v>
      </c>
      <c r="B60" s="53" t="n">
        <f aca="false">IF(A60&gt;0,MIN('3. Assumptions'!$B$16,'3. Assumptions'!$B$13*(A60/'3. Assumptions'!$B$15)^'3. Assumptions'!$B$14),0)</f>
        <v>0.0427075503620022</v>
      </c>
      <c r="C60" s="34" t="n">
        <f aca="false">(1-'3. Assumptions'!$B$12-B60)*(1-'3. Assumptions'!$B$12)^('3. Assumptions'!$B$8-1)</f>
        <v>0.63146333467208</v>
      </c>
      <c r="D60" s="34" t="n">
        <f aca="false">1+(1-'3. Assumptions'!$B$12-B60)*(1-(1-'3. Assumptions'!$B$12)^('3. Assumptions'!$B$8-1))/'3. Assumptions'!$B$12</f>
        <v>4.89968593933711</v>
      </c>
      <c r="E60" s="34" t="n">
        <f aca="false">(1-'3. Assumptions'!$B$11)*(1-'3. Assumptions'!$B$12)^('3. Assumptions'!$B$7-1)</f>
        <v>0.690273454655712</v>
      </c>
      <c r="F60" s="34" t="n">
        <f aca="false">1+(1-'3. Assumptions'!$B$11)*(1-(1-'3. Assumptions'!$B$12)^('3. Assumptions'!$B$7-1))/'3. Assumptions'!$B$12</f>
        <v>4.28912098262087</v>
      </c>
      <c r="G6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0" s="34" t="n">
        <f aca="false">IF(A60&lt;=0,0,MAX(0,ROUNDUP(LN('3. Assumptions'!$B$10)/LN(1+A60)-0.000000000001,0)-1))</f>
        <v>5</v>
      </c>
      <c r="I60" s="34" t="n">
        <f aca="false">IF(A60&lt;=0,1/(1-C60),(1+A60)*(1-(C60*(1+A60))^H60)/(1-C60*(1+A60))+'3. Assumptions'!$B$10*C60^H60/(1-C60))</f>
        <v>3.42930345301435</v>
      </c>
      <c r="J60" s="45" t="n">
        <f aca="false">F60+E60*D60/(1-C60)</f>
        <v>13.4662896560956</v>
      </c>
      <c r="K60" s="34" t="n">
        <f aca="false">F60-G60+E60*D60*I60</f>
        <v>15.0028706223203</v>
      </c>
      <c r="L60" s="45" t="n">
        <f aca="false">'3. Assumptions'!$B$17*'2. The tape'!$B$11/J60</f>
        <v>34.8752337870152</v>
      </c>
      <c r="M60" s="31" t="n">
        <f aca="false">L60*'2. The tape'!$B$15*'2. The tape'!$D$11*K60</f>
        <v>1003564.90957867</v>
      </c>
      <c r="N60" s="31" t="n">
        <f aca="false">M60*(1+'3. Assumptions'!$B$19+'3. Assumptions'!$B$20+'3. Assumptions'!$B$22)</f>
        <v>1109942.78999401</v>
      </c>
      <c r="O60" s="31" t="n">
        <f aca="false">'6. Income and costs'!$B$39+'3. Assumptions'!$B$31*L60*12+M60*('3. Assumptions'!$B$20*(1-'3. Assumptions'!$B$21)+'3. Assumptions'!$B$33)+N60*('3. Assumptions'!$B$26+'3. Assumptions'!$B$32)</f>
        <v>588740.815353805</v>
      </c>
      <c r="P60" s="31" t="n">
        <f aca="false">N60-O60</f>
        <v>521201.974640202</v>
      </c>
    </row>
    <row r="61" customFormat="false" ht="15" hidden="false" customHeight="false" outlineLevel="0" collapsed="false">
      <c r="A61" s="53" t="n">
        <f aca="false">39*0.0025</f>
        <v>0.0975</v>
      </c>
      <c r="B61" s="53" t="n">
        <f aca="false">IF(A61&gt;0,MIN('3. Assumptions'!$B$16,'3. Assumptions'!$B$13*(A61/'3. Assumptions'!$B$15)^'3. Assumptions'!$B$14),0)</f>
        <v>0.0454547304464333</v>
      </c>
      <c r="C61" s="34" t="n">
        <f aca="false">(1-'3. Assumptions'!$B$12-B61)*(1-'3. Assumptions'!$B$12)^('3. Assumptions'!$B$8-1)</f>
        <v>0.629515918640697</v>
      </c>
      <c r="D61" s="34" t="n">
        <f aca="false">1+(1-'3. Assumptions'!$B$12-B61)*(1-(1-'3. Assumptions'!$B$12)^('3. Assumptions'!$B$8-1))/'3. Assumptions'!$B$12</f>
        <v>4.8876594122236</v>
      </c>
      <c r="E61" s="34" t="n">
        <f aca="false">(1-'3. Assumptions'!$B$11)*(1-'3. Assumptions'!$B$12)^('3. Assumptions'!$B$7-1)</f>
        <v>0.690273454655712</v>
      </c>
      <c r="F61" s="34" t="n">
        <f aca="false">1+(1-'3. Assumptions'!$B$11)*(1-(1-'3. Assumptions'!$B$12)^('3. Assumptions'!$B$7-1))/'3. Assumptions'!$B$12</f>
        <v>4.28912098262087</v>
      </c>
      <c r="G6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1" s="34" t="n">
        <f aca="false">IF(A61&lt;=0,0,MAX(0,ROUNDUP(LN('3. Assumptions'!$B$10)/LN(1+A61)-0.000000000001,0)-1))</f>
        <v>5</v>
      </c>
      <c r="I61" s="34" t="n">
        <f aca="false">IF(A61&lt;=0,1/(1-C61),(1+A61)*(1-(C61*(1+A61))^H61)/(1-C61*(1+A61))+'3. Assumptions'!$B$10*C61^H61/(1-C61))</f>
        <v>3.42392835378727</v>
      </c>
      <c r="J61" s="45" t="n">
        <f aca="false">F61+E61*D61/(1-C61)</f>
        <v>13.3956432798207</v>
      </c>
      <c r="K61" s="34" t="n">
        <f aca="false">F61-G61+E61*D61*I61</f>
        <v>14.9562673171821</v>
      </c>
      <c r="L61" s="45" t="n">
        <f aca="false">'3. Assumptions'!$B$17*'2. The tape'!$B$11/J61</f>
        <v>35.0591599216044</v>
      </c>
      <c r="M61" s="31" t="n">
        <f aca="false">L61*'2. The tape'!$B$15*'2. The tape'!$D$11*K61</f>
        <v>1005723.73595731</v>
      </c>
      <c r="N61" s="31" t="n">
        <f aca="false">M61*(1+'3. Assumptions'!$B$19+'3. Assumptions'!$B$20+'3. Assumptions'!$B$22)</f>
        <v>1112330.45196879</v>
      </c>
      <c r="O61" s="31" t="n">
        <f aca="false">'6. Income and costs'!$B$39+'3. Assumptions'!$B$31*L61*12+M61*('3. Assumptions'!$B$20*(1-'3. Assumptions'!$B$21)+'3. Assumptions'!$B$33)+N61*('3. Assumptions'!$B$26+'3. Assumptions'!$B$32)</f>
        <v>589251.780632204</v>
      </c>
      <c r="P61" s="31" t="n">
        <f aca="false">N61-O61</f>
        <v>523078.671336584</v>
      </c>
    </row>
    <row r="62" customFormat="false" ht="15" hidden="false" customHeight="false" outlineLevel="0" collapsed="false">
      <c r="A62" s="53" t="n">
        <f aca="false">40*0.0025</f>
        <v>0.1</v>
      </c>
      <c r="B62" s="53" t="n">
        <f aca="false">IF(A62&gt;0,MIN('3. Assumptions'!$B$16,'3. Assumptions'!$B$13*(A62/'3. Assumptions'!$B$15)^'3. Assumptions'!$B$14),0)</f>
        <v>0.0483023220271566</v>
      </c>
      <c r="C62" s="34" t="n">
        <f aca="false">(1-'3. Assumptions'!$B$12-B62)*(1-'3. Assumptions'!$B$12)^('3. Assumptions'!$B$8-1)</f>
        <v>0.627497323090097</v>
      </c>
      <c r="D62" s="34" t="n">
        <f aca="false">1+(1-'3. Assumptions'!$B$12-B62)*(1-(1-'3. Assumptions'!$B$12)^('3. Assumptions'!$B$8-1))/'3. Assumptions'!$B$12</f>
        <v>4.87519330650746</v>
      </c>
      <c r="E62" s="34" t="n">
        <f aca="false">(1-'3. Assumptions'!$B$11)*(1-'3. Assumptions'!$B$12)^('3. Assumptions'!$B$7-1)</f>
        <v>0.690273454655712</v>
      </c>
      <c r="F62" s="34" t="n">
        <f aca="false">1+(1-'3. Assumptions'!$B$11)*(1-(1-'3. Assumptions'!$B$12)^('3. Assumptions'!$B$7-1))/'3. Assumptions'!$B$12</f>
        <v>4.28912098262087</v>
      </c>
      <c r="G6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2" s="34" t="n">
        <f aca="false">IF(A62&lt;=0,0,MAX(0,ROUNDUP(LN('3. Assumptions'!$B$10)/LN(1+A62)-0.000000000001,0)-1))</f>
        <v>5</v>
      </c>
      <c r="I62" s="34" t="n">
        <f aca="false">IF(A62&lt;=0,1/(1-C62),(1+A62)*(1-(C62*(1+A62))^H62)/(1-C62*(1+A62))+'3. Assumptions'!$B$10*C62^H62/(1-C62))</f>
        <v>3.41790260723838</v>
      </c>
      <c r="J62" s="45" t="n">
        <f aca="false">F62+E62*D62/(1-C62)</f>
        <v>13.3231943850283</v>
      </c>
      <c r="K62" s="34" t="n">
        <f aca="false">F62-G62+E62*D62*I62</f>
        <v>14.9065263969883</v>
      </c>
      <c r="L62" s="45" t="n">
        <f aca="false">'3. Assumptions'!$B$17*'2. The tape'!$B$11/J62</f>
        <v>35.2498046960683</v>
      </c>
      <c r="M62" s="31" t="n">
        <f aca="false">L62*'2. The tape'!$B$15*'2. The tape'!$D$11*K62</f>
        <v>1007829.68091358</v>
      </c>
      <c r="N62" s="31" t="n">
        <f aca="false">M62*(1+'3. Assumptions'!$B$19+'3. Assumptions'!$B$20+'3. Assumptions'!$B$22)</f>
        <v>1114659.62709042</v>
      </c>
      <c r="O62" s="31" t="n">
        <f aca="false">'6. Income and costs'!$B$39+'3. Assumptions'!$B$31*L62*12+M62*('3. Assumptions'!$B$20*(1-'3. Assumptions'!$B$21)+'3. Assumptions'!$B$33)+N62*('3. Assumptions'!$B$26+'3. Assumptions'!$B$32)</f>
        <v>589767.232055265</v>
      </c>
      <c r="P62" s="31" t="n">
        <f aca="false">N62-O62</f>
        <v>524892.395035153</v>
      </c>
    </row>
    <row r="63" customFormat="false" ht="15" hidden="false" customHeight="false" outlineLevel="0" collapsed="false">
      <c r="A63" s="53" t="n">
        <f aca="false">41*0.0025</f>
        <v>0.1025</v>
      </c>
      <c r="B63" s="53" t="n">
        <f aca="false">IF(A63&gt;0,MIN('3. Assumptions'!$B$16,'3. Assumptions'!$B$13*(A63/'3. Assumptions'!$B$15)^'3. Assumptions'!$B$14),0)</f>
        <v>0.0512513472160912</v>
      </c>
      <c r="C63" s="34" t="n">
        <f aca="false">(1-'3. Assumptions'!$B$12-B63)*(1-'3. Assumptions'!$B$12)^('3. Assumptions'!$B$8-1)</f>
        <v>0.625406823467437</v>
      </c>
      <c r="D63" s="34" t="n">
        <f aca="false">1+(1-'3. Assumptions'!$B$12-B63)*(1-(1-'3. Assumptions'!$B$12)^('3. Assumptions'!$B$8-1))/'3. Assumptions'!$B$12</f>
        <v>4.86228314761612</v>
      </c>
      <c r="E63" s="34" t="n">
        <f aca="false">(1-'3. Assumptions'!$B$11)*(1-'3. Assumptions'!$B$12)^('3. Assumptions'!$B$7-1)</f>
        <v>0.690273454655712</v>
      </c>
      <c r="F63" s="34" t="n">
        <f aca="false">1+(1-'3. Assumptions'!$B$11)*(1-(1-'3. Assumptions'!$B$12)^('3. Assumptions'!$B$7-1))/'3. Assumptions'!$B$12</f>
        <v>4.28912098262087</v>
      </c>
      <c r="G6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3" s="34" t="n">
        <f aca="false">IF(A63&lt;=0,0,MAX(0,ROUNDUP(LN('3. Assumptions'!$B$10)/LN(1+A63)-0.000000000001,0)-1))</f>
        <v>4</v>
      </c>
      <c r="I63" s="34" t="n">
        <f aca="false">IF(A63&lt;=0,1/(1-C63),(1+A63)*(1-(C63*(1+A63))^H63)/(1-C63*(1+A63))+'3. Assumptions'!$B$10*C63^H63/(1-C63))</f>
        <v>3.40986959973569</v>
      </c>
      <c r="J63" s="45" t="n">
        <f aca="false">F63+E63*D63/(1-C63)</f>
        <v>13.2489878357414</v>
      </c>
      <c r="K63" s="34" t="n">
        <f aca="false">F63-G63+E63*D63*I63</f>
        <v>14.8491063981302</v>
      </c>
      <c r="L63" s="45" t="n">
        <f aca="false">'3. Assumptions'!$B$17*'2. The tape'!$B$11/J63</f>
        <v>35.4472361075815</v>
      </c>
      <c r="M63" s="31" t="n">
        <f aca="false">L63*'2. The tape'!$B$15*'2. The tape'!$D$11*K63</f>
        <v>1009570.54885589</v>
      </c>
      <c r="N63" s="31" t="n">
        <f aca="false">M63*(1+'3. Assumptions'!$B$19+'3. Assumptions'!$B$20+'3. Assumptions'!$B$22)</f>
        <v>1116585.02703461</v>
      </c>
      <c r="O63" s="31" t="n">
        <f aca="false">'6. Income and costs'!$B$39+'3. Assumptions'!$B$31*L63*12+M63*('3. Assumptions'!$B$20*(1-'3. Assumptions'!$B$21)+'3. Assumptions'!$B$33)+N63*('3. Assumptions'!$B$26+'3. Assumptions'!$B$32)</f>
        <v>590253.671952376</v>
      </c>
      <c r="P63" s="31" t="n">
        <f aca="false">N63-O63</f>
        <v>526331.355082237</v>
      </c>
    </row>
    <row r="64" customFormat="false" ht="15" hidden="false" customHeight="false" outlineLevel="0" collapsed="false">
      <c r="A64" s="53" t="n">
        <f aca="false">42*0.0025</f>
        <v>0.105</v>
      </c>
      <c r="B64" s="53" t="n">
        <f aca="false">IF(A64&gt;0,MIN('3. Assumptions'!$B$16,'3. Assumptions'!$B$13*(A64/'3. Assumptions'!$B$15)^'3. Assumptions'!$B$14),0)</f>
        <v>0.0543028129033259</v>
      </c>
      <c r="C64" s="34" t="n">
        <f aca="false">(1-'3. Assumptions'!$B$12-B64)*(1-'3. Assumptions'!$B$12)^('3. Assumptions'!$B$8-1)</f>
        <v>0.623243706010299</v>
      </c>
      <c r="D64" s="34" t="n">
        <f aca="false">1+(1-'3. Assumptions'!$B$12-B64)*(1-(1-'3. Assumptions'!$B$12)^('3. Assumptions'!$B$8-1))/'3. Assumptions'!$B$12</f>
        <v>4.84892452761466</v>
      </c>
      <c r="E64" s="34" t="n">
        <f aca="false">(1-'3. Assumptions'!$B$11)*(1-'3. Assumptions'!$B$12)^('3. Assumptions'!$B$7-1)</f>
        <v>0.690273454655712</v>
      </c>
      <c r="F64" s="34" t="n">
        <f aca="false">1+(1-'3. Assumptions'!$B$11)*(1-(1-'3. Assumptions'!$B$12)^('3. Assumptions'!$B$7-1))/'3. Assumptions'!$B$12</f>
        <v>4.28912098262087</v>
      </c>
      <c r="G6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4" s="34" t="n">
        <f aca="false">IF(A64&lt;=0,0,MAX(0,ROUNDUP(LN('3. Assumptions'!$B$10)/LN(1+A64)-0.000000000001,0)-1))</f>
        <v>4</v>
      </c>
      <c r="I64" s="34" t="n">
        <f aca="false">IF(A64&lt;=0,1/(1-C64),(1+A64)*(1-(C64*(1+A64))^H64)/(1-C64*(1+A64))+'3. Assumptions'!$B$10*C64^H64/(1-C64))</f>
        <v>3.39977514854317</v>
      </c>
      <c r="J64" s="45" t="n">
        <f aca="false">F64+E64*D64/(1-C64)</f>
        <v>13.1730704704903</v>
      </c>
      <c r="K64" s="34" t="n">
        <f aca="false">F64-G64+E64*D64*I64</f>
        <v>14.783876671997</v>
      </c>
      <c r="L64" s="45" t="n">
        <f aca="false">'3. Assumptions'!$B$17*'2. The tape'!$B$11/J64</f>
        <v>35.6515211128693</v>
      </c>
      <c r="M64" s="31" t="n">
        <f aca="false">L64*'2. The tape'!$B$15*'2. The tape'!$D$11*K64</f>
        <v>1010928.33860775</v>
      </c>
      <c r="N64" s="31" t="n">
        <f aca="false">M64*(1+'3. Assumptions'!$B$19+'3. Assumptions'!$B$20+'3. Assumptions'!$B$22)</f>
        <v>1118086.74250017</v>
      </c>
      <c r="O64" s="31" t="n">
        <f aca="false">'6. Income and costs'!$B$39+'3. Assumptions'!$B$31*L64*12+M64*('3. Assumptions'!$B$20*(1-'3. Assumptions'!$B$21)+'3. Assumptions'!$B$33)+N64*('3. Assumptions'!$B$26+'3. Assumptions'!$B$32)</f>
        <v>590709.264339134</v>
      </c>
      <c r="P64" s="31" t="n">
        <f aca="false">N64-O64</f>
        <v>527377.478161037</v>
      </c>
    </row>
    <row r="65" customFormat="false" ht="15" hidden="false" customHeight="false" outlineLevel="0" collapsed="false">
      <c r="A65" s="53" t="n">
        <f aca="false">43*0.0025</f>
        <v>0.1075</v>
      </c>
      <c r="B65" s="53" t="n">
        <f aca="false">IF(A65&gt;0,MIN('3. Assumptions'!$B$16,'3. Assumptions'!$B$13*(A65/'3. Assumptions'!$B$15)^'3. Assumptions'!$B$14),0)</f>
        <v>0.0574577113470878</v>
      </c>
      <c r="C65" s="34" t="n">
        <f aca="false">(1-'3. Assumptions'!$B$12-B65)*(1-'3. Assumptions'!$B$12)^('3. Assumptions'!$B$8-1)</f>
        <v>0.621007267328472</v>
      </c>
      <c r="D65" s="34" t="n">
        <f aca="false">1+(1-'3. Assumptions'!$B$12-B65)*(1-(1-'3. Assumptions'!$B$12)^('3. Assumptions'!$B$8-1))/'3. Assumptions'!$B$12</f>
        <v>4.83511310262316</v>
      </c>
      <c r="E65" s="34" t="n">
        <f aca="false">(1-'3. Assumptions'!$B$11)*(1-'3. Assumptions'!$B$12)^('3. Assumptions'!$B$7-1)</f>
        <v>0.690273454655712</v>
      </c>
      <c r="F65" s="34" t="n">
        <f aca="false">1+(1-'3. Assumptions'!$B$11)*(1-(1-'3. Assumptions'!$B$12)^('3. Assumptions'!$B$7-1))/'3. Assumptions'!$B$12</f>
        <v>4.28912098262087</v>
      </c>
      <c r="G6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5" s="34" t="n">
        <f aca="false">IF(A65&lt;=0,0,MAX(0,ROUNDUP(LN('3. Assumptions'!$B$10)/LN(1+A65)-0.000000000001,0)-1))</f>
        <v>4</v>
      </c>
      <c r="I65" s="34" t="n">
        <f aca="false">IF(A65&lt;=0,1/(1-C65),(1+A65)*(1-(C65*(1+A65))^H65)/(1-C65*(1+A65))+'3. Assumptions'!$B$10*C65^H65/(1-C65))</f>
        <v>3.38909950317883</v>
      </c>
      <c r="J65" s="45" t="n">
        <f aca="false">F65+E65*D65/(1-C65)</f>
        <v>13.0954909662148</v>
      </c>
      <c r="K65" s="34" t="n">
        <f aca="false">F65-G65+E65*D65*I65</f>
        <v>14.7158338689217</v>
      </c>
      <c r="L65" s="45" t="n">
        <f aca="false">'3. Assumptions'!$B$17*'2. The tape'!$B$11/J65</f>
        <v>35.8627256673025</v>
      </c>
      <c r="M65" s="31" t="n">
        <f aca="false">L65*'2. The tape'!$B$15*'2. The tape'!$D$11*K65</f>
        <v>1012236.85602622</v>
      </c>
      <c r="N65" s="31" t="n">
        <f aca="false">M65*(1+'3. Assumptions'!$B$19+'3. Assumptions'!$B$20+'3. Assumptions'!$B$22)</f>
        <v>1119533.962765</v>
      </c>
      <c r="O65" s="31" t="n">
        <f aca="false">'6. Income and costs'!$B$39+'3. Assumptions'!$B$31*L65*12+M65*('3. Assumptions'!$B$20*(1-'3. Assumptions'!$B$21)+'3. Assumptions'!$B$33)+N65*('3. Assumptions'!$B$26+'3. Assumptions'!$B$32)</f>
        <v>591170.03564985</v>
      </c>
      <c r="P65" s="31" t="n">
        <f aca="false">N65-O65</f>
        <v>528363.927115145</v>
      </c>
    </row>
    <row r="66" customFormat="false" ht="15" hidden="false" customHeight="false" outlineLevel="0" collapsed="false">
      <c r="A66" s="53" t="n">
        <f aca="false">44*0.0025</f>
        <v>0.11</v>
      </c>
      <c r="B66" s="53" t="n">
        <f aca="false">IF(A66&gt;0,MIN('3. Assumptions'!$B$16,'3. Assumptions'!$B$13*(A66/'3. Assumptions'!$B$15)^'3. Assumptions'!$B$14),0)</f>
        <v>0.0607170207274254</v>
      </c>
      <c r="C66" s="34" t="n">
        <f aca="false">(1-'3. Assumptions'!$B$12-B66)*(1-'3. Assumptions'!$B$12)^('3. Assumptions'!$B$8-1)</f>
        <v>0.61869681401146</v>
      </c>
      <c r="D66" s="34" t="n">
        <f aca="false">1+(1-'3. Assumptions'!$B$12-B66)*(1-(1-'3. Assumptions'!$B$12)^('3. Assumptions'!$B$8-1))/'3. Assumptions'!$B$12</f>
        <v>4.82084459039271</v>
      </c>
      <c r="E66" s="34" t="n">
        <f aca="false">(1-'3. Assumptions'!$B$11)*(1-'3. Assumptions'!$B$12)^('3. Assumptions'!$B$7-1)</f>
        <v>0.690273454655712</v>
      </c>
      <c r="F66" s="34" t="n">
        <f aca="false">1+(1-'3. Assumptions'!$B$11)*(1-(1-'3. Assumptions'!$B$12)^('3. Assumptions'!$B$7-1))/'3. Assumptions'!$B$12</f>
        <v>4.28912098262087</v>
      </c>
      <c r="G6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6" s="34" t="n">
        <f aca="false">IF(A66&lt;=0,0,MAX(0,ROUNDUP(LN('3. Assumptions'!$B$10)/LN(1+A66)-0.000000000001,0)-1))</f>
        <v>4</v>
      </c>
      <c r="I66" s="34" t="n">
        <f aca="false">IF(A66&lt;=0,1/(1-C66),(1+A66)*(1-(C66*(1+A66))^H66)/(1-C66*(1+A66))+'3. Assumptions'!$B$10*C66^H66/(1-C66))</f>
        <v>3.37785206758893</v>
      </c>
      <c r="J66" s="45" t="n">
        <f aca="false">F66+E66*D66/(1-C66)</f>
        <v>13.0162997003688</v>
      </c>
      <c r="K66" s="34" t="n">
        <f aca="false">F66-G66+E66*D66*I66</f>
        <v>14.6450259308229</v>
      </c>
      <c r="L66" s="45" t="n">
        <f aca="false">'3. Assumptions'!$B$17*'2. The tape'!$B$11/J66</f>
        <v>36.0809147615657</v>
      </c>
      <c r="M66" s="31" t="n">
        <f aca="false">L66*'2. The tape'!$B$15*'2. The tape'!$D$11*K66</f>
        <v>1013495.11657988</v>
      </c>
      <c r="N66" s="31" t="n">
        <f aca="false">M66*(1+'3. Assumptions'!$B$19+'3. Assumptions'!$B$20+'3. Assumptions'!$B$22)</f>
        <v>1120925.59893734</v>
      </c>
      <c r="O66" s="31" t="n">
        <f aca="false">'6. Income and costs'!$B$39+'3. Assumptions'!$B$31*L66*12+M66*('3. Assumptions'!$B$20*(1-'3. Assumptions'!$B$21)+'3. Assumptions'!$B$33)+N66*('3. Assumptions'!$B$26+'3. Assumptions'!$B$32)</f>
        <v>591635.978372357</v>
      </c>
      <c r="P66" s="31" t="n">
        <f aca="false">N66-O66</f>
        <v>529289.620564985</v>
      </c>
    </row>
    <row r="67" customFormat="false" ht="15" hidden="false" customHeight="false" outlineLevel="0" collapsed="false">
      <c r="A67" s="53" t="n">
        <f aca="false">45*0.0025</f>
        <v>0.1125</v>
      </c>
      <c r="B67" s="53" t="n">
        <f aca="false">IF(A67&gt;0,MIN('3. Assumptions'!$B$16,'3. Assumptions'!$B$13*(A67/'3. Assumptions'!$B$15)^'3. Assumptions'!$B$14),0)</f>
        <v>0.0640817056666266</v>
      </c>
      <c r="C67" s="34" t="n">
        <f aca="false">(1-'3. Assumptions'!$B$12-B67)*(1-'3. Assumptions'!$B$12)^('3. Assumptions'!$B$8-1)</f>
        <v>0.616311662259565</v>
      </c>
      <c r="D67" s="34" t="n">
        <f aca="false">1+(1-'3. Assumptions'!$B$12-B67)*(1-(1-'3. Assumptions'!$B$12)^('3. Assumptions'!$B$8-1))/'3. Assumptions'!$B$12</f>
        <v>4.8061147680272</v>
      </c>
      <c r="E67" s="34" t="n">
        <f aca="false">(1-'3. Assumptions'!$B$11)*(1-'3. Assumptions'!$B$12)^('3. Assumptions'!$B$7-1)</f>
        <v>0.690273454655712</v>
      </c>
      <c r="F67" s="34" t="n">
        <f aca="false">1+(1-'3. Assumptions'!$B$11)*(1-(1-'3. Assumptions'!$B$12)^('3. Assumptions'!$B$7-1))/'3. Assumptions'!$B$12</f>
        <v>4.28912098262087</v>
      </c>
      <c r="G6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7" s="34" t="n">
        <f aca="false">IF(A67&lt;=0,0,MAX(0,ROUNDUP(LN('3. Assumptions'!$B$10)/LN(1+A67)-0.000000000001,0)-1))</f>
        <v>4</v>
      </c>
      <c r="I67" s="34" t="n">
        <f aca="false">IF(A67&lt;=0,1/(1-C67),(1+A67)*(1-(C67*(1+A67))^H67)/(1-C67*(1+A67))+'3. Assumptions'!$B$10*C67^H67/(1-C67))</f>
        <v>3.36604270594308</v>
      </c>
      <c r="J67" s="45" t="n">
        <f aca="false">F67+E67*D67/(1-C67)</f>
        <v>12.9355486117095</v>
      </c>
      <c r="K67" s="34" t="n">
        <f aca="false">F67-G67+E67*D67*I67</f>
        <v>14.571503311782</v>
      </c>
      <c r="L67" s="45" t="n">
        <f aca="false">'3. Assumptions'!$B$17*'2. The tape'!$B$11/J67</f>
        <v>36.3061524560988</v>
      </c>
      <c r="M67" s="31" t="n">
        <f aca="false">L67*'2. The tape'!$B$15*'2. The tape'!$D$11*K67</f>
        <v>1014702.10678066</v>
      </c>
      <c r="N67" s="31" t="n">
        <f aca="false">M67*(1+'3. Assumptions'!$B$19+'3. Assumptions'!$B$20+'3. Assumptions'!$B$22)</f>
        <v>1122260.53009941</v>
      </c>
      <c r="O67" s="31" t="n">
        <f aca="false">'6. Income and costs'!$B$39+'3. Assumptions'!$B$31*L67*12+M67*('3. Assumptions'!$B$20*(1-'3. Assumptions'!$B$21)+'3. Assumptions'!$B$33)+N67*('3. Assumptions'!$B$26+'3. Assumptions'!$B$32)</f>
        <v>592107.080468807</v>
      </c>
      <c r="P67" s="31" t="n">
        <f aca="false">N67-O67</f>
        <v>530153.449630598</v>
      </c>
    </row>
    <row r="68" customFormat="false" ht="15" hidden="false" customHeight="false" outlineLevel="0" collapsed="false">
      <c r="A68" s="53" t="n">
        <f aca="false">46*0.0025</f>
        <v>0.115</v>
      </c>
      <c r="B68" s="53" t="n">
        <f aca="false">IF(A68&gt;0,MIN('3. Assumptions'!$B$16,'3. Assumptions'!$B$13*(A68/'3. Assumptions'!$B$15)^'3. Assumptions'!$B$14),0)</f>
        <v>0.0675527177190778</v>
      </c>
      <c r="C68" s="34" t="n">
        <f aca="false">(1-'3. Assumptions'!$B$12-B68)*(1-'3. Assumptions'!$B$12)^('3. Assumptions'!$B$8-1)</f>
        <v>0.613851137536641</v>
      </c>
      <c r="D68" s="34" t="n">
        <f aca="false">1+(1-'3. Assumptions'!$B$12-B68)*(1-(1-'3. Assumptions'!$B$12)^('3. Assumptions'!$B$8-1))/'3. Assumptions'!$B$12</f>
        <v>4.79091946983881</v>
      </c>
      <c r="E68" s="34" t="n">
        <f aca="false">(1-'3. Assumptions'!$B$11)*(1-'3. Assumptions'!$B$12)^('3. Assumptions'!$B$7-1)</f>
        <v>0.690273454655712</v>
      </c>
      <c r="F68" s="34" t="n">
        <f aca="false">1+(1-'3. Assumptions'!$B$11)*(1-(1-'3. Assumptions'!$B$12)^('3. Assumptions'!$B$7-1))/'3. Assumptions'!$B$12</f>
        <v>4.28912098262087</v>
      </c>
      <c r="G6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8" s="34" t="n">
        <f aca="false">IF(A68&lt;=0,0,MAX(0,ROUNDUP(LN('3. Assumptions'!$B$10)/LN(1+A68)-0.000000000001,0)-1))</f>
        <v>4</v>
      </c>
      <c r="I68" s="34" t="n">
        <f aca="false">IF(A68&lt;=0,1/(1-C68),(1+A68)*(1-(C68*(1+A68))^H68)/(1-C68*(1+A68))+'3. Assumptions'!$B$10*C68^H68/(1-C68))</f>
        <v>3.3536817059902</v>
      </c>
      <c r="J68" s="45" t="n">
        <f aca="false">F68+E68*D68/(1-C68)</f>
        <v>12.8532910602597</v>
      </c>
      <c r="K68" s="34" t="n">
        <f aca="false">F68-G68+E68*D68*I68</f>
        <v>14.4953188121794</v>
      </c>
      <c r="L68" s="45" t="n">
        <f aca="false">'3. Assumptions'!$B$17*'2. The tape'!$B$11/J68</f>
        <v>36.5385019134946</v>
      </c>
      <c r="M68" s="31" t="n">
        <f aca="false">L68*'2. The tape'!$B$15*'2. The tape'!$D$11*K68</f>
        <v>1015856.78277349</v>
      </c>
      <c r="N68" s="31" t="n">
        <f aca="false">M68*(1+'3. Assumptions'!$B$19+'3. Assumptions'!$B$20+'3. Assumptions'!$B$22)</f>
        <v>1123537.60174748</v>
      </c>
      <c r="O68" s="31" t="n">
        <f aca="false">'6. Income and costs'!$B$39+'3. Assumptions'!$B$31*L68*12+M68*('3. Assumptions'!$B$20*(1-'3. Assumptions'!$B$21)+'3. Assumptions'!$B$33)+N68*('3. Assumptions'!$B$26+'3. Assumptions'!$B$32)</f>
        <v>592583.325272953</v>
      </c>
      <c r="P68" s="31" t="n">
        <f aca="false">N68-O68</f>
        <v>530954.276474527</v>
      </c>
    </row>
    <row r="69" customFormat="false" ht="15" hidden="false" customHeight="false" outlineLevel="0" collapsed="false">
      <c r="A69" s="53" t="n">
        <f aca="false">47*0.0025</f>
        <v>0.1175</v>
      </c>
      <c r="B69" s="53" t="n">
        <f aca="false">IF(A69&gt;0,MIN('3. Assumptions'!$B$16,'3. Assumptions'!$B$13*(A69/'3. Assumptions'!$B$15)^'3. Assumptions'!$B$14),0)</f>
        <v>0.0711309958329911</v>
      </c>
      <c r="C69" s="34" t="n">
        <f aca="false">(1-'3. Assumptions'!$B$12-B69)*(1-'3. Assumptions'!$B$12)^('3. Assumptions'!$B$8-1)</f>
        <v>0.611314574242785</v>
      </c>
      <c r="D69" s="34" t="n">
        <f aca="false">1+(1-'3. Assumptions'!$B$12-B69)*(1-(1-'3. Assumptions'!$B$12)^('3. Assumptions'!$B$8-1))/'3. Assumptions'!$B$12</f>
        <v>4.77525458532667</v>
      </c>
      <c r="E69" s="34" t="n">
        <f aca="false">(1-'3. Assumptions'!$B$11)*(1-'3. Assumptions'!$B$12)^('3. Assumptions'!$B$7-1)</f>
        <v>0.690273454655712</v>
      </c>
      <c r="F69" s="34" t="n">
        <f aca="false">1+(1-'3. Assumptions'!$B$11)*(1-(1-'3. Assumptions'!$B$12)^('3. Assumptions'!$B$7-1))/'3. Assumptions'!$B$12</f>
        <v>4.28912098262087</v>
      </c>
      <c r="G6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69" s="34" t="n">
        <f aca="false">IF(A69&lt;=0,0,MAX(0,ROUNDUP(LN('3. Assumptions'!$B$10)/LN(1+A69)-0.000000000001,0)-1))</f>
        <v>4</v>
      </c>
      <c r="I69" s="34" t="n">
        <f aca="false">IF(A69&lt;=0,1/(1-C69),(1+A69)*(1-(C69*(1+A69))^H69)/(1-C69*(1+A69))+'3. Assumptions'!$B$10*C69^H69/(1-C69))</f>
        <v>3.34077974244096</v>
      </c>
      <c r="J69" s="45" t="n">
        <f aca="false">F69+E69*D69/(1-C69)</f>
        <v>12.7695816869358</v>
      </c>
      <c r="K69" s="34" t="n">
        <f aca="false">F69-G69+E69*D69*I69</f>
        <v>14.4165274125668</v>
      </c>
      <c r="L69" s="45" t="n">
        <f aca="false">'3. Assumptions'!$B$17*'2. The tape'!$B$11/J69</f>
        <v>36.7780254290143</v>
      </c>
      <c r="M69" s="31" t="n">
        <f aca="false">L69*'2. The tape'!$B$15*'2. The tape'!$D$11*K69</f>
        <v>1016958.06907691</v>
      </c>
      <c r="N69" s="31" t="n">
        <f aca="false">M69*(1+'3. Assumptions'!$B$19+'3. Assumptions'!$B$20+'3. Assumptions'!$B$22)</f>
        <v>1124755.62439906</v>
      </c>
      <c r="O69" s="31" t="n">
        <f aca="false">'6. Income and costs'!$B$39+'3. Assumptions'!$B$31*L69*12+M69*('3. Assumptions'!$B$20*(1-'3. Assumptions'!$B$21)+'3. Assumptions'!$B$33)+N69*('3. Assumptions'!$B$26+'3. Assumptions'!$B$32)</f>
        <v>593064.691400833</v>
      </c>
      <c r="P69" s="31" t="n">
        <f aca="false">N69-O69</f>
        <v>531690.93299823</v>
      </c>
    </row>
    <row r="70" customFormat="false" ht="15" hidden="false" customHeight="false" outlineLevel="0" collapsed="false">
      <c r="A70" s="53" t="n">
        <f aca="false">48*0.0025</f>
        <v>0.12</v>
      </c>
      <c r="B70" s="53" t="n">
        <f aca="false">IF(A70&gt;0,MIN('3. Assumptions'!$B$16,'3. Assumptions'!$B$13*(A70/'3. Assumptions'!$B$15)^'3. Assumptions'!$B$14),0)</f>
        <v>0.0748174667861921</v>
      </c>
      <c r="C70" s="34" t="n">
        <f aca="false">(1-'3. Assumptions'!$B$12-B70)*(1-'3. Assumptions'!$B$12)^('3. Assumptions'!$B$8-1)</f>
        <v>0.608701315405414</v>
      </c>
      <c r="D70" s="34" t="n">
        <f aca="false">1+(1-'3. Assumptions'!$B$12-B70)*(1-(1-'3. Assumptions'!$B$12)^('3. Assumptions'!$B$8-1))/'3. Assumptions'!$B$12</f>
        <v>4.75911605726908</v>
      </c>
      <c r="E70" s="34" t="n">
        <f aca="false">(1-'3. Assumptions'!$B$11)*(1-'3. Assumptions'!$B$12)^('3. Assumptions'!$B$7-1)</f>
        <v>0.690273454655712</v>
      </c>
      <c r="F70" s="34" t="n">
        <f aca="false">1+(1-'3. Assumptions'!$B$11)*(1-(1-'3. Assumptions'!$B$12)^('3. Assumptions'!$B$7-1))/'3. Assumptions'!$B$12</f>
        <v>4.28912098262087</v>
      </c>
      <c r="G7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0" s="34" t="n">
        <f aca="false">IF(A70&lt;=0,0,MAX(0,ROUNDUP(LN('3. Assumptions'!$B$10)/LN(1+A70)-0.000000000001,0)-1))</f>
        <v>4</v>
      </c>
      <c r="I70" s="34" t="n">
        <f aca="false">IF(A70&lt;=0,1/(1-C70),(1+A70)*(1-(C70*(1+A70))^H70)/(1-C70*(1+A70))+'3. Assumptions'!$B$10*C70^H70/(1-C70))</f>
        <v>3.3273478405358</v>
      </c>
      <c r="J70" s="45" t="n">
        <f aca="false">F70+E70*D70/(1-C70)</f>
        <v>12.6844762733298</v>
      </c>
      <c r="K70" s="34" t="n">
        <f aca="false">F70-G70+E70*D70*I70</f>
        <v>14.3351861080014</v>
      </c>
      <c r="L70" s="45" t="n">
        <f aca="false">'3. Assumptions'!$B$17*'2. The tape'!$B$11/J70</f>
        <v>37.0247844593678</v>
      </c>
      <c r="M70" s="31" t="n">
        <f aca="false">L70*'2. The tape'!$B$15*'2. The tape'!$D$11*K70</f>
        <v>1018004.85748706</v>
      </c>
      <c r="N70" s="31" t="n">
        <f aca="false">M70*(1+'3. Assumptions'!$B$19+'3. Assumptions'!$B$20+'3. Assumptions'!$B$22)</f>
        <v>1125913.37238069</v>
      </c>
      <c r="O70" s="31" t="n">
        <f aca="false">'6. Income and costs'!$B$39+'3. Assumptions'!$B$31*L70*12+M70*('3. Assumptions'!$B$20*(1-'3. Assumptions'!$B$21)+'3. Assumptions'!$B$33)+N70*('3. Assumptions'!$B$26+'3. Assumptions'!$B$32)</f>
        <v>593551.152676407</v>
      </c>
      <c r="P70" s="31" t="n">
        <f aca="false">N70-O70</f>
        <v>532362.219704284</v>
      </c>
    </row>
    <row r="71" customFormat="false" ht="15" hidden="false" customHeight="false" outlineLevel="0" collapsed="false">
      <c r="A71" s="53" t="n">
        <f aca="false">49*0.0025</f>
        <v>0.1225</v>
      </c>
      <c r="B71" s="53" t="n">
        <f aca="false">IF(A71&gt;0,MIN('3. Assumptions'!$B$16,'3. Assumptions'!$B$13*(A71/'3. Assumptions'!$B$15)^'3. Assumptions'!$B$14),0)</f>
        <v>0.078613045597941</v>
      </c>
      <c r="C71" s="34" t="n">
        <f aca="false">(1-'3. Assumptions'!$B$12-B71)*(1-'3. Assumptions'!$B$12)^('3. Assumptions'!$B$8-1)</f>
        <v>0.606010712387335</v>
      </c>
      <c r="D71" s="34" t="n">
        <f aca="false">1+(1-'3. Assumptions'!$B$12-B71)*(1-(1-'3. Assumptions'!$B$12)^('3. Assumptions'!$B$8-1))/'3. Assumptions'!$B$12</f>
        <v>4.74249987992066</v>
      </c>
      <c r="E71" s="34" t="n">
        <f aca="false">(1-'3. Assumptions'!$B$11)*(1-'3. Assumptions'!$B$12)^('3. Assumptions'!$B$7-1)</f>
        <v>0.690273454655712</v>
      </c>
      <c r="F71" s="34" t="n">
        <f aca="false">1+(1-'3. Assumptions'!$B$11)*(1-(1-'3. Assumptions'!$B$12)^('3. Assumptions'!$B$7-1))/'3. Assumptions'!$B$12</f>
        <v>4.28912098262087</v>
      </c>
      <c r="G7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1" s="34" t="n">
        <f aca="false">IF(A71&lt;=0,0,MAX(0,ROUNDUP(LN('3. Assumptions'!$B$10)/LN(1+A71)-0.000000000001,0)-1))</f>
        <v>4</v>
      </c>
      <c r="I71" s="34" t="n">
        <f aca="false">IF(A71&lt;=0,1/(1-C71),(1+A71)*(1-(C71*(1+A71))^H71)/(1-C71*(1+A71))+'3. Assumptions'!$B$10*C71^H71/(1-C71))</f>
        <v>3.31339733995442</v>
      </c>
      <c r="J71" s="45" t="n">
        <f aca="false">F71+E71*D71/(1-C71)</f>
        <v>12.5980316021285</v>
      </c>
      <c r="K71" s="34" t="n">
        <f aca="false">F71-G71+E71*D71*I71</f>
        <v>14.2513537435533</v>
      </c>
      <c r="L71" s="45" t="n">
        <f aca="false">'3. Assumptions'!$B$17*'2. The tape'!$B$11/J71</f>
        <v>37.2788396498903</v>
      </c>
      <c r="M71" s="31" t="n">
        <f aca="false">L71*'2. The tape'!$B$15*'2. The tape'!$D$11*K71</f>
        <v>1018996.00615765</v>
      </c>
      <c r="N71" s="31" t="n">
        <f aca="false">M71*(1+'3. Assumptions'!$B$19+'3. Assumptions'!$B$20+'3. Assumptions'!$B$22)</f>
        <v>1127009.58281036</v>
      </c>
      <c r="O71" s="31" t="n">
        <f aca="false">'6. Income and costs'!$B$39+'3. Assumptions'!$B$31*L71*12+M71*('3. Assumptions'!$B$20*(1-'3. Assumptions'!$B$21)+'3. Assumptions'!$B$33)+N71*('3. Assumptions'!$B$26+'3. Assumptions'!$B$32)</f>
        <v>594042.678073703</v>
      </c>
      <c r="P71" s="31" t="n">
        <f aca="false">N71-O71</f>
        <v>532966.904736657</v>
      </c>
    </row>
    <row r="72" customFormat="false" ht="15" hidden="false" customHeight="false" outlineLevel="0" collapsed="false">
      <c r="A72" s="53" t="n">
        <f aca="false">50*0.0025</f>
        <v>0.125</v>
      </c>
      <c r="B72" s="53" t="n">
        <f aca="false">IF(A72&gt;0,MIN('3. Assumptions'!$B$16,'3. Assumptions'!$B$13*(A72/'3. Assumptions'!$B$15)^'3. Assumptions'!$B$14),0)</f>
        <v>0.0825186359185751</v>
      </c>
      <c r="C72" s="34" t="n">
        <f aca="false">(1-'3. Assumptions'!$B$12-B72)*(1-'3. Assumptions'!$B$12)^('3. Assumptions'!$B$8-1)</f>
        <v>0.603242124610539</v>
      </c>
      <c r="D72" s="34" t="n">
        <f aca="false">1+(1-'3. Assumptions'!$B$12-B72)*(1-(1-'3. Assumptions'!$B$12)^('3. Assumptions'!$B$8-1))/'3. Assumptions'!$B$12</f>
        <v>4.72540209730656</v>
      </c>
      <c r="E72" s="34" t="n">
        <f aca="false">(1-'3. Assumptions'!$B$11)*(1-'3. Assumptions'!$B$12)^('3. Assumptions'!$B$7-1)</f>
        <v>0.690273454655712</v>
      </c>
      <c r="F72" s="34" t="n">
        <f aca="false">1+(1-'3. Assumptions'!$B$11)*(1-(1-'3. Assumptions'!$B$12)^('3. Assumptions'!$B$7-1))/'3. Assumptions'!$B$12</f>
        <v>4.28912098262087</v>
      </c>
      <c r="G7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2" s="34" t="n">
        <f aca="false">IF(A72&lt;=0,0,MAX(0,ROUNDUP(LN('3. Assumptions'!$B$10)/LN(1+A72)-0.000000000001,0)-1))</f>
        <v>4</v>
      </c>
      <c r="I72" s="34" t="n">
        <f aca="false">IF(A72&lt;=0,1/(1-C72),(1+A72)*(1-(C72*(1+A72))^H72)/(1-C72*(1+A72))+'3. Assumptions'!$B$10*C72^H72/(1-C72))</f>
        <v>3.29893985921855</v>
      </c>
      <c r="J72" s="45" t="n">
        <f aca="false">F72+E72*D72/(1-C72)</f>
        <v>12.5103053186427</v>
      </c>
      <c r="K72" s="34" t="n">
        <f aca="false">F72-G72+E72*D72*I72</f>
        <v>14.1650908516711</v>
      </c>
      <c r="L72" s="45" t="n">
        <f aca="false">'3. Assumptions'!$B$17*'2. The tape'!$B$11/J72</f>
        <v>37.5402508602366</v>
      </c>
      <c r="M72" s="31" t="n">
        <f aca="false">L72*'2. The tape'!$B$15*'2. The tape'!$D$11*K72</f>
        <v>1019930.33886825</v>
      </c>
      <c r="N72" s="31" t="n">
        <f aca="false">M72*(1+'3. Assumptions'!$B$19+'3. Assumptions'!$B$20+'3. Assumptions'!$B$22)</f>
        <v>1128042.95478829</v>
      </c>
      <c r="O72" s="31" t="n">
        <f aca="false">'6. Income and costs'!$B$39+'3. Assumptions'!$B$31*L72*12+M72*('3. Assumptions'!$B$20*(1-'3. Assumptions'!$B$21)+'3. Assumptions'!$B$33)+N72*('3. Assumptions'!$B$26+'3. Assumptions'!$B$32)</f>
        <v>594539.231676993</v>
      </c>
      <c r="P72" s="31" t="n">
        <f aca="false">N72-O72</f>
        <v>533503.723111296</v>
      </c>
    </row>
    <row r="73" customFormat="false" ht="15" hidden="false" customHeight="false" outlineLevel="0" collapsed="false">
      <c r="A73" s="53" t="n">
        <f aca="false">51*0.0025</f>
        <v>0.1275</v>
      </c>
      <c r="B73" s="53" t="n">
        <f aca="false">IF(A73&gt;0,MIN('3. Assumptions'!$B$16,'3. Assumptions'!$B$13*(A73/'3. Assumptions'!$B$15)^'3. Assumptions'!$B$14),0)</f>
        <v>0.0865351303985942</v>
      </c>
      <c r="C73" s="34" t="n">
        <f aca="false">(1-'3. Assumptions'!$B$12-B73)*(1-'3. Assumptions'!$B$12)^('3. Assumptions'!$B$8-1)</f>
        <v>0.600394919294558</v>
      </c>
      <c r="D73" s="34" t="n">
        <f aca="false">1+(1-'3. Assumptions'!$B$12-B73)*(1-(1-'3. Assumptions'!$B$12)^('3. Assumptions'!$B$8-1))/'3. Assumptions'!$B$12</f>
        <v>4.70781880160674</v>
      </c>
      <c r="E73" s="34" t="n">
        <f aca="false">(1-'3. Assumptions'!$B$11)*(1-'3. Assumptions'!$B$12)^('3. Assumptions'!$B$7-1)</f>
        <v>0.690273454655712</v>
      </c>
      <c r="F73" s="34" t="n">
        <f aca="false">1+(1-'3. Assumptions'!$B$11)*(1-(1-'3. Assumptions'!$B$12)^('3. Assumptions'!$B$7-1))/'3. Assumptions'!$B$12</f>
        <v>4.28912098262087</v>
      </c>
      <c r="G7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3" s="34" t="n">
        <f aca="false">IF(A73&lt;=0,0,MAX(0,ROUNDUP(LN('3. Assumptions'!$B$10)/LN(1+A73)-0.000000000001,0)-1))</f>
        <v>4</v>
      </c>
      <c r="I73" s="34" t="n">
        <f aca="false">IF(A73&lt;=0,1/(1-C73),(1+A73)*(1-(C73*(1+A73))^H73)/(1-C73*(1+A73))+'3. Assumptions'!$B$10*C73^H73/(1-C73))</f>
        <v>3.2839872607343</v>
      </c>
      <c r="J73" s="45" t="n">
        <f aca="false">F73+E73*D73/(1-C73)</f>
        <v>12.4213557939035</v>
      </c>
      <c r="K73" s="34" t="n">
        <f aca="false">F73-G73+E73*D73*I73</f>
        <v>14.0764594920659</v>
      </c>
      <c r="L73" s="45" t="n">
        <f aca="false">'3. Assumptions'!$B$17*'2. The tape'!$B$11/J73</f>
        <v>37.8090771886998</v>
      </c>
      <c r="M73" s="31" t="n">
        <f aca="false">L73*'2. The tape'!$B$15*'2. The tape'!$D$11*K73</f>
        <v>1020806.64449331</v>
      </c>
      <c r="N73" s="31" t="n">
        <f aca="false">M73*(1+'3. Assumptions'!$B$19+'3. Assumptions'!$B$20+'3. Assumptions'!$B$22)</f>
        <v>1129012.14880961</v>
      </c>
      <c r="O73" s="31" t="n">
        <f aca="false">'6. Income and costs'!$B$39+'3. Assumptions'!$B$31*L73*12+M73*('3. Assumptions'!$B$20*(1-'3. Assumptions'!$B$21)+'3. Assumptions'!$B$33)+N73*('3. Assumptions'!$B$26+'3. Assumptions'!$B$32)</f>
        <v>595040.772660477</v>
      </c>
      <c r="P73" s="31" t="n">
        <f aca="false">N73-O73</f>
        <v>533971.376149129</v>
      </c>
    </row>
    <row r="74" customFormat="false" ht="15" hidden="false" customHeight="false" outlineLevel="0" collapsed="false">
      <c r="A74" s="53" t="n">
        <f aca="false">52*0.0025</f>
        <v>0.13</v>
      </c>
      <c r="B74" s="53" t="n">
        <f aca="false">IF(A74&gt;0,MIN('3. Assumptions'!$B$16,'3. Assumptions'!$B$13*(A74/'3. Assumptions'!$B$15)^'3. Assumptions'!$B$14),0)</f>
        <v>0.0906634110386593</v>
      </c>
      <c r="C74" s="34" t="n">
        <f aca="false">(1-'3. Assumptions'!$B$12-B74)*(1-'3. Assumptions'!$B$12)^('3. Assumptions'!$B$8-1)</f>
        <v>0.597468471208365</v>
      </c>
      <c r="D74" s="34" t="n">
        <f aca="false">1+(1-'3. Assumptions'!$B$12-B74)*(1-(1-'3. Assumptions'!$B$12)^('3. Assumptions'!$B$8-1))/'3. Assumptions'!$B$12</f>
        <v>4.68974613162369</v>
      </c>
      <c r="E74" s="34" t="n">
        <f aca="false">(1-'3. Assumptions'!$B$11)*(1-'3. Assumptions'!$B$12)^('3. Assumptions'!$B$7-1)</f>
        <v>0.690273454655712</v>
      </c>
      <c r="F74" s="34" t="n">
        <f aca="false">1+(1-'3. Assumptions'!$B$11)*(1-(1-'3. Assumptions'!$B$12)^('3. Assumptions'!$B$7-1))/'3. Assumptions'!$B$12</f>
        <v>4.28912098262087</v>
      </c>
      <c r="G7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4" s="34" t="n">
        <f aca="false">IF(A74&lt;=0,0,MAX(0,ROUNDUP(LN('3. Assumptions'!$B$10)/LN(1+A74)-0.000000000001,0)-1))</f>
        <v>3</v>
      </c>
      <c r="I74" s="34" t="n">
        <f aca="false">IF(A74&lt;=0,1/(1-C74),(1+A74)*(1-(C74*(1+A74))^H74)/(1-C74*(1+A74))+'3. Assumptions'!$B$10*C74^H74/(1-C74))</f>
        <v>3.26631783159003</v>
      </c>
      <c r="J74" s="45" t="n">
        <f aca="false">F74+E74*D74/(1-C74)</f>
        <v>12.3312419897677</v>
      </c>
      <c r="K74" s="34" t="n">
        <f aca="false">F74-G74+E74*D74*I74</f>
        <v>13.9782918696316</v>
      </c>
      <c r="L74" s="45" t="n">
        <f aca="false">'3. Assumptions'!$B$17*'2. The tape'!$B$11/J74</f>
        <v>38.0853769952532</v>
      </c>
      <c r="M74" s="31" t="n">
        <f aca="false">L74*'2. The tape'!$B$15*'2. The tape'!$D$11*K74</f>
        <v>1021095.44540288</v>
      </c>
      <c r="N74" s="31" t="n">
        <f aca="false">M74*(1+'3. Assumptions'!$B$19+'3. Assumptions'!$B$20+'3. Assumptions'!$B$22)</f>
        <v>1129331.56261558</v>
      </c>
      <c r="O74" s="31" t="n">
        <f aca="false">'6. Income and costs'!$B$39+'3. Assumptions'!$B$31*L74*12+M74*('3. Assumptions'!$B$20*(1-'3. Assumptions'!$B$21)+'3. Assumptions'!$B$33)+N74*('3. Assumptions'!$B$26+'3. Assumptions'!$B$32)</f>
        <v>595490.403340853</v>
      </c>
      <c r="P74" s="31" t="n">
        <f aca="false">N74-O74</f>
        <v>533841.159274726</v>
      </c>
    </row>
    <row r="75" customFormat="false" ht="15" hidden="false" customHeight="false" outlineLevel="0" collapsed="false">
      <c r="A75" s="53" t="n">
        <f aca="false">53*0.0025</f>
        <v>0.1325</v>
      </c>
      <c r="B75" s="53" t="n">
        <f aca="false">IF(A75&gt;0,MIN('3. Assumptions'!$B$16,'3. Assumptions'!$B$13*(A75/'3. Assumptions'!$B$15)^'3. Assumptions'!$B$14),0)</f>
        <v>0.094904349521846</v>
      </c>
      <c r="C75" s="34" t="n">
        <f aca="false">(1-'3. Assumptions'!$B$12-B75)*(1-'3. Assumptions'!$B$12)^('3. Assumptions'!$B$8-1)</f>
        <v>0.594462162434845</v>
      </c>
      <c r="D75" s="34" t="n">
        <f aca="false">1+(1-'3. Assumptions'!$B$12-B75)*(1-(1-'3. Assumptions'!$B$12)^('3. Assumptions'!$B$8-1))/'3. Assumptions'!$B$12</f>
        <v>4.67118027132795</v>
      </c>
      <c r="E75" s="34" t="n">
        <f aca="false">(1-'3. Assumptions'!$B$11)*(1-'3. Assumptions'!$B$12)^('3. Assumptions'!$B$7-1)</f>
        <v>0.690273454655712</v>
      </c>
      <c r="F75" s="34" t="n">
        <f aca="false">1+(1-'3. Assumptions'!$B$11)*(1-(1-'3. Assumptions'!$B$12)^('3. Assumptions'!$B$7-1))/'3. Assumptions'!$B$12</f>
        <v>4.28912098262087</v>
      </c>
      <c r="G7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5" s="34" t="n">
        <f aca="false">IF(A75&lt;=0,0,MAX(0,ROUNDUP(LN('3. Assumptions'!$B$10)/LN(1+A75)-0.000000000001,0)-1))</f>
        <v>3</v>
      </c>
      <c r="I75" s="34" t="n">
        <f aca="false">IF(A75&lt;=0,1/(1-C75),(1+A75)*(1-(C75*(1+A75))^H75)/(1-C75*(1+A75))+'3. Assumptions'!$B$10*C75^H75/(1-C75))</f>
        <v>3.24740371266808</v>
      </c>
      <c r="J75" s="45" t="n">
        <f aca="false">F75+E75*D75/(1-C75)</f>
        <v>12.2400233264524</v>
      </c>
      <c r="K75" s="34" t="n">
        <f aca="false">F75-G75+E75*D75*I75</f>
        <v>13.8754457775377</v>
      </c>
      <c r="L75" s="45" t="n">
        <f aca="false">'3. Assumptions'!$B$17*'2. The tape'!$B$11/J75</f>
        <v>38.3692079234067</v>
      </c>
      <c r="M75" s="31" t="n">
        <f aca="false">L75*'2. The tape'!$B$15*'2. The tape'!$D$11*K75</f>
        <v>1021136.39226282</v>
      </c>
      <c r="N75" s="31" t="n">
        <f aca="false">M75*(1+'3. Assumptions'!$B$19+'3. Assumptions'!$B$20+'3. Assumptions'!$B$22)</f>
        <v>1129376.84984268</v>
      </c>
      <c r="O75" s="31" t="n">
        <f aca="false">'6. Income and costs'!$B$39+'3. Assumptions'!$B$31*L75*12+M75*('3. Assumptions'!$B$20*(1-'3. Assumptions'!$B$21)+'3. Assumptions'!$B$33)+N75*('3. Assumptions'!$B$26+'3. Assumptions'!$B$32)</f>
        <v>595924.766620599</v>
      </c>
      <c r="P75" s="31" t="n">
        <f aca="false">N75-O75</f>
        <v>533452.083222082</v>
      </c>
    </row>
    <row r="76" customFormat="false" ht="15" hidden="false" customHeight="false" outlineLevel="0" collapsed="false">
      <c r="A76" s="53" t="n">
        <f aca="false">54*0.0025</f>
        <v>0.135</v>
      </c>
      <c r="B76" s="53" t="n">
        <f aca="false">IF(A76&gt;0,MIN('3. Assumptions'!$B$16,'3. Assumptions'!$B$13*(A76/'3. Assumptions'!$B$15)^'3. Assumptions'!$B$14),0)</f>
        <v>0.0992588075293739</v>
      </c>
      <c r="C76" s="34" t="n">
        <f aca="false">(1-'3. Assumptions'!$B$12-B76)*(1-'3. Assumptions'!$B$12)^('3. Assumptions'!$B$8-1)</f>
        <v>0.591375382146979</v>
      </c>
      <c r="D76" s="34" t="n">
        <f aca="false">1+(1-'3. Assumptions'!$B$12-B76)*(1-(1-'3. Assumptions'!$B$12)^('3. Assumptions'!$B$8-1))/'3. Assumptions'!$B$12</f>
        <v>4.6521174484759</v>
      </c>
      <c r="E76" s="34" t="n">
        <f aca="false">(1-'3. Assumptions'!$B$11)*(1-'3. Assumptions'!$B$12)^('3. Assumptions'!$B$7-1)</f>
        <v>0.690273454655712</v>
      </c>
      <c r="F76" s="34" t="n">
        <f aca="false">1+(1-'3. Assumptions'!$B$11)*(1-(1-'3. Assumptions'!$B$12)^('3. Assumptions'!$B$7-1))/'3. Assumptions'!$B$12</f>
        <v>4.28912098262087</v>
      </c>
      <c r="G7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6" s="34" t="n">
        <f aca="false">IF(A76&lt;=0,0,MAX(0,ROUNDUP(LN('3. Assumptions'!$B$10)/LN(1+A76)-0.000000000001,0)-1))</f>
        <v>3</v>
      </c>
      <c r="I76" s="34" t="n">
        <f aca="false">IF(A76&lt;=0,1/(1-C76),(1+A76)*(1-(C76*(1+A76))^H76)/(1-C76*(1+A76))+'3. Assumptions'!$B$10*C76^H76/(1-C76))</f>
        <v>3.22810610132834</v>
      </c>
      <c r="J76" s="45" t="n">
        <f aca="false">F76+E76*D76/(1-C76)</f>
        <v>12.1477595528957</v>
      </c>
      <c r="K76" s="34" t="n">
        <f aca="false">F76-G76+E76*D76*I76</f>
        <v>13.7707454891592</v>
      </c>
      <c r="L76" s="45" t="n">
        <f aca="false">'3. Assumptions'!$B$17*'2. The tape'!$B$11/J76</f>
        <v>38.6606269209576</v>
      </c>
      <c r="M76" s="31" t="n">
        <f aca="false">L76*'2. The tape'!$B$15*'2. The tape'!$D$11*K76</f>
        <v>1021128.31682966</v>
      </c>
      <c r="N76" s="31" t="n">
        <f aca="false">M76*(1+'3. Assumptions'!$B$19+'3. Assumptions'!$B$20+'3. Assumptions'!$B$22)</f>
        <v>1129367.9184136</v>
      </c>
      <c r="O76" s="31" t="n">
        <f aca="false">'6. Income and costs'!$B$39+'3. Assumptions'!$B$31*L76*12+M76*('3. Assumptions'!$B$20*(1-'3. Assumptions'!$B$21)+'3. Assumptions'!$B$33)+N76*('3. Assumptions'!$B$26+'3. Assumptions'!$B$32)</f>
        <v>596365.348431539</v>
      </c>
      <c r="P76" s="31" t="n">
        <f aca="false">N76-O76</f>
        <v>533002.56998206</v>
      </c>
    </row>
    <row r="77" customFormat="false" ht="15" hidden="false" customHeight="false" outlineLevel="0" collapsed="false">
      <c r="A77" s="53" t="n">
        <f aca="false">55*0.0025</f>
        <v>0.1375</v>
      </c>
      <c r="B77" s="53" t="n">
        <f aca="false">IF(A77&gt;0,MIN('3. Assumptions'!$B$16,'3. Assumptions'!$B$13*(A77/'3. Assumptions'!$B$15)^'3. Assumptions'!$B$14),0)</f>
        <v>0.103727637040929</v>
      </c>
      <c r="C77" s="34" t="n">
        <f aca="false">(1-'3. Assumptions'!$B$12-B77)*(1-'3. Assumptions'!$B$12)^('3. Assumptions'!$B$8-1)</f>
        <v>0.588207526394952</v>
      </c>
      <c r="D77" s="34" t="n">
        <f aca="false">1+(1-'3. Assumptions'!$B$12-B77)*(1-(1-'3. Assumptions'!$B$12)^('3. Assumptions'!$B$8-1))/'3. Assumptions'!$B$12</f>
        <v>4.63255393329502</v>
      </c>
      <c r="E77" s="34" t="n">
        <f aca="false">(1-'3. Assumptions'!$B$11)*(1-'3. Assumptions'!$B$12)^('3. Assumptions'!$B$7-1)</f>
        <v>0.690273454655712</v>
      </c>
      <c r="F77" s="34" t="n">
        <f aca="false">1+(1-'3. Assumptions'!$B$11)*(1-(1-'3. Assumptions'!$B$12)^('3. Assumptions'!$B$7-1))/'3. Assumptions'!$B$12</f>
        <v>4.28912098262087</v>
      </c>
      <c r="G7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7" s="34" t="n">
        <f aca="false">IF(A77&lt;=0,0,MAX(0,ROUNDUP(LN('3. Assumptions'!$B$10)/LN(1+A77)-0.000000000001,0)-1))</f>
        <v>3</v>
      </c>
      <c r="I77" s="34" t="n">
        <f aca="false">IF(A77&lt;=0,1/(1-C77),(1+A77)*(1-(C77*(1+A77))^H77)/(1-C77*(1+A77))+'3. Assumptions'!$B$10*C77^H77/(1-C77))</f>
        <v>3.20844053860409</v>
      </c>
      <c r="J77" s="45" t="n">
        <f aca="false">F77+E77*D77/(1-C77)</f>
        <v>12.0545106203184</v>
      </c>
      <c r="K77" s="34" t="n">
        <f aca="false">F77-G77+E77*D77*I77</f>
        <v>13.6642674384027</v>
      </c>
      <c r="L77" s="45" t="n">
        <f aca="false">'3. Assumptions'!$B$17*'2. The tape'!$B$11/J77</f>
        <v>38.959690259711</v>
      </c>
      <c r="M77" s="31" t="n">
        <f aca="false">L77*'2. The tape'!$B$15*'2. The tape'!$D$11*K77</f>
        <v>1021070.72480334</v>
      </c>
      <c r="N77" s="31" t="n">
        <f aca="false">M77*(1+'3. Assumptions'!$B$19+'3. Assumptions'!$B$20+'3. Assumptions'!$B$22)</f>
        <v>1129304.22163249</v>
      </c>
      <c r="O77" s="31" t="n">
        <f aca="false">'6. Income and costs'!$B$39+'3. Assumptions'!$B$31*L77*12+M77*('3. Assumptions'!$B$20*(1-'3. Assumptions'!$B$21)+'3. Assumptions'!$B$33)+N77*('3. Assumptions'!$B$26+'3. Assumptions'!$B$32)</f>
        <v>596812.180815999</v>
      </c>
      <c r="P77" s="31" t="n">
        <f aca="false">N77-O77</f>
        <v>532492.040816491</v>
      </c>
    </row>
    <row r="78" customFormat="false" ht="15" hidden="false" customHeight="false" outlineLevel="0" collapsed="false">
      <c r="A78" s="53" t="n">
        <f aca="false">56*0.0025</f>
        <v>0.14</v>
      </c>
      <c r="B78" s="53" t="n">
        <f aca="false">IF(A78&gt;0,MIN('3. Assumptions'!$B$16,'3. Assumptions'!$B$13*(A78/'3. Assumptions'!$B$15)^'3. Assumptions'!$B$14),0)</f>
        <v>0.108311680620602</v>
      </c>
      <c r="C78" s="34" t="n">
        <f aca="false">(1-'3. Assumptions'!$B$12-B78)*(1-'3. Assumptions'!$B$12)^('3. Assumptions'!$B$8-1)</f>
        <v>0.584957997903462</v>
      </c>
      <c r="D78" s="34" t="n">
        <f aca="false">1+(1-'3. Assumptions'!$B$12-B78)*(1-(1-'3. Assumptions'!$B$12)^('3. Assumptions'!$B$8-1))/'3. Assumptions'!$B$12</f>
        <v>4.61248603723211</v>
      </c>
      <c r="E78" s="34" t="n">
        <f aca="false">(1-'3. Assumptions'!$B$11)*(1-'3. Assumptions'!$B$12)^('3. Assumptions'!$B$7-1)</f>
        <v>0.690273454655712</v>
      </c>
      <c r="F78" s="34" t="n">
        <f aca="false">1+(1-'3. Assumptions'!$B$11)*(1-(1-'3. Assumptions'!$B$12)^('3. Assumptions'!$B$7-1))/'3. Assumptions'!$B$12</f>
        <v>4.28912098262087</v>
      </c>
      <c r="G7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8" s="34" t="n">
        <f aca="false">IF(A78&lt;=0,0,MAX(0,ROUNDUP(LN('3. Assumptions'!$B$10)/LN(1+A78)-0.000000000001,0)-1))</f>
        <v>3</v>
      </c>
      <c r="I78" s="34" t="n">
        <f aca="false">IF(A78&lt;=0,1/(1-C78),(1+A78)*(1-(C78*(1+A78))^H78)/(1-C78*(1+A78))+'3. Assumptions'!$B$10*C78^H78/(1-C78))</f>
        <v>3.18842257019225</v>
      </c>
      <c r="J78" s="45" t="n">
        <f aca="false">F78+E78*D78/(1-C78)</f>
        <v>11.9603365593299</v>
      </c>
      <c r="K78" s="34" t="n">
        <f aca="false">F78-G78+E78*D78*I78</f>
        <v>13.5560882995721</v>
      </c>
      <c r="L78" s="45" t="n">
        <f aca="false">'3. Assumptions'!$B$17*'2. The tape'!$B$11/J78</f>
        <v>39.2664535542396</v>
      </c>
      <c r="M78" s="31" t="n">
        <f aca="false">L78*'2. The tape'!$B$15*'2. The tape'!$D$11*K78</f>
        <v>1020963.09406994</v>
      </c>
      <c r="N78" s="31" t="n">
        <f aca="false">M78*(1+'3. Assumptions'!$B$19+'3. Assumptions'!$B$20+'3. Assumptions'!$B$22)</f>
        <v>1129185.18204135</v>
      </c>
      <c r="O78" s="31" t="n">
        <f aca="false">'6. Income and costs'!$B$39+'3. Assumptions'!$B$31*L78*12+M78*('3. Assumptions'!$B$20*(1-'3. Assumptions'!$B$21)+'3. Assumptions'!$B$33)+N78*('3. Assumptions'!$B$26+'3. Assumptions'!$B$32)</f>
        <v>597265.291827181</v>
      </c>
      <c r="P78" s="31" t="n">
        <f aca="false">N78-O78</f>
        <v>531919.890214167</v>
      </c>
    </row>
    <row r="79" customFormat="false" ht="15" hidden="false" customHeight="false" outlineLevel="0" collapsed="false">
      <c r="A79" s="53" t="n">
        <f aca="false">57*0.0025</f>
        <v>0.1425</v>
      </c>
      <c r="B79" s="53" t="n">
        <f aca="false">IF(A79&gt;0,MIN('3. Assumptions'!$B$16,'3. Assumptions'!$B$13*(A79/'3. Assumptions'!$B$15)^'3. Assumptions'!$B$14),0)</f>
        <v>0.113011771689375</v>
      </c>
      <c r="C79" s="34" t="n">
        <f aca="false">(1-'3. Assumptions'!$B$12-B79)*(1-'3. Assumptions'!$B$12)^('3. Assumptions'!$B$8-1)</f>
        <v>0.581626205878557</v>
      </c>
      <c r="D79" s="34" t="n">
        <f aca="false">1+(1-'3. Assumptions'!$B$12-B79)*(1-(1-'3. Assumptions'!$B$12)^('3. Assumptions'!$B$8-1))/'3. Assumptions'!$B$12</f>
        <v>4.59191011176042</v>
      </c>
      <c r="E79" s="34" t="n">
        <f aca="false">(1-'3. Assumptions'!$B$11)*(1-'3. Assumptions'!$B$12)^('3. Assumptions'!$B$7-1)</f>
        <v>0.690273454655712</v>
      </c>
      <c r="F79" s="34" t="n">
        <f aca="false">1+(1-'3. Assumptions'!$B$11)*(1-(1-'3. Assumptions'!$B$12)^('3. Assumptions'!$B$7-1))/'3. Assumptions'!$B$12</f>
        <v>4.28912098262087</v>
      </c>
      <c r="G7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79" s="34" t="n">
        <f aca="false">IF(A79&lt;=0,0,MAX(0,ROUNDUP(LN('3. Assumptions'!$B$10)/LN(1+A79)-0.000000000001,0)-1))</f>
        <v>3</v>
      </c>
      <c r="I79" s="34" t="n">
        <f aca="false">IF(A79&lt;=0,1/(1-C79),(1+A79)*(1-(C79*(1+A79))^H79)/(1-C79*(1+A79))+'3. Assumptions'!$B$10*C79^H79/(1-C79))</f>
        <v>3.16806771093648</v>
      </c>
      <c r="J79" s="45" t="n">
        <f aca="false">F79+E79*D79/(1-C79)</f>
        <v>11.8652973608987</v>
      </c>
      <c r="K79" s="34" t="n">
        <f aca="false">F79-G79+E79*D79*I79</f>
        <v>13.4462848243163</v>
      </c>
      <c r="L79" s="45" t="n">
        <f aca="false">'3. Assumptions'!$B$17*'2. The tape'!$B$11/J79</f>
        <v>39.5809717797437</v>
      </c>
      <c r="M79" s="31" t="n">
        <f aca="false">L79*'2. The tape'!$B$15*'2. The tape'!$D$11*K79</f>
        <v>1020804.87357152</v>
      </c>
      <c r="N79" s="31" t="n">
        <f aca="false">M79*(1+'3. Assumptions'!$B$19+'3. Assumptions'!$B$20+'3. Assumptions'!$B$22)</f>
        <v>1129010.1901701</v>
      </c>
      <c r="O79" s="31" t="n">
        <f aca="false">'6. Income and costs'!$B$39+'3. Assumptions'!$B$31*L79*12+M79*('3. Assumptions'!$B$20*(1-'3. Assumptions'!$B$21)+'3. Assumptions'!$B$33)+N79*('3. Assumptions'!$B$26+'3. Assumptions'!$B$32)</f>
        <v>597724.705434588</v>
      </c>
      <c r="P79" s="31" t="n">
        <f aca="false">N79-O79</f>
        <v>531285.484735517</v>
      </c>
    </row>
    <row r="80" customFormat="false" ht="15" hidden="false" customHeight="false" outlineLevel="0" collapsed="false">
      <c r="A80" s="53" t="n">
        <f aca="false">58*0.0025</f>
        <v>0.145</v>
      </c>
      <c r="B80" s="53" t="n">
        <f aca="false">IF(A80&gt;0,MIN('3. Assumptions'!$B$16,'3. Assumptions'!$B$13*(A80/'3. Assumptions'!$B$15)^'3. Assumptions'!$B$14),0)</f>
        <v>0.117828734785025</v>
      </c>
      <c r="C80" s="34" t="n">
        <f aca="false">(1-'3. Assumptions'!$B$12-B80)*(1-'3. Assumptions'!$B$12)^('3. Assumptions'!$B$8-1)</f>
        <v>0.578211565823393</v>
      </c>
      <c r="D80" s="34" t="n">
        <f aca="false">1+(1-'3. Assumptions'!$B$12-B80)*(1-(1-'3. Assumptions'!$B$12)^('3. Assumptions'!$B$8-1))/'3. Assumptions'!$B$12</f>
        <v>4.57082254724184</v>
      </c>
      <c r="E80" s="34" t="n">
        <f aca="false">(1-'3. Assumptions'!$B$11)*(1-'3. Assumptions'!$B$12)^('3. Assumptions'!$B$7-1)</f>
        <v>0.690273454655712</v>
      </c>
      <c r="F80" s="34" t="n">
        <f aca="false">1+(1-'3. Assumptions'!$B$11)*(1-(1-'3. Assumptions'!$B$12)^('3. Assumptions'!$B$7-1))/'3. Assumptions'!$B$12</f>
        <v>4.28912098262087</v>
      </c>
      <c r="G8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0" s="34" t="n">
        <f aca="false">IF(A80&lt;=0,0,MAX(0,ROUNDUP(LN('3. Assumptions'!$B$10)/LN(1+A80)-0.000000000001,0)-1))</f>
        <v>3</v>
      </c>
      <c r="I80" s="34" t="n">
        <f aca="false">IF(A80&lt;=0,1/(1-C80),(1+A80)*(1-(C80*(1+A80))^H80)/(1-C80*(1+A80))+'3. Assumptions'!$B$10*C80^H80/(1-C80))</f>
        <v>3.14739141073201</v>
      </c>
      <c r="J80" s="45" t="n">
        <f aca="false">F80+E80*D80/(1-C80)</f>
        <v>11.7694528614741</v>
      </c>
      <c r="K80" s="34" t="n">
        <f aca="false">F80-G80+E80*D80*I80</f>
        <v>13.3349336854256</v>
      </c>
      <c r="L80" s="45" t="n">
        <f aca="false">'3. Assumptions'!$B$17*'2. The tape'!$B$11/J80</f>
        <v>39.9032992890699</v>
      </c>
      <c r="M80" s="31" t="n">
        <f aca="false">L80*'2. The tape'!$B$15*'2. The tape'!$D$11*K80</f>
        <v>1020595.48229919</v>
      </c>
      <c r="N80" s="31" t="n">
        <f aca="false">M80*(1+'3. Assumptions'!$B$19+'3. Assumptions'!$B$20+'3. Assumptions'!$B$22)</f>
        <v>1128778.6034229</v>
      </c>
      <c r="O80" s="31" t="n">
        <f aca="false">'6. Income and costs'!$B$39+'3. Assumptions'!$B$31*L80*12+M80*('3. Assumptions'!$B$20*(1-'3. Assumptions'!$B$21)+'3. Assumptions'!$B$33)+N80*('3. Assumptions'!$B$26+'3. Assumptions'!$B$32)</f>
        <v>598190.441441428</v>
      </c>
      <c r="P80" s="31" t="n">
        <f aca="false">N80-O80</f>
        <v>530588.161981471</v>
      </c>
    </row>
    <row r="81" customFormat="false" ht="15" hidden="false" customHeight="false" outlineLevel="0" collapsed="false">
      <c r="A81" s="53" t="n">
        <f aca="false">59*0.0025</f>
        <v>0.1475</v>
      </c>
      <c r="B81" s="53" t="n">
        <f aca="false">IF(A81&gt;0,MIN('3. Assumptions'!$B$16,'3. Assumptions'!$B$13*(A81/'3. Assumptions'!$B$15)^'3. Assumptions'!$B$14),0)</f>
        <v>0.122763385810225</v>
      </c>
      <c r="C81" s="34" t="n">
        <f aca="false">(1-'3. Assumptions'!$B$12-B81)*(1-'3. Assumptions'!$B$12)^('3. Assumptions'!$B$8-1)</f>
        <v>0.574713499362365</v>
      </c>
      <c r="D81" s="34" t="n">
        <f aca="false">1+(1-'3. Assumptions'!$B$12-B81)*(1-(1-'3. Assumptions'!$B$12)^('3. Assumptions'!$B$8-1))/'3. Assumptions'!$B$12</f>
        <v>4.54921977184075</v>
      </c>
      <c r="E81" s="34" t="n">
        <f aca="false">(1-'3. Assumptions'!$B$11)*(1-'3. Assumptions'!$B$12)^('3. Assumptions'!$B$7-1)</f>
        <v>0.690273454655712</v>
      </c>
      <c r="F81" s="34" t="n">
        <f aca="false">1+(1-'3. Assumptions'!$B$11)*(1-(1-'3. Assumptions'!$B$12)^('3. Assumptions'!$B$7-1))/'3. Assumptions'!$B$12</f>
        <v>4.28912098262087</v>
      </c>
      <c r="G8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1" s="34" t="n">
        <f aca="false">IF(A81&lt;=0,0,MAX(0,ROUNDUP(LN('3. Assumptions'!$B$10)/LN(1+A81)-0.000000000001,0)-1))</f>
        <v>3</v>
      </c>
      <c r="I81" s="34" t="n">
        <f aca="false">IF(A81&lt;=0,1/(1-C81),(1+A81)*(1-(C81*(1+A81))^H81)/(1-C81*(1+A81))+'3. Assumptions'!$B$10*C81^H81/(1-C81))</f>
        <v>3.12640902193841</v>
      </c>
      <c r="J81" s="45" t="n">
        <f aca="false">F81+E81*D81/(1-C81)</f>
        <v>11.6728626325168</v>
      </c>
      <c r="K81" s="34" t="n">
        <f aca="false">F81-G81+E81*D81*I81</f>
        <v>13.2221113278698</v>
      </c>
      <c r="L81" s="45" t="n">
        <f aca="false">'3. Assumptions'!$B$17*'2. The tape'!$B$11/J81</f>
        <v>40.2334898289419</v>
      </c>
      <c r="M81" s="31" t="n">
        <f aca="false">L81*'2. The tape'!$B$15*'2. The tape'!$D$11*K81</f>
        <v>1020334.30841741</v>
      </c>
      <c r="N81" s="31" t="n">
        <f aca="false">M81*(1+'3. Assumptions'!$B$19+'3. Assumptions'!$B$20+'3. Assumptions'!$B$22)</f>
        <v>1128489.74510966</v>
      </c>
      <c r="O81" s="31" t="n">
        <f aca="false">'6. Income and costs'!$B$39+'3. Assumptions'!$B$31*L81*12+M81*('3. Assumptions'!$B$20*(1-'3. Assumptions'!$B$21)+'3. Assumptions'!$B$33)+N81*('3. Assumptions'!$B$26+'3. Assumptions'!$B$32)</f>
        <v>598662.51541496</v>
      </c>
      <c r="P81" s="31" t="n">
        <f aca="false">N81-O81</f>
        <v>529827.229694697</v>
      </c>
    </row>
    <row r="82" customFormat="false" ht="15" hidden="false" customHeight="false" outlineLevel="0" collapsed="false">
      <c r="A82" s="53" t="n">
        <f aca="false">60*0.0025</f>
        <v>0.15</v>
      </c>
      <c r="B82" s="53" t="n">
        <f aca="false">IF(A82&gt;0,MIN('3. Assumptions'!$B$16,'3. Assumptions'!$B$13*(A82/'3. Assumptions'!$B$15)^'3. Assumptions'!$B$14),0)</f>
        <v>0.127816532269583</v>
      </c>
      <c r="C82" s="34" t="n">
        <f aca="false">(1-'3. Assumptions'!$B$12-B82)*(1-'3. Assumptions'!$B$12)^('3. Assumptions'!$B$8-1)</f>
        <v>0.571131434073072</v>
      </c>
      <c r="D82" s="34" t="n">
        <f aca="false">1+(1-'3. Assumptions'!$B$12-B82)*(1-(1-'3. Assumptions'!$B$12)^('3. Assumptions'!$B$8-1))/'3. Assumptions'!$B$12</f>
        <v>4.52709825048639</v>
      </c>
      <c r="E82" s="34" t="n">
        <f aca="false">(1-'3. Assumptions'!$B$11)*(1-'3. Assumptions'!$B$12)^('3. Assumptions'!$B$7-1)</f>
        <v>0.690273454655712</v>
      </c>
      <c r="F82" s="34" t="n">
        <f aca="false">1+(1-'3. Assumptions'!$B$11)*(1-(1-'3. Assumptions'!$B$12)^('3. Assumptions'!$B$7-1))/'3. Assumptions'!$B$12</f>
        <v>4.28912098262087</v>
      </c>
      <c r="G8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2" s="34" t="n">
        <f aca="false">IF(A82&lt;=0,0,MAX(0,ROUNDUP(LN('3. Assumptions'!$B$10)/LN(1+A82)-0.000000000001,0)-1))</f>
        <v>3</v>
      </c>
      <c r="I82" s="34" t="n">
        <f aca="false">IF(A82&lt;=0,1/(1-C82),(1+A82)*(1-(C82*(1+A82))^H82)/(1-C82*(1+A82))+'3. Assumptions'!$B$10*C82^H82/(1-C82))</f>
        <v>3.10513576837654</v>
      </c>
      <c r="J82" s="45" t="n">
        <f aca="false">F82+E82*D82/(1-C82)</f>
        <v>11.5755858746678</v>
      </c>
      <c r="K82" s="34" t="n">
        <f aca="false">F82-G82+E82*D82*I82</f>
        <v>13.1078938274221</v>
      </c>
      <c r="L82" s="45" t="n">
        <f aca="false">'3. Assumptions'!$B$17*'2. The tape'!$B$11/J82</f>
        <v>40.5715965554511</v>
      </c>
      <c r="M82" s="31" t="n">
        <f aca="false">L82*'2. The tape'!$B$15*'2. The tape'!$D$11*K82</f>
        <v>1020020.70852813</v>
      </c>
      <c r="N82" s="31" t="n">
        <f aca="false">M82*(1+'3. Assumptions'!$B$19+'3. Assumptions'!$B$20+'3. Assumptions'!$B$22)</f>
        <v>1128142.90363211</v>
      </c>
      <c r="O82" s="31" t="n">
        <f aca="false">'6. Income and costs'!$B$39+'3. Assumptions'!$B$31*L82*12+M82*('3. Assumptions'!$B$20*(1-'3. Assumptions'!$B$21)+'3. Assumptions'!$B$33)+N82*('3. Assumptions'!$B$26+'3. Assumptions'!$B$32)</f>
        <v>599140.938630751</v>
      </c>
      <c r="P82" s="31" t="n">
        <f aca="false">N82-O82</f>
        <v>529001.965001357</v>
      </c>
    </row>
    <row r="83" customFormat="false" ht="15" hidden="false" customHeight="false" outlineLevel="0" collapsed="false">
      <c r="A83" s="53" t="n">
        <f aca="false">61*0.0025</f>
        <v>0.1525</v>
      </c>
      <c r="B83" s="53" t="n">
        <f aca="false">IF(A83&gt;0,MIN('3. Assumptions'!$B$16,'3. Assumptions'!$B$13*(A83/'3. Assumptions'!$B$15)^'3. Assumptions'!$B$14),0)</f>
        <v>0.132988973496282</v>
      </c>
      <c r="C83" s="34" t="n">
        <f aca="false">(1-'3. Assumptions'!$B$12-B83)*(1-'3. Assumptions'!$B$12)^('3. Assumptions'!$B$8-1)</f>
        <v>0.567464803325658</v>
      </c>
      <c r="D83" s="34" t="n">
        <f aca="false">1+(1-'3. Assumptions'!$B$12-B83)*(1-(1-'3. Assumptions'!$B$12)^('3. Assumptions'!$B$8-1))/'3. Assumptions'!$B$12</f>
        <v>4.5044544838806</v>
      </c>
      <c r="E83" s="34" t="n">
        <f aca="false">(1-'3. Assumptions'!$B$11)*(1-'3. Assumptions'!$B$12)^('3. Assumptions'!$B$7-1)</f>
        <v>0.690273454655712</v>
      </c>
      <c r="F83" s="34" t="n">
        <f aca="false">1+(1-'3. Assumptions'!$B$11)*(1-(1-'3. Assumptions'!$B$12)^('3. Assumptions'!$B$7-1))/'3. Assumptions'!$B$12</f>
        <v>4.28912098262087</v>
      </c>
      <c r="G8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3" s="34" t="n">
        <f aca="false">IF(A83&lt;=0,0,MAX(0,ROUNDUP(LN('3. Assumptions'!$B$10)/LN(1+A83)-0.000000000001,0)-1))</f>
        <v>3</v>
      </c>
      <c r="I83" s="34" t="n">
        <f aca="false">IF(A83&lt;=0,1/(1-C83),(1+A83)*(1-(C83*(1+A83))^H83)/(1-C83*(1+A83))+'3. Assumptions'!$B$10*C83^H83/(1-C83))</f>
        <v>3.08358671597542</v>
      </c>
      <c r="J83" s="45" t="n">
        <f aca="false">F83+E83*D83/(1-C83)</f>
        <v>11.4776813167494</v>
      </c>
      <c r="K83" s="34" t="n">
        <f aca="false">F83-G83+E83*D83*I83</f>
        <v>12.9923567571609</v>
      </c>
      <c r="L83" s="45" t="n">
        <f aca="false">'3. Assumptions'!$B$17*'2. The tape'!$B$11/J83</f>
        <v>40.9176720488529</v>
      </c>
      <c r="M83" s="31" t="n">
        <f aca="false">L83*'2. The tape'!$B$15*'2. The tape'!$D$11*K83</f>
        <v>1019654.00708257</v>
      </c>
      <c r="N83" s="31" t="n">
        <f aca="false">M83*(1+'3. Assumptions'!$B$19+'3. Assumptions'!$B$20+'3. Assumptions'!$B$22)</f>
        <v>1127737.33183332</v>
      </c>
      <c r="O83" s="31" t="n">
        <f aca="false">'6. Income and costs'!$B$39+'3. Assumptions'!$B$31*L83*12+M83*('3. Assumptions'!$B$20*(1-'3. Assumptions'!$B$21)+'3. Assumptions'!$B$33)+N83*('3. Assumptions'!$B$26+'3. Assumptions'!$B$32)</f>
        <v>599625.718031789</v>
      </c>
      <c r="P83" s="31" t="n">
        <f aca="false">N83-O83</f>
        <v>528111.613801532</v>
      </c>
    </row>
    <row r="84" customFormat="false" ht="15" hidden="false" customHeight="false" outlineLevel="0" collapsed="false">
      <c r="A84" s="53" t="n">
        <f aca="false">62*0.0025</f>
        <v>0.155</v>
      </c>
      <c r="B84" s="53" t="n">
        <f aca="false">IF(A84&gt;0,MIN('3. Assumptions'!$B$16,'3. Assumptions'!$B$13*(A84/'3. Assumptions'!$B$15)^'3. Assumptions'!$B$14),0)</f>
        <v>0.138281500868942</v>
      </c>
      <c r="C84" s="34" t="n">
        <f aca="false">(1-'3. Assumptions'!$B$12-B84)*(1-'3. Assumptions'!$B$12)^('3. Assumptions'!$B$8-1)</f>
        <v>0.563713046129084</v>
      </c>
      <c r="D84" s="34" t="n">
        <f aca="false">1+(1-'3. Assumptions'!$B$12-B84)*(1-(1-'3. Assumptions'!$B$12)^('3. Assumptions'!$B$8-1))/'3. Assumptions'!$B$12</f>
        <v>4.48128500754848</v>
      </c>
      <c r="E84" s="34" t="n">
        <f aca="false">(1-'3. Assumptions'!$B$11)*(1-'3. Assumptions'!$B$12)^('3. Assumptions'!$B$7-1)</f>
        <v>0.690273454655712</v>
      </c>
      <c r="F84" s="34" t="n">
        <f aca="false">1+(1-'3. Assumptions'!$B$11)*(1-(1-'3. Assumptions'!$B$12)^('3. Assumptions'!$B$7-1))/'3. Assumptions'!$B$12</f>
        <v>4.28912098262087</v>
      </c>
      <c r="G8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4" s="34" t="n">
        <f aca="false">IF(A84&lt;=0,0,MAX(0,ROUNDUP(LN('3. Assumptions'!$B$10)/LN(1+A84)-0.000000000001,0)-1))</f>
        <v>3</v>
      </c>
      <c r="I84" s="34" t="n">
        <f aca="false">IF(A84&lt;=0,1/(1-C84),(1+A84)*(1-(C84*(1+A84))^H84)/(1-C84*(1+A84))+'3. Assumptions'!$B$10*C84^H84/(1-C84))</f>
        <v>3.06177674512491</v>
      </c>
      <c r="J84" s="45" t="n">
        <f aca="false">F84+E84*D84/(1-C84)</f>
        <v>11.3792071197657</v>
      </c>
      <c r="K84" s="34" t="n">
        <f aca="false">F84-G84+E84*D84*I84</f>
        <v>12.8755750620875</v>
      </c>
      <c r="L84" s="45" t="n">
        <f aca="false">'3. Assumptions'!$B$17*'2. The tape'!$B$11/J84</f>
        <v>41.2717683277101</v>
      </c>
      <c r="M84" s="31" t="n">
        <f aca="false">L84*'2. The tape'!$B$15*'2. The tape'!$D$11*K84</f>
        <v>1019233.49594922</v>
      </c>
      <c r="N84" s="31" t="n">
        <f aca="false">M84*(1+'3. Assumptions'!$B$19+'3. Assumptions'!$B$20+'3. Assumptions'!$B$22)</f>
        <v>1127272.24651983</v>
      </c>
      <c r="O84" s="31" t="n">
        <f aca="false">'6. Income and costs'!$B$39+'3. Assumptions'!$B$31*L84*12+M84*('3. Assumptions'!$B$20*(1-'3. Assumptions'!$B$21)+'3. Assumptions'!$B$33)+N84*('3. Assumptions'!$B$26+'3. Assumptions'!$B$32)</f>
        <v>600116.856203409</v>
      </c>
      <c r="P84" s="31" t="n">
        <f aca="false">N84-O84</f>
        <v>527155.390316424</v>
      </c>
    </row>
    <row r="85" customFormat="false" ht="15" hidden="false" customHeight="false" outlineLevel="0" collapsed="false">
      <c r="A85" s="53" t="n">
        <f aca="false">63*0.0025</f>
        <v>0.1575</v>
      </c>
      <c r="B85" s="53" t="n">
        <f aca="false">IF(A85&gt;0,MIN('3. Assumptions'!$B$16,'3. Assumptions'!$B$13*(A85/'3. Assumptions'!$B$15)^'3. Assumptions'!$B$14),0)</f>
        <v>0.143694898019288</v>
      </c>
      <c r="C85" s="34" t="n">
        <f aca="false">(1-'3. Assumptions'!$B$12-B85)*(1-'3. Assumptions'!$B$12)^('3. Assumptions'!$B$8-1)</f>
        <v>0.559875606983915</v>
      </c>
      <c r="D85" s="34" t="n">
        <f aca="false">1+(1-'3. Assumptions'!$B$12-B85)*(1-(1-'3. Assumptions'!$B$12)^('3. Assumptions'!$B$8-1))/'3. Assumptions'!$B$12</f>
        <v>4.45758639092927</v>
      </c>
      <c r="E85" s="34" t="n">
        <f aca="false">(1-'3. Assumptions'!$B$11)*(1-'3. Assumptions'!$B$12)^('3. Assumptions'!$B$7-1)</f>
        <v>0.690273454655712</v>
      </c>
      <c r="F85" s="34" t="n">
        <f aca="false">1+(1-'3. Assumptions'!$B$11)*(1-(1-'3. Assumptions'!$B$12)^('3. Assumptions'!$B$7-1))/'3. Assumptions'!$B$12</f>
        <v>4.28912098262087</v>
      </c>
      <c r="G8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5" s="34" t="n">
        <f aca="false">IF(A85&lt;=0,0,MAX(0,ROUNDUP(LN('3. Assumptions'!$B$10)/LN(1+A85)-0.000000000001,0)-1))</f>
        <v>3</v>
      </c>
      <c r="I85" s="34" t="n">
        <f aca="false">IF(A85&lt;=0,1/(1-C85),(1+A85)*(1-(C85*(1+A85))^H85)/(1-C85*(1+A85))+'3. Assumptions'!$B$10*C85^H85/(1-C85))</f>
        <v>3.03972052477987</v>
      </c>
      <c r="J85" s="45" t="n">
        <f aca="false">F85+E85*D85/(1-C85)</f>
        <v>11.2802207860362</v>
      </c>
      <c r="K85" s="34" t="n">
        <f aca="false">F85-G85+E85*D85*I85</f>
        <v>12.75762294205</v>
      </c>
      <c r="L85" s="45" t="n">
        <f aca="false">'3. Assumptions'!$B$17*'2. The tape'!$B$11/J85</f>
        <v>41.633936862421</v>
      </c>
      <c r="M85" s="31" t="n">
        <f aca="false">L85*'2. The tape'!$B$15*'2. The tape'!$D$11*K85</f>
        <v>1018758.43414583</v>
      </c>
      <c r="N85" s="31" t="n">
        <f aca="false">M85*(1+'3. Assumptions'!$B$19+'3. Assumptions'!$B$20+'3. Assumptions'!$B$22)</f>
        <v>1126746.82816528</v>
      </c>
      <c r="O85" s="31" t="n">
        <f aca="false">'6. Income and costs'!$B$39+'3. Assumptions'!$B$31*L85*12+M85*('3. Assumptions'!$B$20*(1-'3. Assumptions'!$B$21)+'3. Assumptions'!$B$33)+N85*('3. Assumptions'!$B$26+'3. Assumptions'!$B$32)</f>
        <v>600614.351364942</v>
      </c>
      <c r="P85" s="31" t="n">
        <f aca="false">N85-O85</f>
        <v>526132.476800341</v>
      </c>
    </row>
    <row r="86" customFormat="false" ht="15" hidden="false" customHeight="false" outlineLevel="0" collapsed="false">
      <c r="A86" s="53" t="n">
        <f aca="false">64*0.0025</f>
        <v>0.16</v>
      </c>
      <c r="B86" s="53" t="n">
        <f aca="false">IF(A86&gt;0,MIN('3. Assumptions'!$B$16,'3. Assumptions'!$B$13*(A86/'3. Assumptions'!$B$15)^'3. Assumptions'!$B$14),0)</f>
        <v>0.149229941031144</v>
      </c>
      <c r="C86" s="34" t="n">
        <f aca="false">(1-'3. Assumptions'!$B$12-B86)*(1-'3. Assumptions'!$B$12)^('3. Assumptions'!$B$8-1)</f>
        <v>0.555951935741259</v>
      </c>
      <c r="D86" s="34" t="n">
        <f aca="false">1+(1-'3. Assumptions'!$B$12-B86)*(1-(1-'3. Assumptions'!$B$12)^('3. Assumptions'!$B$8-1))/'3. Assumptions'!$B$12</f>
        <v>4.43335523650522</v>
      </c>
      <c r="E86" s="34" t="n">
        <f aca="false">(1-'3. Assumptions'!$B$11)*(1-'3. Assumptions'!$B$12)^('3. Assumptions'!$B$7-1)</f>
        <v>0.690273454655712</v>
      </c>
      <c r="F86" s="34" t="n">
        <f aca="false">1+(1-'3. Assumptions'!$B$11)*(1-(1-'3. Assumptions'!$B$12)^('3. Assumptions'!$B$7-1))/'3. Assumptions'!$B$12</f>
        <v>4.28912098262087</v>
      </c>
      <c r="G8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6" s="34" t="n">
        <f aca="false">IF(A86&lt;=0,0,MAX(0,ROUNDUP(LN('3. Assumptions'!$B$10)/LN(1+A86)-0.000000000001,0)-1))</f>
        <v>3</v>
      </c>
      <c r="I86" s="34" t="n">
        <f aca="false">IF(A86&lt;=0,1/(1-C86),(1+A86)*(1-(C86*(1+A86))^H86)/(1-C86*(1+A86))+'3. Assumptions'!$B$10*C86^H86/(1-C86))</f>
        <v>3.01743248835169</v>
      </c>
      <c r="J86" s="45" t="n">
        <f aca="false">F86+E86*D86/(1-C86)</f>
        <v>11.1807790735687</v>
      </c>
      <c r="K86" s="34" t="n">
        <f aca="false">F86-G86+E86*D86*I86</f>
        <v>12.6385737431103</v>
      </c>
      <c r="L86" s="45" t="n">
        <f aca="false">'3. Assumptions'!$B$17*'2. The tape'!$B$11/J86</f>
        <v>42.0042285881695</v>
      </c>
      <c r="M86" s="31" t="n">
        <f aca="false">L86*'2. The tape'!$B$15*'2. The tape'!$D$11*K86</f>
        <v>1018228.04774356</v>
      </c>
      <c r="N86" s="31" t="n">
        <f aca="false">M86*(1+'3. Assumptions'!$B$19+'3. Assumptions'!$B$20+'3. Assumptions'!$B$22)</f>
        <v>1126160.22080438</v>
      </c>
      <c r="O86" s="31" t="n">
        <f aca="false">'6. Income and costs'!$B$39+'3. Assumptions'!$B$31*L86*12+M86*('3. Assumptions'!$B$20*(1-'3. Assumptions'!$B$21)+'3. Assumptions'!$B$33)+N86*('3. Assumptions'!$B$26+'3. Assumptions'!$B$32)</f>
        <v>601118.197379018</v>
      </c>
      <c r="P86" s="31" t="n">
        <f aca="false">N86-O86</f>
        <v>525042.02342536</v>
      </c>
    </row>
    <row r="87" customFormat="false" ht="15" hidden="false" customHeight="false" outlineLevel="0" collapsed="false">
      <c r="A87" s="53" t="n">
        <f aca="false">65*0.0025</f>
        <v>0.1625</v>
      </c>
      <c r="B87" s="53" t="n">
        <f aca="false">IF(A87&gt;0,MIN('3. Assumptions'!$B$16,'3. Assumptions'!$B$13*(A87/'3. Assumptions'!$B$15)^'3. Assumptions'!$B$14),0)</f>
        <v>0.154887398631251</v>
      </c>
      <c r="C87" s="34" t="n">
        <f aca="false">(1-'3. Assumptions'!$B$12-B87)*(1-'3. Assumptions'!$B$12)^('3. Assumptions'!$B$8-1)</f>
        <v>0.551941487467499</v>
      </c>
      <c r="D87" s="34" t="n">
        <f aca="false">1+(1-'3. Assumptions'!$B$12-B87)*(1-(1-'3. Assumptions'!$B$12)^('3. Assumptions'!$B$8-1))/'3. Assumptions'!$B$12</f>
        <v>4.40858817896618</v>
      </c>
      <c r="E87" s="34" t="n">
        <f aca="false">(1-'3. Assumptions'!$B$11)*(1-'3. Assumptions'!$B$12)^('3. Assumptions'!$B$7-1)</f>
        <v>0.690273454655712</v>
      </c>
      <c r="F87" s="34" t="n">
        <f aca="false">1+(1-'3. Assumptions'!$B$11)*(1-(1-'3. Assumptions'!$B$12)^('3. Assumptions'!$B$7-1))/'3. Assumptions'!$B$12</f>
        <v>4.28912098262087</v>
      </c>
      <c r="G8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7" s="34" t="n">
        <f aca="false">IF(A87&lt;=0,0,MAX(0,ROUNDUP(LN('3. Assumptions'!$B$10)/LN(1+A87)-0.000000000001,0)-1))</f>
        <v>3</v>
      </c>
      <c r="I87" s="34" t="n">
        <f aca="false">IF(A87&lt;=0,1/(1-C87),(1+A87)*(1-(C87*(1+A87))^H87)/(1-C87*(1+A87))+'3. Assumptions'!$B$10*C87^H87/(1-C87))</f>
        <v>2.99492681141339</v>
      </c>
      <c r="J87" s="45" t="n">
        <f aca="false">F87+E87*D87/(1-C87)</f>
        <v>11.0809379157465</v>
      </c>
      <c r="K87" s="34" t="n">
        <f aca="false">F87-G87+E87*D87*I87</f>
        <v>12.5184998574442</v>
      </c>
      <c r="L87" s="45" t="n">
        <f aca="false">'3. Assumptions'!$B$17*'2. The tape'!$B$11/J87</f>
        <v>42.3826939173282</v>
      </c>
      <c r="M87" s="31" t="n">
        <f aca="false">L87*'2. The tape'!$B$15*'2. The tape'!$D$11*K87</f>
        <v>1017641.52995102</v>
      </c>
      <c r="N87" s="31" t="n">
        <f aca="false">M87*(1+'3. Assumptions'!$B$19+'3. Assumptions'!$B$20+'3. Assumptions'!$B$22)</f>
        <v>1125511.53212582</v>
      </c>
      <c r="O87" s="31" t="n">
        <f aca="false">'6. Income and costs'!$B$39+'3. Assumptions'!$B$31*L87*12+M87*('3. Assumptions'!$B$20*(1-'3. Assumptions'!$B$21)+'3. Assumptions'!$B$33)+N87*('3. Assumptions'!$B$26+'3. Assumptions'!$B$32)</f>
        <v>601628.383779394</v>
      </c>
      <c r="P87" s="31" t="n">
        <f aca="false">N87-O87</f>
        <v>523883.148346429</v>
      </c>
    </row>
    <row r="88" customFormat="false" ht="15" hidden="false" customHeight="false" outlineLevel="0" collapsed="false">
      <c r="A88" s="53" t="n">
        <f aca="false">66*0.0025</f>
        <v>0.165</v>
      </c>
      <c r="B88" s="53" t="n">
        <f aca="false">IF(A88&gt;0,MIN('3. Assumptions'!$B$16,'3. Assumptions'!$B$13*(A88/'3. Assumptions'!$B$15)^'3. Assumptions'!$B$14),0)</f>
        <v>0.160668032372372</v>
      </c>
      <c r="C88" s="34" t="n">
        <f aca="false">(1-'3. Assumptions'!$B$12-B88)*(1-'3. Assumptions'!$B$12)^('3. Assumptions'!$B$8-1)</f>
        <v>0.547843722314494</v>
      </c>
      <c r="D88" s="34" t="n">
        <f aca="false">1+(1-'3. Assumptions'!$B$12-B88)*(1-(1-'3. Assumptions'!$B$12)^('3. Assumptions'!$B$8-1))/'3. Assumptions'!$B$12</f>
        <v>4.38328188440804</v>
      </c>
      <c r="E88" s="34" t="n">
        <f aca="false">(1-'3. Assumptions'!$B$11)*(1-'3. Assumptions'!$B$12)^('3. Assumptions'!$B$7-1)</f>
        <v>0.690273454655712</v>
      </c>
      <c r="F88" s="34" t="n">
        <f aca="false">1+(1-'3. Assumptions'!$B$11)*(1-(1-'3. Assumptions'!$B$12)^('3. Assumptions'!$B$7-1))/'3. Assumptions'!$B$12</f>
        <v>4.28912098262087</v>
      </c>
      <c r="G8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8" s="34" t="n">
        <f aca="false">IF(A88&lt;=0,0,MAX(0,ROUNDUP(LN('3. Assumptions'!$B$10)/LN(1+A88)-0.000000000001,0)-1))</f>
        <v>3</v>
      </c>
      <c r="I88" s="34" t="n">
        <f aca="false">IF(A88&lt;=0,1/(1-C88),(1+A88)*(1-(C88*(1+A88))^H88)/(1-C88*(1+A88))+'3. Assumptions'!$B$10*C88^H88/(1-C88))</f>
        <v>2.97221739123547</v>
      </c>
      <c r="J88" s="45" t="n">
        <f aca="false">F88+E88*D88/(1-C88)</f>
        <v>10.9807523463783</v>
      </c>
      <c r="K88" s="34" t="n">
        <f aca="false">F88-G88+E88*D88*I88</f>
        <v>12.3974726318159</v>
      </c>
      <c r="L88" s="45" t="n">
        <f aca="false">'3. Assumptions'!$B$17*'2. The tape'!$B$11/J88</f>
        <v>42.7693827513466</v>
      </c>
      <c r="M88" s="31" t="n">
        <f aca="false">L88*'2. The tape'!$B$15*'2. The tape'!$D$11*K88</f>
        <v>1016998.04138577</v>
      </c>
      <c r="N88" s="31" t="n">
        <f aca="false">M88*(1+'3. Assumptions'!$B$19+'3. Assumptions'!$B$20+'3. Assumptions'!$B$22)</f>
        <v>1124799.83377266</v>
      </c>
      <c r="O88" s="31" t="n">
        <f aca="false">'6. Income and costs'!$B$39+'3. Assumptions'!$B$31*L88*12+M88*('3. Assumptions'!$B$20*(1-'3. Assumptions'!$B$21)+'3. Assumptions'!$B$33)+N88*('3. Assumptions'!$B$26+'3. Assumptions'!$B$32)</f>
        <v>602144.895818193</v>
      </c>
      <c r="P88" s="31" t="n">
        <f aca="false">N88-O88</f>
        <v>522654.93795447</v>
      </c>
    </row>
    <row r="89" customFormat="false" ht="15" hidden="false" customHeight="false" outlineLevel="0" collapsed="false">
      <c r="A89" s="53" t="n">
        <f aca="false">67*0.0025</f>
        <v>0.1675</v>
      </c>
      <c r="B89" s="53" t="n">
        <f aca="false">IF(A89&gt;0,MIN('3. Assumptions'!$B$16,'3. Assumptions'!$B$13*(A89/'3. Assumptions'!$B$15)^'3. Assumptions'!$B$14),0)</f>
        <v>0.166572596809101</v>
      </c>
      <c r="C89" s="34" t="n">
        <f aca="false">(1-'3. Assumptions'!$B$12-B89)*(1-'3. Assumptions'!$B$12)^('3. Assumptions'!$B$8-1)</f>
        <v>0.543658105394954</v>
      </c>
      <c r="D89" s="34" t="n">
        <f aca="false">1+(1-'3. Assumptions'!$B$12-B89)*(1-(1-'3. Assumptions'!$B$12)^('3. Assumptions'!$B$8-1))/'3. Assumptions'!$B$12</f>
        <v>4.35743304956308</v>
      </c>
      <c r="E89" s="34" t="n">
        <f aca="false">(1-'3. Assumptions'!$B$11)*(1-'3. Assumptions'!$B$12)^('3. Assumptions'!$B$7-1)</f>
        <v>0.690273454655712</v>
      </c>
      <c r="F89" s="34" t="n">
        <f aca="false">1+(1-'3. Assumptions'!$B$11)*(1-(1-'3. Assumptions'!$B$12)^('3. Assumptions'!$B$7-1))/'3. Assumptions'!$B$12</f>
        <v>4.28912098262087</v>
      </c>
      <c r="G8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89" s="34" t="n">
        <f aca="false">IF(A89&lt;=0,0,MAX(0,ROUNDUP(LN('3. Assumptions'!$B$10)/LN(1+A89)-0.000000000001,0)-1))</f>
        <v>3</v>
      </c>
      <c r="I89" s="34" t="n">
        <f aca="false">IF(A89&lt;=0,1/(1-C89),(1+A89)*(1-(C89*(1+A89))^H89)/(1-C89*(1+A89))+'3. Assumptions'!$B$10*C89^H89/(1-C89))</f>
        <v>2.94931782816049</v>
      </c>
      <c r="J89" s="45" t="n">
        <f aca="false">F89+E89*D89/(1-C89)</f>
        <v>10.8802764301304</v>
      </c>
      <c r="K89" s="34" t="n">
        <f aca="false">F89-G89+E89*D89*I89</f>
        <v>12.2755622846239</v>
      </c>
      <c r="L89" s="45" t="n">
        <f aca="false">'3. Assumptions'!$B$17*'2. The tape'!$B$11/J89</f>
        <v>43.1643444921527</v>
      </c>
      <c r="M89" s="31" t="n">
        <f aca="false">L89*'2. The tape'!$B$15*'2. The tape'!$D$11*K89</f>
        <v>1016296.71054087</v>
      </c>
      <c r="N89" s="31" t="n">
        <f aca="false">M89*(1+'3. Assumptions'!$B$19+'3. Assumptions'!$B$20+'3. Assumptions'!$B$22)</f>
        <v>1124024.1618582</v>
      </c>
      <c r="O89" s="31" t="n">
        <f aca="false">'6. Income and costs'!$B$39+'3. Assumptions'!$B$31*L89*12+M89*('3. Assumptions'!$B$20*(1-'3. Assumptions'!$B$21)+'3. Assumptions'!$B$33)+N89*('3. Assumptions'!$B$26+'3. Assumptions'!$B$32)</f>
        <v>602667.714533377</v>
      </c>
      <c r="P89" s="31" t="n">
        <f aca="false">N89-O89</f>
        <v>521356.447324824</v>
      </c>
    </row>
    <row r="90" customFormat="false" ht="15" hidden="false" customHeight="false" outlineLevel="0" collapsed="false">
      <c r="A90" s="53" t="n">
        <f aca="false">68*0.0025</f>
        <v>0.17</v>
      </c>
      <c r="B90" s="53" t="n">
        <f aca="false">IF(A90&gt;0,MIN('3. Assumptions'!$B$16,'3. Assumptions'!$B$13*(A90/'3. Assumptions'!$B$15)^'3. Assumptions'!$B$14),0)</f>
        <v>0.172601839666774</v>
      </c>
      <c r="C90" s="34" t="n">
        <f aca="false">(1-'3. Assumptions'!$B$12-B90)*(1-'3. Assumptions'!$B$12)^('3. Assumptions'!$B$8-1)</f>
        <v>0.5393841066627</v>
      </c>
      <c r="D90" s="34" t="n">
        <f aca="false">1+(1-'3. Assumptions'!$B$12-B90)*(1-(1-'3. Assumptions'!$B$12)^('3. Assumptions'!$B$8-1))/'3. Assumptions'!$B$12</f>
        <v>4.33103840106054</v>
      </c>
      <c r="E90" s="34" t="n">
        <f aca="false">(1-'3. Assumptions'!$B$11)*(1-'3. Assumptions'!$B$12)^('3. Assumptions'!$B$7-1)</f>
        <v>0.690273454655712</v>
      </c>
      <c r="F90" s="34" t="n">
        <f aca="false">1+(1-'3. Assumptions'!$B$11)*(1-(1-'3. Assumptions'!$B$12)^('3. Assumptions'!$B$7-1))/'3. Assumptions'!$B$12</f>
        <v>4.28912098262087</v>
      </c>
      <c r="G9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0" s="34" t="n">
        <f aca="false">IF(A90&lt;=0,0,MAX(0,ROUNDUP(LN('3. Assumptions'!$B$10)/LN(1+A90)-0.000000000001,0)-1))</f>
        <v>3</v>
      </c>
      <c r="I90" s="34" t="n">
        <f aca="false">IF(A90&lt;=0,1/(1-C90),(1+A90)*(1-(C90*(1+A90))^H90)/(1-C90*(1+A90))+'3. Assumptions'!$B$10*C90^H90/(1-C90))</f>
        <v>2.92624140881614</v>
      </c>
      <c r="J90" s="45" t="n">
        <f aca="false">F90+E90*D90/(1-C90)</f>
        <v>10.7795631983379</v>
      </c>
      <c r="K90" s="34" t="n">
        <f aca="false">F90-G90+E90*D90*I90</f>
        <v>12.1528378314715</v>
      </c>
      <c r="L90" s="45" t="n">
        <f aca="false">'3. Assumptions'!$B$17*'2. The tape'!$B$11/J90</f>
        <v>43.5676280530936</v>
      </c>
      <c r="M90" s="31" t="n">
        <f aca="false">L90*'2. The tape'!$B$15*'2. The tape'!$D$11*K90</f>
        <v>1015536.63445335</v>
      </c>
      <c r="N90" s="31" t="n">
        <f aca="false">M90*(1+'3. Assumptions'!$B$19+'3. Assumptions'!$B$20+'3. Assumptions'!$B$22)</f>
        <v>1123183.5177054</v>
      </c>
      <c r="O90" s="31" t="n">
        <f aca="false">'6. Income and costs'!$B$39+'3. Assumptions'!$B$31*L90*12+M90*('3. Assumptions'!$B$20*(1-'3. Assumptions'!$B$21)+'3. Assumptions'!$B$33)+N90*('3. Assumptions'!$B$26+'3. Assumptions'!$B$32)</f>
        <v>603196.816837276</v>
      </c>
      <c r="P90" s="31" t="n">
        <f aca="false">N90-O90</f>
        <v>519986.700868126</v>
      </c>
    </row>
    <row r="91" customFormat="false" ht="15" hidden="false" customHeight="false" outlineLevel="0" collapsed="false">
      <c r="A91" s="53" t="n">
        <f aca="false">69*0.0025</f>
        <v>0.1725</v>
      </c>
      <c r="B91" s="53" t="n">
        <f aca="false">IF(A91&gt;0,MIN('3. Assumptions'!$B$16,'3. Assumptions'!$B$13*(A91/'3. Assumptions'!$B$15)^'3. Assumptions'!$B$14),0)</f>
        <v>0.178756502003861</v>
      </c>
      <c r="C91" s="34" t="n">
        <f aca="false">(1-'3. Assumptions'!$B$12-B91)*(1-'3. Assumptions'!$B$12)^('3. Assumptions'!$B$8-1)</f>
        <v>0.53502120079755</v>
      </c>
      <c r="D91" s="34" t="n">
        <f aca="false">1+(1-'3. Assumptions'!$B$12-B91)*(1-(1-'3. Assumptions'!$B$12)^('3. Assumptions'!$B$8-1))/'3. Assumptions'!$B$12</f>
        <v>4.30409469471563</v>
      </c>
      <c r="E91" s="34" t="n">
        <f aca="false">(1-'3. Assumptions'!$B$11)*(1-'3. Assumptions'!$B$12)^('3. Assumptions'!$B$7-1)</f>
        <v>0.690273454655712</v>
      </c>
      <c r="F91" s="34" t="n">
        <f aca="false">1+(1-'3. Assumptions'!$B$11)*(1-(1-'3. Assumptions'!$B$12)^('3. Assumptions'!$B$7-1))/'3. Assumptions'!$B$12</f>
        <v>4.28912098262087</v>
      </c>
      <c r="G9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1" s="34" t="n">
        <f aca="false">IF(A91&lt;=0,0,MAX(0,ROUNDUP(LN('3. Assumptions'!$B$10)/LN(1+A91)-0.000000000001,0)-1))</f>
        <v>3</v>
      </c>
      <c r="I91" s="34" t="n">
        <f aca="false">IF(A91&lt;=0,1/(1-C91),(1+A91)*(1-(C91*(1+A91))^H91)/(1-C91*(1+A91))+'3. Assumptions'!$B$10*C91^H91/(1-C91))</f>
        <v>2.90300109115859</v>
      </c>
      <c r="J91" s="45" t="n">
        <f aca="false">F91+E91*D91/(1-C91)</f>
        <v>10.6786645901631</v>
      </c>
      <c r="K91" s="34" t="n">
        <f aca="false">F91-G91+E91*D91*I91</f>
        <v>12.0293670191723</v>
      </c>
      <c r="L91" s="45" t="n">
        <f aca="false">'3. Assumptions'!$B$17*'2. The tape'!$B$11/J91</f>
        <v>43.9792818694408</v>
      </c>
      <c r="M91" s="31" t="n">
        <f aca="false">L91*'2. The tape'!$B$15*'2. The tape'!$D$11*K91</f>
        <v>1014716.87958168</v>
      </c>
      <c r="N91" s="31" t="n">
        <f aca="false">M91*(1+'3. Assumptions'!$B$19+'3. Assumptions'!$B$20+'3. Assumptions'!$B$22)</f>
        <v>1122276.86881734</v>
      </c>
      <c r="O91" s="31" t="n">
        <f aca="false">'6. Income and costs'!$B$39+'3. Assumptions'!$B$31*L91*12+M91*('3. Assumptions'!$B$20*(1-'3. Assumptions'!$B$21)+'3. Assumptions'!$B$33)+N91*('3. Assumptions'!$B$26+'3. Assumptions'!$B$32)</f>
        <v>603732.175626935</v>
      </c>
      <c r="P91" s="31" t="n">
        <f aca="false">N91-O91</f>
        <v>518544.693190404</v>
      </c>
    </row>
    <row r="92" customFormat="false" ht="15" hidden="false" customHeight="false" outlineLevel="0" collapsed="false">
      <c r="A92" s="53" t="n">
        <f aca="false">70*0.0025</f>
        <v>0.175</v>
      </c>
      <c r="B92" s="53" t="n">
        <f aca="false">IF(A92&gt;0,MIN('3. Assumptions'!$B$16,'3. Assumptions'!$B$13*(A92/'3. Assumptions'!$B$15)^'3. Assumptions'!$B$14),0)</f>
        <v>0.185037318368162</v>
      </c>
      <c r="C92" s="34" t="n">
        <f aca="false">(1-'3. Assumptions'!$B$12-B92)*(1-'3. Assumptions'!$B$12)^('3. Assumptions'!$B$8-1)</f>
        <v>0.530568867094591</v>
      </c>
      <c r="D92" s="34" t="n">
        <f aca="false">1+(1-'3. Assumptions'!$B$12-B92)*(1-(1-'3. Assumptions'!$B$12)^('3. Assumptions'!$B$8-1))/'3. Assumptions'!$B$12</f>
        <v>4.27659871484582</v>
      </c>
      <c r="E92" s="34" t="n">
        <f aca="false">(1-'3. Assumptions'!$B$11)*(1-'3. Assumptions'!$B$12)^('3. Assumptions'!$B$7-1)</f>
        <v>0.690273454655712</v>
      </c>
      <c r="F92" s="34" t="n">
        <f aca="false">1+(1-'3. Assumptions'!$B$11)*(1-(1-'3. Assumptions'!$B$12)^('3. Assumptions'!$B$7-1))/'3. Assumptions'!$B$12</f>
        <v>4.28912098262087</v>
      </c>
      <c r="G9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2" s="34" t="n">
        <f aca="false">IF(A92&lt;=0,0,MAX(0,ROUNDUP(LN('3. Assumptions'!$B$10)/LN(1+A92)-0.000000000001,0)-1))</f>
        <v>2</v>
      </c>
      <c r="I92" s="34" t="n">
        <f aca="false">IF(A92&lt;=0,1/(1-C92),(1+A92)*(1-(C92*(1+A92))^H92)/(1-C92*(1+A92))+'3. Assumptions'!$B$10*C92^H92/(1-C92))</f>
        <v>2.87898050734346</v>
      </c>
      <c r="J92" s="45" t="n">
        <f aca="false">F92+E92*D92/(1-C92)</f>
        <v>10.5776313990522</v>
      </c>
      <c r="K92" s="34" t="n">
        <f aca="false">F92-G92+E92*D92*I92</f>
        <v>11.9033594931425</v>
      </c>
      <c r="L92" s="45" t="n">
        <f aca="false">'3. Assumptions'!$B$17*'2. The tape'!$B$11/J92</f>
        <v>44.3993539084831</v>
      </c>
      <c r="M92" s="31" t="n">
        <f aca="false">L92*'2. The tape'!$B$15*'2. The tape'!$D$11*K92</f>
        <v>1013678.36177619</v>
      </c>
      <c r="N92" s="31" t="n">
        <f aca="false">M92*(1+'3. Assumptions'!$B$19+'3. Assumptions'!$B$20+'3. Assumptions'!$B$22)</f>
        <v>1121128.26812447</v>
      </c>
      <c r="O92" s="31" t="n">
        <f aca="false">'6. Income and costs'!$B$39+'3. Assumptions'!$B$31*L92*12+M92*('3. Assumptions'!$B$20*(1-'3. Assumptions'!$B$21)+'3. Assumptions'!$B$33)+N92*('3. Assumptions'!$B$26+'3. Assumptions'!$B$32)</f>
        <v>604256.741814981</v>
      </c>
      <c r="P92" s="31" t="n">
        <f aca="false">N92-O92</f>
        <v>516871.526309488</v>
      </c>
    </row>
    <row r="93" customFormat="false" ht="15" hidden="false" customHeight="false" outlineLevel="0" collapsed="false">
      <c r="A93" s="53" t="n">
        <f aca="false">71*0.0025</f>
        <v>0.1775</v>
      </c>
      <c r="B93" s="53" t="n">
        <f aca="false">IF(A93&gt;0,MIN('3. Assumptions'!$B$16,'3. Assumptions'!$B$13*(A93/'3. Assumptions'!$B$15)^'3. Assumptions'!$B$14),0)</f>
        <v>0.191445016947155</v>
      </c>
      <c r="C93" s="34" t="n">
        <f aca="false">(1-'3. Assumptions'!$B$12-B93)*(1-'3. Assumptions'!$B$12)^('3. Assumptions'!$B$8-1)</f>
        <v>0.526026589357606</v>
      </c>
      <c r="D93" s="34" t="n">
        <f aca="false">1+(1-'3. Assumptions'!$B$12-B93)*(1-(1-'3. Assumptions'!$B$12)^('3. Assumptions'!$B$8-1))/'3. Assumptions'!$B$12</f>
        <v>4.24854727361261</v>
      </c>
      <c r="E93" s="34" t="n">
        <f aca="false">(1-'3. Assumptions'!$B$11)*(1-'3. Assumptions'!$B$12)^('3. Assumptions'!$B$7-1)</f>
        <v>0.690273454655712</v>
      </c>
      <c r="F93" s="34" t="n">
        <f aca="false">1+(1-'3. Assumptions'!$B$11)*(1-(1-'3. Assumptions'!$B$12)^('3. Assumptions'!$B$7-1))/'3. Assumptions'!$B$12</f>
        <v>4.28912098262087</v>
      </c>
      <c r="G9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3" s="34" t="n">
        <f aca="false">IF(A93&lt;=0,0,MAX(0,ROUNDUP(LN('3. Assumptions'!$B$10)/LN(1+A93)-0.000000000001,0)-1))</f>
        <v>2</v>
      </c>
      <c r="I93" s="34" t="n">
        <f aca="false">IF(A93&lt;=0,1/(1-C93),(1+A93)*(1-(C93*(1+A93))^H93)/(1-C93*(1+A93))+'3. Assumptions'!$B$10*C93^H93/(1-C93))</f>
        <v>2.85258932824454</v>
      </c>
      <c r="J93" s="45" t="n">
        <f aca="false">F93+E93*D93/(1-C93)</f>
        <v>10.4765132244134</v>
      </c>
      <c r="K93" s="34" t="n">
        <f aca="false">F93-G93+E93*D93*I93</f>
        <v>11.7702169782702</v>
      </c>
      <c r="L93" s="45" t="n">
        <f aca="false">'3. Assumptions'!$B$17*'2. The tape'!$B$11/J93</f>
        <v>44.8278916792277</v>
      </c>
      <c r="M93" s="31" t="n">
        <f aca="false">L93*'2. The tape'!$B$15*'2. The tape'!$D$11*K93</f>
        <v>1012014.55465198</v>
      </c>
      <c r="N93" s="31" t="n">
        <f aca="false">M93*(1+'3. Assumptions'!$B$19+'3. Assumptions'!$B$20+'3. Assumptions'!$B$22)</f>
        <v>1119288.09744509</v>
      </c>
      <c r="O93" s="31" t="n">
        <f aca="false">'6. Income and costs'!$B$39+'3. Assumptions'!$B$31*L93*12+M93*('3. Assumptions'!$B$20*(1-'3. Assumptions'!$B$21)+'3. Assumptions'!$B$33)+N93*('3. Assumptions'!$B$26+'3. Assumptions'!$B$32)</f>
        <v>604726.834154371</v>
      </c>
      <c r="P93" s="31" t="n">
        <f aca="false">N93-O93</f>
        <v>514561.263290723</v>
      </c>
    </row>
    <row r="94" customFormat="false" ht="15" hidden="false" customHeight="false" outlineLevel="0" collapsed="false">
      <c r="A94" s="53" t="n">
        <f aca="false">72*0.0025</f>
        <v>0.18</v>
      </c>
      <c r="B94" s="53" t="n">
        <f aca="false">IF(A94&gt;0,MIN('3. Assumptions'!$B$16,'3. Assumptions'!$B$13*(A94/'3. Assumptions'!$B$15)^'3. Assumptions'!$B$14),0)</f>
        <v>0.197980319712773</v>
      </c>
      <c r="C94" s="34" t="n">
        <f aca="false">(1-'3. Assumptions'!$B$12-B94)*(1-'3. Assumptions'!$B$12)^('3. Assumptions'!$B$8-1)</f>
        <v>0.521393855796443</v>
      </c>
      <c r="D94" s="34" t="n">
        <f aca="false">1+(1-'3. Assumptions'!$B$12-B94)*(1-(1-'3. Assumptions'!$B$12)^('3. Assumptions'!$B$8-1))/'3. Assumptions'!$B$12</f>
        <v>4.21993721038773</v>
      </c>
      <c r="E94" s="34" t="n">
        <f aca="false">(1-'3. Assumptions'!$B$11)*(1-'3. Assumptions'!$B$12)^('3. Assumptions'!$B$7-1)</f>
        <v>0.690273454655712</v>
      </c>
      <c r="F94" s="34" t="n">
        <f aca="false">1+(1-'3. Assumptions'!$B$11)*(1-(1-'3. Assumptions'!$B$12)^('3. Assumptions'!$B$7-1))/'3. Assumptions'!$B$12</f>
        <v>4.28912098262087</v>
      </c>
      <c r="G9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4" s="34" t="n">
        <f aca="false">IF(A94&lt;=0,0,MAX(0,ROUNDUP(LN('3. Assumptions'!$B$10)/LN(1+A94)-0.000000000001,0)-1))</f>
        <v>2</v>
      </c>
      <c r="I94" s="34" t="n">
        <f aca="false">IF(A94&lt;=0,1/(1-C94),(1+A94)*(1-(C94*(1+A94))^H94)/(1-C94*(1+A94))+'3. Assumptions'!$B$10*C94^H94/(1-C94))</f>
        <v>2.82615984935483</v>
      </c>
      <c r="J94" s="45" t="n">
        <f aca="false">F94+E94*D94/(1-C94)</f>
        <v>10.3753584284269</v>
      </c>
      <c r="K94" s="34" t="n">
        <f aca="false">F94-G94+E94*D94*I94</f>
        <v>11.6368951455873</v>
      </c>
      <c r="L94" s="45" t="n">
        <f aca="false">'3. Assumptions'!$B$17*'2. The tape'!$B$11/J94</f>
        <v>45.264942241731</v>
      </c>
      <c r="M94" s="31" t="n">
        <f aca="false">L94*'2. The tape'!$B$15*'2. The tape'!$D$11*K94</f>
        <v>1010306.31456747</v>
      </c>
      <c r="N94" s="31" t="n">
        <f aca="false">M94*(1+'3. Assumptions'!$B$19+'3. Assumptions'!$B$20+'3. Assumptions'!$B$22)</f>
        <v>1117398.78391162</v>
      </c>
      <c r="O94" s="31" t="n">
        <f aca="false">'6. Income and costs'!$B$39+'3. Assumptions'!$B$31*L94*12+M94*('3. Assumptions'!$B$20*(1-'3. Assumptions'!$B$21)+'3. Assumptions'!$B$33)+N94*('3. Assumptions'!$B$26+'3. Assumptions'!$B$32)</f>
        <v>605205.039760492</v>
      </c>
      <c r="P94" s="31" t="n">
        <f aca="false">N94-O94</f>
        <v>512193.74415113</v>
      </c>
    </row>
    <row r="95" customFormat="false" ht="15" hidden="false" customHeight="false" outlineLevel="0" collapsed="false">
      <c r="A95" s="53" t="n">
        <f aca="false">73*0.0025</f>
        <v>0.1825</v>
      </c>
      <c r="B95" s="53" t="n">
        <f aca="false">IF(A95&gt;0,MIN('3. Assumptions'!$B$16,'3. Assumptions'!$B$13*(A95/'3. Assumptions'!$B$15)^'3. Assumptions'!$B$14),0)</f>
        <v>0.204643942560906</v>
      </c>
      <c r="C95" s="34" t="n">
        <f aca="false">(1-'3. Assumptions'!$B$12-B95)*(1-'3. Assumptions'!$B$12)^('3. Assumptions'!$B$8-1)</f>
        <v>0.516670158928122</v>
      </c>
      <c r="D95" s="34" t="n">
        <f aca="false">1+(1-'3. Assumptions'!$B$12-B95)*(1-(1-'3. Assumptions'!$B$12)^('3. Assumptions'!$B$8-1))/'3. Assumptions'!$B$12</f>
        <v>4.19076539114244</v>
      </c>
      <c r="E95" s="34" t="n">
        <f aca="false">(1-'3. Assumptions'!$B$11)*(1-'3. Assumptions'!$B$12)^('3. Assumptions'!$B$7-1)</f>
        <v>0.690273454655712</v>
      </c>
      <c r="F95" s="34" t="n">
        <f aca="false">1+(1-'3. Assumptions'!$B$11)*(1-(1-'3. Assumptions'!$B$12)^('3. Assumptions'!$B$7-1))/'3. Assumptions'!$B$12</f>
        <v>4.28912098262087</v>
      </c>
      <c r="G9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5" s="34" t="n">
        <f aca="false">IF(A95&lt;=0,0,MAX(0,ROUNDUP(LN('3. Assumptions'!$B$10)/LN(1+A95)-0.000000000001,0)-1))</f>
        <v>2</v>
      </c>
      <c r="I95" s="34" t="n">
        <f aca="false">IF(A95&lt;=0,1/(1-C95),(1+A95)*(1-(C95*(1+A95))^H95)/(1-C95*(1+A95))+'3. Assumptions'!$B$10*C95^H95/(1-C95))</f>
        <v>2.79970581050225</v>
      </c>
      <c r="J95" s="45" t="n">
        <f aca="false">F95+E95*D95/(1-C95)</f>
        <v>10.2742140978736</v>
      </c>
      <c r="K95" s="34" t="n">
        <f aca="false">F95-G95+E95*D95*I95</f>
        <v>11.5034605275305</v>
      </c>
      <c r="L95" s="45" t="n">
        <f aca="false">'3. Assumptions'!$B$17*'2. The tape'!$B$11/J95</f>
        <v>45.7105522160765</v>
      </c>
      <c r="M95" s="31" t="n">
        <f aca="false">L95*'2. The tape'!$B$15*'2. The tape'!$D$11*K95</f>
        <v>1008553.52181451</v>
      </c>
      <c r="N95" s="31" t="n">
        <f aca="false">M95*(1+'3. Assumptions'!$B$19+'3. Assumptions'!$B$20+'3. Assumptions'!$B$22)</f>
        <v>1115460.19512685</v>
      </c>
      <c r="O95" s="31" t="n">
        <f aca="false">'6. Income and costs'!$B$39+'3. Assumptions'!$B$31*L95*12+M95*('3. Assumptions'!$B$20*(1-'3. Assumptions'!$B$21)+'3. Assumptions'!$B$33)+N95*('3. Assumptions'!$B$26+'3. Assumptions'!$B$32)</f>
        <v>605691.41637113</v>
      </c>
      <c r="P95" s="31" t="n">
        <f aca="false">N95-O95</f>
        <v>509768.778755719</v>
      </c>
    </row>
    <row r="96" customFormat="false" ht="15" hidden="false" customHeight="false" outlineLevel="0" collapsed="false">
      <c r="A96" s="53" t="n">
        <f aca="false">74*0.0025</f>
        <v>0.185</v>
      </c>
      <c r="B96" s="53" t="n">
        <f aca="false">IF(A96&gt;0,MIN('3. Assumptions'!$B$16,'3. Assumptions'!$B$13*(A96/'3. Assumptions'!$B$15)^'3. Assumptions'!$B$14),0)</f>
        <v>0.21143659544588</v>
      </c>
      <c r="C96" s="34" t="n">
        <f aca="false">(1-'3. Assumptions'!$B$12-B96)*(1-'3. Assumptions'!$B$12)^('3. Assumptions'!$B$8-1)</f>
        <v>0.511854995481509</v>
      </c>
      <c r="D96" s="34" t="n">
        <f aca="false">1+(1-'3. Assumptions'!$B$12-B96)*(1-(1-'3. Assumptions'!$B$12)^('3. Assumptions'!$B$8-1))/'3. Assumptions'!$B$12</f>
        <v>4.16102870785881</v>
      </c>
      <c r="E96" s="34" t="n">
        <f aca="false">(1-'3. Assumptions'!$B$11)*(1-'3. Assumptions'!$B$12)^('3. Assumptions'!$B$7-1)</f>
        <v>0.690273454655712</v>
      </c>
      <c r="F96" s="34" t="n">
        <f aca="false">1+(1-'3. Assumptions'!$B$11)*(1-(1-'3. Assumptions'!$B$12)^('3. Assumptions'!$B$7-1))/'3. Assumptions'!$B$12</f>
        <v>4.28912098262087</v>
      </c>
      <c r="G9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6" s="34" t="n">
        <f aca="false">IF(A96&lt;=0,0,MAX(0,ROUNDUP(LN('3. Assumptions'!$B$10)/LN(1+A96)-0.000000000001,0)-1))</f>
        <v>2</v>
      </c>
      <c r="I96" s="34" t="n">
        <f aca="false">IF(A96&lt;=0,1/(1-C96),(1+A96)*(1-(C96*(1+A96))^H96)/(1-C96*(1+A96))+'3. Assumptions'!$B$10*C96^H96/(1-C96))</f>
        <v>2.77324050378504</v>
      </c>
      <c r="J96" s="45" t="n">
        <f aca="false">F96+E96*D96/(1-C96)</f>
        <v>10.1731260108573</v>
      </c>
      <c r="K96" s="34" t="n">
        <f aca="false">F96-G96+E96*D96*I96</f>
        <v>11.3699776101953</v>
      </c>
      <c r="L96" s="45" t="n">
        <f aca="false">'3. Assumptions'!$B$17*'2. The tape'!$B$11/J96</f>
        <v>46.1647677910188</v>
      </c>
      <c r="M96" s="31" t="n">
        <f aca="false">L96*'2. The tape'!$B$15*'2. The tape'!$D$11*K96</f>
        <v>1006756.0325554</v>
      </c>
      <c r="N96" s="31" t="n">
        <f aca="false">M96*(1+'3. Assumptions'!$B$19+'3. Assumptions'!$B$20+'3. Assumptions'!$B$22)</f>
        <v>1113472.17200627</v>
      </c>
      <c r="O96" s="31" t="n">
        <f aca="false">'6. Income and costs'!$B$39+'3. Assumptions'!$B$31*L96*12+M96*('3. Assumptions'!$B$20*(1-'3. Assumptions'!$B$21)+'3. Assumptions'!$B$33)+N96*('3. Assumptions'!$B$26+'3. Assumptions'!$B$32)</f>
        <v>606186.018473686</v>
      </c>
      <c r="P96" s="31" t="n">
        <f aca="false">N96-O96</f>
        <v>507286.153532584</v>
      </c>
    </row>
    <row r="97" customFormat="false" ht="15" hidden="false" customHeight="false" outlineLevel="0" collapsed="false">
      <c r="A97" s="53" t="n">
        <f aca="false">75*0.0025</f>
        <v>0.1875</v>
      </c>
      <c r="B97" s="53" t="n">
        <f aca="false">IF(A97&gt;0,MIN('3. Assumptions'!$B$16,'3. Assumptions'!$B$13*(A97/'3. Assumptions'!$B$15)^'3. Assumptions'!$B$14),0)</f>
        <v>0.218358982510171</v>
      </c>
      <c r="C97" s="34" t="n">
        <f aca="false">(1-'3. Assumptions'!$B$12-B97)*(1-'3. Assumptions'!$B$12)^('3. Assumptions'!$B$8-1)</f>
        <v>0.506947866305364</v>
      </c>
      <c r="D97" s="34" t="n">
        <f aca="false">1+(1-'3. Assumptions'!$B$12-B97)*(1-(1-'3. Assumptions'!$B$12)^('3. Assumptions'!$B$8-1))/'3. Assumptions'!$B$12</f>
        <v>4.13072407796187</v>
      </c>
      <c r="E97" s="34" t="n">
        <f aca="false">(1-'3. Assumptions'!$B$11)*(1-'3. Assumptions'!$B$12)^('3. Assumptions'!$B$7-1)</f>
        <v>0.690273454655712</v>
      </c>
      <c r="F97" s="34" t="n">
        <f aca="false">1+(1-'3. Assumptions'!$B$11)*(1-(1-'3. Assumptions'!$B$12)^('3. Assumptions'!$B$7-1))/'3. Assumptions'!$B$12</f>
        <v>4.28912098262087</v>
      </c>
      <c r="G9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7" s="34" t="n">
        <f aca="false">IF(A97&lt;=0,0,MAX(0,ROUNDUP(LN('3. Assumptions'!$B$10)/LN(1+A97)-0.000000000001,0)-1))</f>
        <v>2</v>
      </c>
      <c r="I97" s="34" t="n">
        <f aca="false">IF(A97&lt;=0,1/(1-C97),(1+A97)*(1-(C97*(1+A97))^H97)/(1-C97*(1+A97))+'3. Assumptions'!$B$10*C97^H97/(1-C97))</f>
        <v>2.74677676432267</v>
      </c>
      <c r="J97" s="45" t="n">
        <f aca="false">F97+E97*D97/(1-C97)</f>
        <v>10.0721386082787</v>
      </c>
      <c r="K97" s="34" t="n">
        <f aca="false">F97-G97+E97*D97*I97</f>
        <v>11.2365087972964</v>
      </c>
      <c r="L97" s="45" t="n">
        <f aca="false">'3. Assumptions'!$B$17*'2. The tape'!$B$11/J97</f>
        <v>46.6276347323084</v>
      </c>
      <c r="M97" s="31" t="n">
        <f aca="false">L97*'2. The tape'!$B$15*'2. The tape'!$D$11*K97</f>
        <v>1004913.67812901</v>
      </c>
      <c r="N97" s="31" t="n">
        <f aca="false">M97*(1+'3. Assumptions'!$B$19+'3. Assumptions'!$B$20+'3. Assumptions'!$B$22)</f>
        <v>1111434.52801068</v>
      </c>
      <c r="O97" s="31" t="n">
        <f aca="false">'6. Income and costs'!$B$39+'3. Assumptions'!$B$31*L97*12+M97*('3. Assumptions'!$B$20*(1-'3. Assumptions'!$B$21)+'3. Assumptions'!$B$33)+N97*('3. Assumptions'!$B$26+'3. Assumptions'!$B$32)</f>
        <v>606688.897243112</v>
      </c>
      <c r="P97" s="31" t="n">
        <f aca="false">N97-O97</f>
        <v>504745.630767571</v>
      </c>
    </row>
    <row r="98" customFormat="false" ht="15" hidden="false" customHeight="false" outlineLevel="0" collapsed="false">
      <c r="A98" s="53" t="n">
        <f aca="false">76*0.0025</f>
        <v>0.19</v>
      </c>
      <c r="B98" s="53" t="n">
        <f aca="false">IF(A98&gt;0,MIN('3. Assumptions'!$B$16,'3. Assumptions'!$B$13*(A98/'3. Assumptions'!$B$15)^'3. Assumptions'!$B$14),0)</f>
        <v>0.225411802209575</v>
      </c>
      <c r="C98" s="34" t="n">
        <f aca="false">(1-'3. Assumptions'!$B$12-B98)*(1-'3. Assumptions'!$B$12)^('3. Assumptions'!$B$8-1)</f>
        <v>0.501948276279611</v>
      </c>
      <c r="D98" s="34" t="n">
        <f aca="false">1+(1-'3. Assumptions'!$B$12-B98)*(1-(1-'3. Assumptions'!$B$12)^('3. Assumptions'!$B$8-1))/'3. Assumptions'!$B$12</f>
        <v>4.09984844377164</v>
      </c>
      <c r="E98" s="34" t="n">
        <f aca="false">(1-'3. Assumptions'!$B$11)*(1-'3. Assumptions'!$B$12)^('3. Assumptions'!$B$7-1)</f>
        <v>0.690273454655712</v>
      </c>
      <c r="F98" s="34" t="n">
        <f aca="false">1+(1-'3. Assumptions'!$B$11)*(1-(1-'3. Assumptions'!$B$12)^('3. Assumptions'!$B$7-1))/'3. Assumptions'!$B$12</f>
        <v>4.28912098262087</v>
      </c>
      <c r="G9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8" s="34" t="n">
        <f aca="false">IF(A98&lt;=0,0,MAX(0,ROUNDUP(LN('3. Assumptions'!$B$10)/LN(1+A98)-0.000000000001,0)-1))</f>
        <v>2</v>
      </c>
      <c r="I98" s="34" t="n">
        <f aca="false">IF(A98&lt;=0,1/(1-C98),(1+A98)*(1-(C98*(1+A98))^H98)/(1-C98*(1+A98))+'3. Assumptions'!$B$10*C98^H98/(1-C98))</f>
        <v>2.72032696250742</v>
      </c>
      <c r="J98" s="45" t="n">
        <f aca="false">F98+E98*D98/(1-C98)</f>
        <v>9.97129496990717</v>
      </c>
      <c r="K98" s="34" t="n">
        <f aca="false">F98-G98+E98*D98*I98</f>
        <v>11.1031143817149</v>
      </c>
      <c r="L98" s="45" t="n">
        <f aca="false">'3. Assumptions'!$B$17*'2. The tape'!$B$11/J98</f>
        <v>47.0991983907154</v>
      </c>
      <c r="M98" s="31" t="n">
        <f aca="false">L98*'2. The tape'!$B$15*'2. The tape'!$D$11*K98</f>
        <v>1003026.26443336</v>
      </c>
      <c r="N98" s="31" t="n">
        <f aca="false">M98*(1+'3. Assumptions'!$B$19+'3. Assumptions'!$B$20+'3. Assumptions'!$B$22)</f>
        <v>1109347.04846329</v>
      </c>
      <c r="O98" s="31" t="n">
        <f aca="false">'6. Income and costs'!$B$39+'3. Assumptions'!$B$31*L98*12+M98*('3. Assumptions'!$B$20*(1-'3. Assumptions'!$B$21)+'3. Assumptions'!$B$33)+N98*('3. Assumptions'!$B$26+'3. Assumptions'!$B$32)</f>
        <v>607200.100487611</v>
      </c>
      <c r="P98" s="31" t="n">
        <f aca="false">N98-O98</f>
        <v>502146.94797568</v>
      </c>
    </row>
    <row r="99" customFormat="false" ht="15" hidden="false" customHeight="false" outlineLevel="0" collapsed="false">
      <c r="A99" s="53" t="n">
        <f aca="false">77*0.0025</f>
        <v>0.1925</v>
      </c>
      <c r="B99" s="53" t="n">
        <f aca="false">IF(A99&gt;0,MIN('3. Assumptions'!$B$16,'3. Assumptions'!$B$13*(A99/'3. Assumptions'!$B$15)^'3. Assumptions'!$B$14),0)</f>
        <v>0.232595747434055</v>
      </c>
      <c r="C99" s="34" t="n">
        <f aca="false">(1-'3. Assumptions'!$B$12-B99)*(1-'3. Assumptions'!$B$12)^('3. Assumptions'!$B$8-1)</f>
        <v>0.49685573422967</v>
      </c>
      <c r="D99" s="34" t="n">
        <f aca="false">1+(1-'3. Assumptions'!$B$12-B99)*(1-(1-'3. Assumptions'!$B$12)^('3. Assumptions'!$B$8-1))/'3. Assumptions'!$B$12</f>
        <v>4.06839877197407</v>
      </c>
      <c r="E99" s="34" t="n">
        <f aca="false">(1-'3. Assumptions'!$B$11)*(1-'3. Assumptions'!$B$12)^('3. Assumptions'!$B$7-1)</f>
        <v>0.690273454655712</v>
      </c>
      <c r="F99" s="34" t="n">
        <f aca="false">1+(1-'3. Assumptions'!$B$11)*(1-(1-'3. Assumptions'!$B$12)^('3. Assumptions'!$B$7-1))/'3. Assumptions'!$B$12</f>
        <v>4.28912098262087</v>
      </c>
      <c r="G9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99" s="34" t="n">
        <f aca="false">IF(A99&lt;=0,0,MAX(0,ROUNDUP(LN('3. Assumptions'!$B$10)/LN(1+A99)-0.000000000001,0)-1))</f>
        <v>2</v>
      </c>
      <c r="I99" s="34" t="n">
        <f aca="false">IF(A99&lt;=0,1/(1-C99),(1+A99)*(1-(C99*(1+A99))^H99)/(1-C99*(1+A99))+'3. Assumptions'!$B$10*C99^H99/(1-C99))</f>
        <v>2.69390299770288</v>
      </c>
      <c r="J99" s="45" t="n">
        <f aca="false">F99+E99*D99/(1-C99)</f>
        <v>9.87063679488594</v>
      </c>
      <c r="K99" s="34" t="n">
        <f aca="false">F99-G99+E99*D99*I99</f>
        <v>10.9698525243654</v>
      </c>
      <c r="L99" s="45" t="n">
        <f aca="false">'3. Assumptions'!$B$17*'2. The tape'!$B$11/J99</f>
        <v>47.5795037097631</v>
      </c>
      <c r="M99" s="31" t="n">
        <f aca="false">L99*'2. The tape'!$B$15*'2. The tape'!$D$11*K99</f>
        <v>1001093.5713894</v>
      </c>
      <c r="N99" s="31" t="n">
        <f aca="false">M99*(1+'3. Assumptions'!$B$19+'3. Assumptions'!$B$20+'3. Assumptions'!$B$22)</f>
        <v>1107209.48995668</v>
      </c>
      <c r="O99" s="31" t="n">
        <f aca="false">'6. Income and costs'!$B$39+'3. Assumptions'!$B$31*L99*12+M99*('3. Assumptions'!$B$20*(1-'3. Assumptions'!$B$21)+'3. Assumptions'!$B$33)+N99*('3. Assumptions'!$B$26+'3. Assumptions'!$B$32)</f>
        <v>607719.672602642</v>
      </c>
      <c r="P99" s="31" t="n">
        <f aca="false">N99-O99</f>
        <v>499489.817354034</v>
      </c>
    </row>
    <row r="100" customFormat="false" ht="15" hidden="false" customHeight="false" outlineLevel="0" collapsed="false">
      <c r="A100" s="53" t="n">
        <f aca="false">78*0.0025</f>
        <v>0.195</v>
      </c>
      <c r="B100" s="53" t="n">
        <f aca="false">IF(A100&gt;0,MIN('3. Assumptions'!$B$16,'3. Assumptions'!$B$13*(A100/'3. Assumptions'!$B$15)^'3. Assumptions'!$B$14),0)</f>
        <v>0.239911505624473</v>
      </c>
      <c r="C100" s="34" t="n">
        <f aca="false">(1-'3. Assumptions'!$B$12-B100)*(1-'3. Assumptions'!$B$12)^('3. Assumptions'!$B$8-1)</f>
        <v>0.49166975284371</v>
      </c>
      <c r="D100" s="34" t="n">
        <f aca="false">1+(1-'3. Assumptions'!$B$12-B100)*(1-(1-'3. Assumptions'!$B$12)^('3. Assumptions'!$B$8-1))/'3. Assumptions'!$B$12</f>
        <v>4.03637205311003</v>
      </c>
      <c r="E100" s="34" t="n">
        <f aca="false">(1-'3. Assumptions'!$B$11)*(1-'3. Assumptions'!$B$12)^('3. Assumptions'!$B$7-1)</f>
        <v>0.690273454655712</v>
      </c>
      <c r="F100" s="34" t="n">
        <f aca="false">1+(1-'3. Assumptions'!$B$11)*(1-(1-'3. Assumptions'!$B$12)^('3. Assumptions'!$B$7-1))/'3. Assumptions'!$B$12</f>
        <v>4.28912098262087</v>
      </c>
      <c r="G10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0" s="34" t="n">
        <f aca="false">IF(A100&lt;=0,0,MAX(0,ROUNDUP(LN('3. Assumptions'!$B$10)/LN(1+A100)-0.000000000001,0)-1))</f>
        <v>2</v>
      </c>
      <c r="I100" s="34" t="n">
        <f aca="false">IF(A100&lt;=0,1/(1-C100),(1+A100)*(1-(C100*(1+A100))^H100)/(1-C100*(1+A100))+'3. Assumptions'!$B$10*C100^H100/(1-C100))</f>
        <v>2.66751629333251</v>
      </c>
      <c r="J100" s="45" t="n">
        <f aca="false">F100+E100*D100/(1-C100)</f>
        <v>9.7702043864959</v>
      </c>
      <c r="K100" s="34" t="n">
        <f aca="false">F100-G100+E100*D100*I100</f>
        <v>10.8367792401054</v>
      </c>
      <c r="L100" s="45" t="n">
        <f aca="false">'3. Assumptions'!$B$17*'2. The tape'!$B$11/J100</f>
        <v>48.0685952331891</v>
      </c>
      <c r="M100" s="31" t="n">
        <f aca="false">L100*'2. The tape'!$B$15*'2. The tape'!$D$11*K100</f>
        <v>999115.352491061</v>
      </c>
      <c r="N100" s="31" t="n">
        <f aca="false">M100*(1+'3. Assumptions'!$B$19+'3. Assumptions'!$B$20+'3. Assumptions'!$B$22)</f>
        <v>1105021.57985511</v>
      </c>
      <c r="O100" s="31" t="n">
        <f aca="false">'6. Income and costs'!$B$39+'3. Assumptions'!$B$31*L100*12+M100*('3. Assumptions'!$B$20*(1-'3. Assumptions'!$B$21)+'3. Assumptions'!$B$33)+N100*('3. Assumptions'!$B$26+'3. Assumptions'!$B$32)</f>
        <v>608247.654533794</v>
      </c>
      <c r="P100" s="31" t="n">
        <f aca="false">N100-O100</f>
        <v>496773.92532132</v>
      </c>
    </row>
    <row r="101" customFormat="false" ht="15" hidden="false" customHeight="false" outlineLevel="0" collapsed="false">
      <c r="A101" s="53" t="n">
        <f aca="false">79*0.0025</f>
        <v>0.1975</v>
      </c>
      <c r="B101" s="53" t="n">
        <f aca="false">IF(A101&gt;0,MIN('3. Assumptions'!$B$16,'3. Assumptions'!$B$13*(A101/'3. Assumptions'!$B$15)^'3. Assumptions'!$B$14),0)</f>
        <v>0.247359758885392</v>
      </c>
      <c r="C101" s="34" t="n">
        <f aca="false">(1-'3. Assumptions'!$B$12-B101)*(1-'3. Assumptions'!$B$12)^('3. Assumptions'!$B$8-1)</f>
        <v>0.486389848592688</v>
      </c>
      <c r="D101" s="34" t="n">
        <f aca="false">1+(1-'3. Assumptions'!$B$12-B101)*(1-(1-'3. Assumptions'!$B$12)^('3. Assumptions'!$B$8-1))/'3. Assumptions'!$B$12</f>
        <v>4.0037653010815</v>
      </c>
      <c r="E101" s="34" t="n">
        <f aca="false">(1-'3. Assumptions'!$B$11)*(1-'3. Assumptions'!$B$12)^('3. Assumptions'!$B$7-1)</f>
        <v>0.690273454655712</v>
      </c>
      <c r="F101" s="34" t="n">
        <f aca="false">1+(1-'3. Assumptions'!$B$11)*(1-(1-'3. Assumptions'!$B$12)^('3. Assumptions'!$B$7-1))/'3. Assumptions'!$B$12</f>
        <v>4.28912098262087</v>
      </c>
      <c r="G10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1" s="34" t="n">
        <f aca="false">IF(A101&lt;=0,0,MAX(0,ROUNDUP(LN('3. Assumptions'!$B$10)/LN(1+A101)-0.000000000001,0)-1))</f>
        <v>2</v>
      </c>
      <c r="I101" s="34" t="n">
        <f aca="false">IF(A101&lt;=0,1/(1-C101),(1+A101)*(1-(C101*(1+A101))^H101)/(1-C101*(1+A101))+'3. Assumptions'!$B$10*C101^H101/(1-C101))</f>
        <v>2.64117779329885</v>
      </c>
      <c r="J101" s="45" t="n">
        <f aca="false">F101+E101*D101/(1-C101)</f>
        <v>9.67003664099633</v>
      </c>
      <c r="K101" s="34" t="n">
        <f aca="false">F101-G101+E101*D101*I101</f>
        <v>10.7039483903904</v>
      </c>
      <c r="L101" s="45" t="n">
        <f aca="false">'3. Assumptions'!$B$17*'2. The tape'!$B$11/J101</f>
        <v>48.5665171121432</v>
      </c>
      <c r="M101" s="31" t="n">
        <f aca="false">L101*'2. The tape'!$B$15*'2. The tape'!$D$11*K101</f>
        <v>997091.334446498</v>
      </c>
      <c r="N101" s="31" t="n">
        <f aca="false">M101*(1+'3. Assumptions'!$B$19+'3. Assumptions'!$B$20+'3. Assumptions'!$B$22)</f>
        <v>1102783.01589783</v>
      </c>
      <c r="O101" s="31" t="n">
        <f aca="false">'6. Income and costs'!$B$39+'3. Assumptions'!$B$31*L101*12+M101*('3. Assumptions'!$B$20*(1-'3. Assumptions'!$B$21)+'3. Assumptions'!$B$33)+N101*('3. Assumptions'!$B$26+'3. Assumptions'!$B$32)</f>
        <v>608784.083749077</v>
      </c>
      <c r="P101" s="31" t="n">
        <f aca="false">N101-O101</f>
        <v>493998.932148749</v>
      </c>
    </row>
    <row r="102" customFormat="false" ht="15" hidden="false" customHeight="false" outlineLevel="0" collapsed="false">
      <c r="A102" s="53" t="n">
        <f aca="false">80*0.0025</f>
        <v>0.2</v>
      </c>
      <c r="B102" s="53" t="n">
        <f aca="false">IF(A102&gt;0,MIN('3. Assumptions'!$B$16,'3. Assumptions'!$B$13*(A102/'3. Assumptions'!$B$15)^'3. Assumptions'!$B$14),0)</f>
        <v>0.254941184094132</v>
      </c>
      <c r="C102" s="34" t="n">
        <f aca="false">(1-'3. Assumptions'!$B$12-B102)*(1-'3. Assumptions'!$B$12)^('3. Assumptions'!$B$8-1)</f>
        <v>0.481015541653037</v>
      </c>
      <c r="D102" s="34" t="n">
        <f aca="false">1+(1-'3. Assumptions'!$B$12-B102)*(1-(1-'3. Assumptions'!$B$12)^('3. Assumptions'!$B$8-1))/'3. Assumptions'!$B$12</f>
        <v>3.97057555267415</v>
      </c>
      <c r="E102" s="34" t="n">
        <f aca="false">(1-'3. Assumptions'!$B$11)*(1-'3. Assumptions'!$B$12)^('3. Assumptions'!$B$7-1)</f>
        <v>0.690273454655712</v>
      </c>
      <c r="F102" s="34" t="n">
        <f aca="false">1+(1-'3. Assumptions'!$B$11)*(1-(1-'3. Assumptions'!$B$12)^('3. Assumptions'!$B$7-1))/'3. Assumptions'!$B$12</f>
        <v>4.28912098262087</v>
      </c>
      <c r="G10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2" s="34" t="n">
        <f aca="false">IF(A102&lt;=0,0,MAX(0,ROUNDUP(LN('3. Assumptions'!$B$10)/LN(1+A102)-0.000000000001,0)-1))</f>
        <v>2</v>
      </c>
      <c r="I102" s="34" t="n">
        <f aca="false">IF(A102&lt;=0,1/(1-C102),(1+A102)*(1-(C102*(1+A102))^H102)/(1-C102*(1+A102))+'3. Assumptions'!$B$10*C102^H102/(1-C102))</f>
        <v>2.6148979596718</v>
      </c>
      <c r="J102" s="45" t="n">
        <f aca="false">F102+E102*D102/(1-C102)</f>
        <v>9.57017104035414</v>
      </c>
      <c r="K102" s="34" t="n">
        <f aca="false">F102-G102+E102*D102*I102</f>
        <v>10.571411682374</v>
      </c>
      <c r="L102" s="45" t="n">
        <f aca="false">'3. Assumptions'!$B$17*'2. The tape'!$B$11/J102</f>
        <v>49.0733131121365</v>
      </c>
      <c r="M102" s="31" t="n">
        <f aca="false">L102*'2. The tape'!$B$15*'2. The tape'!$D$11*K102</f>
        <v>995021.216915871</v>
      </c>
      <c r="N102" s="31" t="n">
        <f aca="false">M102*(1+'3. Assumptions'!$B$19+'3. Assumptions'!$B$20+'3. Assumptions'!$B$22)</f>
        <v>1100493.46590895</v>
      </c>
      <c r="O102" s="31" t="n">
        <f aca="false">'6. Income and costs'!$B$39+'3. Assumptions'!$B$31*L102*12+M102*('3. Assumptions'!$B$20*(1-'3. Assumptions'!$B$21)+'3. Assumptions'!$B$33)+N102*('3. Assumptions'!$B$26+'3. Assumptions'!$B$32)</f>
        <v>609328.994221232</v>
      </c>
      <c r="P102" s="31" t="n">
        <f aca="false">N102-O102</f>
        <v>491164.471687722</v>
      </c>
    </row>
    <row r="103" customFormat="false" ht="15" hidden="false" customHeight="false" outlineLevel="0" collapsed="false">
      <c r="A103" s="53" t="n">
        <f aca="false">81*0.0025</f>
        <v>0.2025</v>
      </c>
      <c r="B103" s="53" t="n">
        <f aca="false">IF(A103&gt;0,MIN('3. Assumptions'!$B$16,'3. Assumptions'!$B$13*(A103/'3. Assumptions'!$B$15)^'3. Assumptions'!$B$14),0)</f>
        <v>0.262656453006249</v>
      </c>
      <c r="C103" s="34" t="n">
        <f aca="false">(1-'3. Assumptions'!$B$12-B103)*(1-'3. Assumptions'!$B$12)^('3. Assumptions'!$B$8-1)</f>
        <v>0.475546355831899</v>
      </c>
      <c r="D103" s="34" t="n">
        <f aca="false">1+(1-'3. Assumptions'!$B$12-B103)*(1-(1-'3. Assumptions'!$B$12)^('3. Assumptions'!$B$8-1))/'3. Assumptions'!$B$12</f>
        <v>3.93679986709552</v>
      </c>
      <c r="E103" s="34" t="n">
        <f aca="false">(1-'3. Assumptions'!$B$11)*(1-'3. Assumptions'!$B$12)^('3. Assumptions'!$B$7-1)</f>
        <v>0.690273454655712</v>
      </c>
      <c r="F103" s="34" t="n">
        <f aca="false">1+(1-'3. Assumptions'!$B$11)*(1-(1-'3. Assumptions'!$B$12)^('3. Assumptions'!$B$7-1))/'3. Assumptions'!$B$12</f>
        <v>4.28912098262087</v>
      </c>
      <c r="G10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3" s="34" t="n">
        <f aca="false">IF(A103&lt;=0,0,MAX(0,ROUNDUP(LN('3. Assumptions'!$B$10)/LN(1+A103)-0.000000000001,0)-1))</f>
        <v>2</v>
      </c>
      <c r="I103" s="34" t="n">
        <f aca="false">IF(A103&lt;=0,1/(1-C103),(1+A103)*(1-(C103*(1+A103))^H103)/(1-C103*(1+A103))+'3. Assumptions'!$B$10*C103^H103/(1-C103))</f>
        <v>2.58868677158311</v>
      </c>
      <c r="J103" s="45" t="n">
        <f aca="false">F103+E103*D103/(1-C103)</f>
        <v>9.47064364866827</v>
      </c>
      <c r="K103" s="34" t="n">
        <f aca="false">F103-G103+E103*D103*I103</f>
        <v>10.4392186741403</v>
      </c>
      <c r="L103" s="45" t="n">
        <f aca="false">'3. Assumptions'!$B$17*'2. The tape'!$B$11/J103</f>
        <v>49.5890266197524</v>
      </c>
      <c r="M103" s="31" t="n">
        <f aca="false">L103*'2. The tape'!$B$15*'2. The tape'!$D$11*K103</f>
        <v>992904.672350924</v>
      </c>
      <c r="N103" s="31" t="n">
        <f aca="false">M103*(1+'3. Assumptions'!$B$19+'3. Assumptions'!$B$20+'3. Assumptions'!$B$22)</f>
        <v>1098152.56762012</v>
      </c>
      <c r="O103" s="31" t="n">
        <f aca="false">'6. Income and costs'!$B$39+'3. Assumptions'!$B$31*L103*12+M103*('3. Assumptions'!$B$20*(1-'3. Assumptions'!$B$21)+'3. Assumptions'!$B$33)+N103*('3. Assumptions'!$B$26+'3. Assumptions'!$B$32)</f>
        <v>609882.416420625</v>
      </c>
      <c r="P103" s="31" t="n">
        <f aca="false">N103-O103</f>
        <v>488270.151199496</v>
      </c>
    </row>
    <row r="104" customFormat="false" ht="15" hidden="false" customHeight="false" outlineLevel="0" collapsed="false">
      <c r="A104" s="53" t="n">
        <f aca="false">82*0.0025</f>
        <v>0.205</v>
      </c>
      <c r="B104" s="53" t="n">
        <f aca="false">IF(A104&gt;0,MIN('3. Assumptions'!$B$16,'3. Assumptions'!$B$13*(A104/'3. Assumptions'!$B$15)^'3. Assumptions'!$B$14),0)</f>
        <v>0.270506232357603</v>
      </c>
      <c r="C104" s="34" t="n">
        <f aca="false">(1-'3. Assumptions'!$B$12-B104)*(1-'3. Assumptions'!$B$12)^('3. Assumptions'!$B$8-1)</f>
        <v>0.469981818494767</v>
      </c>
      <c r="D104" s="34" t="n">
        <f aca="false">1+(1-'3. Assumptions'!$B$12-B104)*(1-(1-'3. Assumptions'!$B$12)^('3. Assumptions'!$B$8-1))/'3. Assumptions'!$B$12</f>
        <v>3.90243532552828</v>
      </c>
      <c r="E104" s="34" t="n">
        <f aca="false">(1-'3. Assumptions'!$B$11)*(1-'3. Assumptions'!$B$12)^('3. Assumptions'!$B$7-1)</f>
        <v>0.690273454655712</v>
      </c>
      <c r="F104" s="34" t="n">
        <f aca="false">1+(1-'3. Assumptions'!$B$11)*(1-(1-'3. Assumptions'!$B$12)^('3. Assumptions'!$B$7-1))/'3. Assumptions'!$B$12</f>
        <v>4.28912098262087</v>
      </c>
      <c r="G10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4" s="34" t="n">
        <f aca="false">IF(A104&lt;=0,0,MAX(0,ROUNDUP(LN('3. Assumptions'!$B$10)/LN(1+A104)-0.000000000001,0)-1))</f>
        <v>2</v>
      </c>
      <c r="I104" s="34" t="n">
        <f aca="false">IF(A104&lt;=0,1/(1-C104),(1+A104)*(1-(C104*(1+A104))^H104)/(1-C104*(1+A104))+'3. Assumptions'!$B$10*C104^H104/(1-C104))</f>
        <v>2.56255372526262</v>
      </c>
      <c r="J104" s="45" t="n">
        <f aca="false">F104+E104*D104/(1-C104)</f>
        <v>9.37148911209285</v>
      </c>
      <c r="K104" s="34" t="n">
        <f aca="false">F104-G104+E104*D104*I104</f>
        <v>10.3074167857515</v>
      </c>
      <c r="L104" s="45" t="n">
        <f aca="false">'3. Assumptions'!$B$17*'2. The tape'!$B$11/J104</f>
        <v>50.1137006491298</v>
      </c>
      <c r="M104" s="31" t="n">
        <f aca="false">L104*'2. The tape'!$B$15*'2. The tape'!$D$11*K104</f>
        <v>990741.345941817</v>
      </c>
      <c r="N104" s="31" t="n">
        <f aca="false">M104*(1+'3. Assumptions'!$B$19+'3. Assumptions'!$B$20+'3. Assumptions'!$B$22)</f>
        <v>1095759.92861165</v>
      </c>
      <c r="O104" s="31" t="n">
        <f aca="false">'6. Income and costs'!$B$39+'3. Assumptions'!$B$31*L104*12+M104*('3. Assumptions'!$B$20*(1-'3. Assumptions'!$B$21)+'3. Assumptions'!$B$33)+N104*('3. Assumptions'!$B$26+'3. Assumptions'!$B$32)</f>
        <v>610444.377319351</v>
      </c>
      <c r="P104" s="31" t="n">
        <f aca="false">N104-O104</f>
        <v>485315.551292299</v>
      </c>
    </row>
    <row r="105" customFormat="false" ht="15" hidden="false" customHeight="false" outlineLevel="0" collapsed="false">
      <c r="A105" s="53" t="n">
        <f aca="false">83*0.0025</f>
        <v>0.2075</v>
      </c>
      <c r="B105" s="53" t="n">
        <f aca="false">IF(A105&gt;0,MIN('3. Assumptions'!$B$16,'3. Assumptions'!$B$13*(A105/'3. Assumptions'!$B$15)^'3. Assumptions'!$B$14),0)</f>
        <v>0.278491183963152</v>
      </c>
      <c r="C105" s="34" t="n">
        <f aca="false">(1-'3. Assumptions'!$B$12-B105)*(1-'3. Assumptions'!$B$12)^('3. Assumptions'!$B$8-1)</f>
        <v>0.464321460495455</v>
      </c>
      <c r="D105" s="34" t="n">
        <f aca="false">1+(1-'3. Assumptions'!$B$12-B105)*(1-(1-'3. Assumptions'!$B$12)^('3. Assumptions'!$B$8-1))/'3. Assumptions'!$B$12</f>
        <v>3.86747903069764</v>
      </c>
      <c r="E105" s="34" t="n">
        <f aca="false">(1-'3. Assumptions'!$B$11)*(1-'3. Assumptions'!$B$12)^('3. Assumptions'!$B$7-1)</f>
        <v>0.690273454655712</v>
      </c>
      <c r="F105" s="34" t="n">
        <f aca="false">1+(1-'3. Assumptions'!$B$11)*(1-(1-'3. Assumptions'!$B$12)^('3. Assumptions'!$B$7-1))/'3. Assumptions'!$B$12</f>
        <v>4.28912098262087</v>
      </c>
      <c r="G10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5" s="34" t="n">
        <f aca="false">IF(A105&lt;=0,0,MAX(0,ROUNDUP(LN('3. Assumptions'!$B$10)/LN(1+A105)-0.000000000001,0)-1))</f>
        <v>2</v>
      </c>
      <c r="I105" s="34" t="n">
        <f aca="false">IF(A105&lt;=0,1/(1-C105),(1+A105)*(1-(C105*(1+A105))^H105)/(1-C105*(1+A105))+'3. Assumptions'!$B$10*C105^H105/(1-C105))</f>
        <v>2.53650783515157</v>
      </c>
      <c r="J105" s="45" t="n">
        <f aca="false">F105+E105*D105/(1-C105)</f>
        <v>9.27274066206024</v>
      </c>
      <c r="K105" s="34" t="n">
        <f aca="false">F105-G105+E105*D105*I105</f>
        <v>10.1760513157904</v>
      </c>
      <c r="L105" s="45" t="n">
        <f aca="false">'3. Assumptions'!$B$17*'2. The tape'!$B$11/J105</f>
        <v>50.6473778482288</v>
      </c>
      <c r="M105" s="31" t="n">
        <f aca="false">L105*'2. The tape'!$B$15*'2. The tape'!$D$11*K105</f>
        <v>988530.855676834</v>
      </c>
      <c r="N105" s="31" t="n">
        <f aca="false">M105*(1+'3. Assumptions'!$B$19+'3. Assumptions'!$B$20+'3. Assumptions'!$B$22)</f>
        <v>1093315.12637858</v>
      </c>
      <c r="O105" s="31" t="n">
        <f aca="false">'6. Income and costs'!$B$39+'3. Assumptions'!$B$31*L105*12+M105*('3. Assumptions'!$B$20*(1-'3. Assumptions'!$B$21)+'3. Assumptions'!$B$33)+N105*('3. Assumptions'!$B$26+'3. Assumptions'!$B$32)</f>
        <v>611014.900407146</v>
      </c>
      <c r="P105" s="31" t="n">
        <f aca="false">N105-O105</f>
        <v>482300.225971433</v>
      </c>
    </row>
    <row r="106" customFormat="false" ht="15" hidden="false" customHeight="false" outlineLevel="0" collapsed="false">
      <c r="A106" s="53" t="n">
        <f aca="false">84*0.0025</f>
        <v>0.21</v>
      </c>
      <c r="B106" s="53" t="n">
        <f aca="false">IF(A106&gt;0,MIN('3. Assumptions'!$B$16,'3. Assumptions'!$B$13*(A106/'3. Assumptions'!$B$15)^'3. Assumptions'!$B$14),0)</f>
        <v>0.286611964812636</v>
      </c>
      <c r="C106" s="34" t="n">
        <f aca="false">(1-'3. Assumptions'!$B$12-B106)*(1-'3. Assumptions'!$B$12)^('3. Assumptions'!$B$8-1)</f>
        <v>0.458564816108269</v>
      </c>
      <c r="D106" s="34" t="n">
        <f aca="false">1+(1-'3. Assumptions'!$B$12-B106)*(1-(1-'3. Assumptions'!$B$12)^('3. Assumptions'!$B$8-1))/'3. Assumptions'!$B$12</f>
        <v>3.83192810645256</v>
      </c>
      <c r="E106" s="34" t="n">
        <f aca="false">(1-'3. Assumptions'!$B$11)*(1-'3. Assumptions'!$B$12)^('3. Assumptions'!$B$7-1)</f>
        <v>0.690273454655712</v>
      </c>
      <c r="F106" s="34" t="n">
        <f aca="false">1+(1-'3. Assumptions'!$B$11)*(1-(1-'3. Assumptions'!$B$12)^('3. Assumptions'!$B$7-1))/'3. Assumptions'!$B$12</f>
        <v>4.28912098262087</v>
      </c>
      <c r="G10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6" s="34" t="n">
        <f aca="false">IF(A106&lt;=0,0,MAX(0,ROUNDUP(LN('3. Assumptions'!$B$10)/LN(1+A106)-0.000000000001,0)-1))</f>
        <v>2</v>
      </c>
      <c r="I106" s="34" t="n">
        <f aca="false">IF(A106&lt;=0,1/(1-C106),(1+A106)*(1-(C106*(1+A106))^H106)/(1-C106*(1+A106))+'3. Assumptions'!$B$10*C106^H106/(1-C106))</f>
        <v>2.51055763602752</v>
      </c>
      <c r="J106" s="45" t="n">
        <f aca="false">F106+E106*D106/(1-C106)</f>
        <v>9.17443012160409</v>
      </c>
      <c r="K106" s="34" t="n">
        <f aca="false">F106-G106+E106*D106*I106</f>
        <v>10.0451654630766</v>
      </c>
      <c r="L106" s="45" t="n">
        <f aca="false">'3. Assumptions'!$B$17*'2. The tape'!$B$11/J106</f>
        <v>51.1901005048896</v>
      </c>
      <c r="M106" s="31" t="n">
        <f aca="false">L106*'2. The tape'!$B$15*'2. The tape'!$D$11*K106</f>
        <v>986272.792520643</v>
      </c>
      <c r="N106" s="31" t="n">
        <f aca="false">M106*(1+'3. Assumptions'!$B$19+'3. Assumptions'!$B$20+'3. Assumptions'!$B$22)</f>
        <v>1090817.70852783</v>
      </c>
      <c r="O106" s="31" t="n">
        <f aca="false">'6. Income and costs'!$B$39+'3. Assumptions'!$B$31*L106*12+M106*('3. Assumptions'!$B$20*(1-'3. Assumptions'!$B$21)+'3. Assumptions'!$B$33)+N106*('3. Assumptions'!$B$26+'3. Assumptions'!$B$32)</f>
        <v>611594.005719757</v>
      </c>
      <c r="P106" s="31" t="n">
        <f aca="false">N106-O106</f>
        <v>479223.702808075</v>
      </c>
    </row>
    <row r="107" customFormat="false" ht="15" hidden="false" customHeight="false" outlineLevel="0" collapsed="false">
      <c r="A107" s="53" t="n">
        <f aca="false">85*0.0025</f>
        <v>0.2125</v>
      </c>
      <c r="B107" s="53" t="n">
        <f aca="false">IF(A107&gt;0,MIN('3. Assumptions'!$B$16,'3. Assumptions'!$B$13*(A107/'3. Assumptions'!$B$15)^'3. Assumptions'!$B$14),0)</f>
        <v>0.294869227163265</v>
      </c>
      <c r="C107" s="34" t="n">
        <f aca="false">(1-'3. Assumptions'!$B$12-B107)*(1-'3. Assumptions'!$B$12)^('3. Assumptions'!$B$8-1)</f>
        <v>0.452711422962302</v>
      </c>
      <c r="D107" s="34" t="n">
        <f aca="false">1+(1-'3. Assumptions'!$B$12-B107)*(1-(1-'3. Assumptions'!$B$12)^('3. Assumptions'!$B$8-1))/'3. Assumptions'!$B$12</f>
        <v>3.7957796973599</v>
      </c>
      <c r="E107" s="34" t="n">
        <f aca="false">(1-'3. Assumptions'!$B$11)*(1-'3. Assumptions'!$B$12)^('3. Assumptions'!$B$7-1)</f>
        <v>0.690273454655712</v>
      </c>
      <c r="F107" s="34" t="n">
        <f aca="false">1+(1-'3. Assumptions'!$B$11)*(1-(1-'3. Assumptions'!$B$12)^('3. Assumptions'!$B$7-1))/'3. Assumptions'!$B$12</f>
        <v>4.28912098262087</v>
      </c>
      <c r="G10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7" s="34" t="n">
        <f aca="false">IF(A107&lt;=0,0,MAX(0,ROUNDUP(LN('3. Assumptions'!$B$10)/LN(1+A107)-0.000000000001,0)-1))</f>
        <v>2</v>
      </c>
      <c r="I107" s="34" t="n">
        <f aca="false">IF(A107&lt;=0,1/(1-C107),(1+A107)*(1-(C107*(1+A107))^H107)/(1-C107*(1+A107))+'3. Assumptions'!$B$10*C107^H107/(1-C107))</f>
        <v>2.48471118607591</v>
      </c>
      <c r="J107" s="45" t="n">
        <f aca="false">F107+E107*D107/(1-C107)</f>
        <v>9.07658791458308</v>
      </c>
      <c r="K107" s="34" t="n">
        <f aca="false">F107-G107+E107*D107*I107</f>
        <v>9.9148003532319</v>
      </c>
      <c r="L107" s="45" t="n">
        <f aca="false">'3. Assumptions'!$B$17*'2. The tape'!$B$11/J107</f>
        <v>51.7419105526917</v>
      </c>
      <c r="M107" s="31" t="n">
        <f aca="false">L107*'2. The tape'!$B$15*'2. The tape'!$D$11*K107</f>
        <v>983966.720716978</v>
      </c>
      <c r="N107" s="31" t="n">
        <f aca="false">M107*(1+'3. Assumptions'!$B$19+'3. Assumptions'!$B$20+'3. Assumptions'!$B$22)</f>
        <v>1088267.19311298</v>
      </c>
      <c r="O107" s="31" t="n">
        <f aca="false">'6. Income and costs'!$B$39+'3. Assumptions'!$B$31*L107*12+M107*('3. Assumptions'!$B$20*(1-'3. Assumptions'!$B$21)+'3. Assumptions'!$B$33)+N107*('3. Assumptions'!$B$26+'3. Assumptions'!$B$32)</f>
        <v>612181.709880389</v>
      </c>
      <c r="P107" s="31" t="n">
        <f aca="false">N107-O107</f>
        <v>476085.483232589</v>
      </c>
    </row>
    <row r="108" customFormat="false" ht="15" hidden="false" customHeight="false" outlineLevel="0" collapsed="false">
      <c r="A108" s="53" t="n">
        <f aca="false">86*0.0025</f>
        <v>0.215</v>
      </c>
      <c r="B108" s="53" t="n">
        <f aca="false">IF(A108&gt;0,MIN('3. Assumptions'!$B$16,'3. Assumptions'!$B$13*(A108/'3. Assumptions'!$B$15)^'3. Assumptions'!$B$14),0)</f>
        <v>0.303263618629552</v>
      </c>
      <c r="C108" s="34" t="n">
        <f aca="false">(1-'3. Assumptions'!$B$12-B108)*(1-'3. Assumptions'!$B$12)^('3. Assumptions'!$B$8-1)</f>
        <v>0.446760821977753</v>
      </c>
      <c r="D108" s="34" t="n">
        <f aca="false">1+(1-'3. Assumptions'!$B$12-B108)*(1-(1-'3. Assumptions'!$B$12)^('3. Assumptions'!$B$8-1))/'3. Assumptions'!$B$12</f>
        <v>3.75903096831121</v>
      </c>
      <c r="E108" s="34" t="n">
        <f aca="false">(1-'3. Assumptions'!$B$11)*(1-'3. Assumptions'!$B$12)^('3. Assumptions'!$B$7-1)</f>
        <v>0.690273454655712</v>
      </c>
      <c r="F108" s="34" t="n">
        <f aca="false">1+(1-'3. Assumptions'!$B$11)*(1-(1-'3. Assumptions'!$B$12)^('3. Assumptions'!$B$7-1))/'3. Assumptions'!$B$12</f>
        <v>4.28912098262087</v>
      </c>
      <c r="G10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8" s="34" t="n">
        <f aca="false">IF(A108&lt;=0,0,MAX(0,ROUNDUP(LN('3. Assumptions'!$B$10)/LN(1+A108)-0.000000000001,0)-1))</f>
        <v>2</v>
      </c>
      <c r="I108" s="34" t="n">
        <f aca="false">IF(A108&lt;=0,1/(1-C108),(1+A108)*(1-(C108*(1+A108))^H108)/(1-C108*(1+A108))+'3. Assumptions'!$B$10*C108^H108/(1-C108))</f>
        <v>2.45897607084333</v>
      </c>
      <c r="J108" s="45" t="n">
        <f aca="false">F108+E108*D108/(1-C108)</f>
        <v>8.97924307760679</v>
      </c>
      <c r="K108" s="34" t="n">
        <f aca="false">F108-G108+E108*D108*I108</f>
        <v>9.78499506977845</v>
      </c>
      <c r="L108" s="45" t="n">
        <f aca="false">'3. Assumptions'!$B$17*'2. The tape'!$B$11/J108</f>
        <v>52.3028495766229</v>
      </c>
      <c r="M108" s="31" t="n">
        <f aca="false">L108*'2. The tape'!$B$15*'2. The tape'!$D$11*K108</f>
        <v>981612.178221705</v>
      </c>
      <c r="N108" s="31" t="n">
        <f aca="false">M108*(1+'3. Assumptions'!$B$19+'3. Assumptions'!$B$20+'3. Assumptions'!$B$22)</f>
        <v>1085663.06911321</v>
      </c>
      <c r="O108" s="31" t="n">
        <f aca="false">'6. Income and costs'!$B$39+'3. Assumptions'!$B$31*L108*12+M108*('3. Assumptions'!$B$20*(1-'3. Assumptions'!$B$21)+'3. Assumptions'!$B$33)+N108*('3. Assumptions'!$B$26+'3. Assumptions'!$B$32)</f>
        <v>612778.026154906</v>
      </c>
      <c r="P108" s="31" t="n">
        <f aca="false">N108-O108</f>
        <v>472885.0429583</v>
      </c>
    </row>
    <row r="109" customFormat="false" ht="15" hidden="false" customHeight="false" outlineLevel="0" collapsed="false">
      <c r="A109" s="53" t="n">
        <f aca="false">87*0.0025</f>
        <v>0.2175</v>
      </c>
      <c r="B109" s="53" t="n">
        <f aca="false">IF(A109&gt;0,MIN('3. Assumptions'!$B$16,'3. Assumptions'!$B$13*(A109/'3. Assumptions'!$B$15)^'3. Assumptions'!$B$14),0)</f>
        <v>0.311795782270405</v>
      </c>
      <c r="C109" s="34" t="n">
        <f aca="false">(1-'3. Assumptions'!$B$12-B109)*(1-'3. Assumptions'!$B$12)^('3. Assumptions'!$B$8-1)</f>
        <v>0.440712557304191</v>
      </c>
      <c r="D109" s="34" t="n">
        <f aca="false">1+(1-'3. Assumptions'!$B$12-B109)*(1-(1-'3. Assumptions'!$B$12)^('3. Assumptions'!$B$8-1))/'3. Assumptions'!$B$12</f>
        <v>3.72167910414141</v>
      </c>
      <c r="E109" s="34" t="n">
        <f aca="false">(1-'3. Assumptions'!$B$11)*(1-'3. Assumptions'!$B$12)^('3. Assumptions'!$B$7-1)</f>
        <v>0.690273454655712</v>
      </c>
      <c r="F109" s="34" t="n">
        <f aca="false">1+(1-'3. Assumptions'!$B$11)*(1-(1-'3. Assumptions'!$B$12)^('3. Assumptions'!$B$7-1))/'3. Assumptions'!$B$12</f>
        <v>4.28912098262087</v>
      </c>
      <c r="G10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09" s="34" t="n">
        <f aca="false">IF(A109&lt;=0,0,MAX(0,ROUNDUP(LN('3. Assumptions'!$B$10)/LN(1+A109)-0.000000000001,0)-1))</f>
        <v>2</v>
      </c>
      <c r="I109" s="34" t="n">
        <f aca="false">IF(A109&lt;=0,1/(1-C109),(1+A109)*(1-(C109*(1+A109))^H109)/(1-C109*(1+A109))+'3. Assumptions'!$B$10*C109^H109/(1-C109))</f>
        <v>2.43335940800839</v>
      </c>
      <c r="J109" s="45" t="n">
        <f aca="false">F109+E109*D109/(1-C109)</f>
        <v>8.88242327446745</v>
      </c>
      <c r="K109" s="34" t="n">
        <f aca="false">F109-G109+E109*D109*I109</f>
        <v>9.65578668944945</v>
      </c>
      <c r="L109" s="45" t="n">
        <f aca="false">'3. Assumptions'!$B$17*'2. The tape'!$B$11/J109</f>
        <v>52.8729588185672</v>
      </c>
      <c r="M109" s="31" t="n">
        <f aca="false">L109*'2. The tape'!$B$15*'2. The tape'!$D$11*K109</f>
        <v>979208.677272376</v>
      </c>
      <c r="N109" s="31" t="n">
        <f aca="false">M109*(1+'3. Assumptions'!$B$19+'3. Assumptions'!$B$20+'3. Assumptions'!$B$22)</f>
        <v>1083004.79706325</v>
      </c>
      <c r="O109" s="31" t="n">
        <f aca="false">'6. Income and costs'!$B$39+'3. Assumptions'!$B$31*L109*12+M109*('3. Assumptions'!$B$20*(1-'3. Assumptions'!$B$21)+'3. Assumptions'!$B$33)+N109*('3. Assumptions'!$B$26+'3. Assumptions'!$B$32)</f>
        <v>613382.964521442</v>
      </c>
      <c r="P109" s="31" t="n">
        <f aca="false">N109-O109</f>
        <v>469621.832541806</v>
      </c>
    </row>
    <row r="110" customFormat="false" ht="15" hidden="false" customHeight="false" outlineLevel="0" collapsed="false">
      <c r="A110" s="53" t="n">
        <f aca="false">88*0.0025</f>
        <v>0.22</v>
      </c>
      <c r="B110" s="53" t="n">
        <f aca="false">IF(A110&gt;0,MIN('3. Assumptions'!$B$16,'3. Assumptions'!$B$13*(A110/'3. Assumptions'!$B$15)^'3. Assumptions'!$B$14),0)</f>
        <v>0.320466356673598</v>
      </c>
      <c r="C110" s="34" t="n">
        <f aca="false">(1-'3. Assumptions'!$B$12-B110)*(1-'3. Assumptions'!$B$12)^('3. Assumptions'!$B$8-1)</f>
        <v>0.434566176260675</v>
      </c>
      <c r="D110" s="34" t="n">
        <f aca="false">1+(1-'3. Assumptions'!$B$12-B110)*(1-(1-'3. Assumptions'!$B$12)^('3. Assumptions'!$B$8-1))/'3. Assumptions'!$B$12</f>
        <v>3.68372130925906</v>
      </c>
      <c r="E110" s="34" t="n">
        <f aca="false">(1-'3. Assumptions'!$B$11)*(1-'3. Assumptions'!$B$12)^('3. Assumptions'!$B$7-1)</f>
        <v>0.690273454655712</v>
      </c>
      <c r="F110" s="34" t="n">
        <f aca="false">1+(1-'3. Assumptions'!$B$11)*(1-(1-'3. Assumptions'!$B$12)^('3. Assumptions'!$B$7-1))/'3. Assumptions'!$B$12</f>
        <v>4.28912098262087</v>
      </c>
      <c r="G11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0" s="34" t="n">
        <f aca="false">IF(A110&lt;=0,0,MAX(0,ROUNDUP(LN('3. Assumptions'!$B$10)/LN(1+A110)-0.000000000001,0)-1))</f>
        <v>2</v>
      </c>
      <c r="I110" s="34" t="n">
        <f aca="false">IF(A110&lt;=0,1/(1-C110),(1+A110)*(1-(C110*(1+A110))^H110)/(1-C110*(1+A110))+'3. Assumptions'!$B$10*C110^H110/(1-C110))</f>
        <v>2.40786785290721</v>
      </c>
      <c r="J110" s="45" t="n">
        <f aca="false">F110+E110*D110/(1-C110)</f>
        <v>8.78615481288458</v>
      </c>
      <c r="K110" s="34" t="n">
        <f aca="false">F110-G110+E110*D110*I110</f>
        <v>9.52721032140328</v>
      </c>
      <c r="L110" s="45" t="n">
        <f aca="false">'3. Assumptions'!$B$17*'2. The tape'!$B$11/J110</f>
        <v>53.4522791826169</v>
      </c>
      <c r="M110" s="31" t="n">
        <f aca="false">L110*'2. The tape'!$B$15*'2. The tape'!$D$11*K110</f>
        <v>976755.705100508</v>
      </c>
      <c r="N110" s="31" t="n">
        <f aca="false">M110*(1+'3. Assumptions'!$B$19+'3. Assumptions'!$B$20+'3. Assumptions'!$B$22)</f>
        <v>1080291.80984116</v>
      </c>
      <c r="O110" s="31" t="n">
        <f aca="false">'6. Income and costs'!$B$39+'3. Assumptions'!$B$31*L110*12+M110*('3. Assumptions'!$B$20*(1-'3. Assumptions'!$B$21)+'3. Assumptions'!$B$33)+N110*('3. Assumptions'!$B$26+'3. Assumptions'!$B$32)</f>
        <v>613996.53175511</v>
      </c>
      <c r="P110" s="31" t="n">
        <f aca="false">N110-O110</f>
        <v>466295.278086052</v>
      </c>
    </row>
    <row r="111" customFormat="false" ht="15" hidden="false" customHeight="false" outlineLevel="0" collapsed="false">
      <c r="A111" s="53" t="n">
        <f aca="false">89*0.0025</f>
        <v>0.2225</v>
      </c>
      <c r="B111" s="53" t="n">
        <f aca="false">IF(A111&gt;0,MIN('3. Assumptions'!$B$16,'3. Assumptions'!$B$13*(A111/'3. Assumptions'!$B$15)^'3. Assumptions'!$B$14),0)</f>
        <v>0.329275976037725</v>
      </c>
      <c r="C111" s="34" t="n">
        <f aca="false">(1-'3. Assumptions'!$B$12-B111)*(1-'3. Assumptions'!$B$12)^('3. Assumptions'!$B$8-1)</f>
        <v>0.428321229277655</v>
      </c>
      <c r="D111" s="34" t="n">
        <f aca="false">1+(1-'3. Assumptions'!$B$12-B111)*(1-(1-'3. Assumptions'!$B$12)^('3. Assumptions'!$B$8-1))/'3. Assumptions'!$B$12</f>
        <v>3.64515480728752</v>
      </c>
      <c r="E111" s="34" t="n">
        <f aca="false">(1-'3. Assumptions'!$B$11)*(1-'3. Assumptions'!$B$12)^('3. Assumptions'!$B$7-1)</f>
        <v>0.690273454655712</v>
      </c>
      <c r="F111" s="34" t="n">
        <f aca="false">1+(1-'3. Assumptions'!$B$11)*(1-(1-'3. Assumptions'!$B$12)^('3. Assumptions'!$B$7-1))/'3. Assumptions'!$B$12</f>
        <v>4.28912098262087</v>
      </c>
      <c r="G11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1" s="34" t="n">
        <f aca="false">IF(A111&lt;=0,0,MAX(0,ROUNDUP(LN('3. Assumptions'!$B$10)/LN(1+A111)-0.000000000001,0)-1))</f>
        <v>2</v>
      </c>
      <c r="I111" s="34" t="n">
        <f aca="false">IF(A111&lt;=0,1/(1-C111),(1+A111)*(1-(C111*(1+A111))^H111)/(1-C111*(1+A111))+'3. Assumptions'!$B$10*C111^H111/(1-C111))</f>
        <v>2.38250760475145</v>
      </c>
      <c r="J111" s="45" t="n">
        <f aca="false">F111+E111*D111/(1-C111)</f>
        <v>8.69046266337271</v>
      </c>
      <c r="K111" s="34" t="n">
        <f aca="false">F111-G111+E111*D111*I111</f>
        <v>9.39929915003399</v>
      </c>
      <c r="L111" s="45" t="n">
        <f aca="false">'3. Assumptions'!$B$17*'2. The tape'!$B$11/J111</f>
        <v>54.0408512402188</v>
      </c>
      <c r="M111" s="31" t="n">
        <f aca="false">L111*'2. The tape'!$B$15*'2. The tape'!$D$11*K111</f>
        <v>974252.724792949</v>
      </c>
      <c r="N111" s="31" t="n">
        <f aca="false">M111*(1+'3. Assumptions'!$B$19+'3. Assumptions'!$B$20+'3. Assumptions'!$B$22)</f>
        <v>1077523.513621</v>
      </c>
      <c r="O111" s="31" t="n">
        <f aca="false">'6. Income and costs'!$B$39+'3. Assumptions'!$B$31*L111*12+M111*('3. Assumptions'!$B$20*(1-'3. Assumptions'!$B$21)+'3. Assumptions'!$B$33)+N111*('3. Assumptions'!$B$26+'3. Assumptions'!$B$32)</f>
        <v>614618.731528499</v>
      </c>
      <c r="P111" s="31" t="n">
        <f aca="false">N111-O111</f>
        <v>462904.782092502</v>
      </c>
    </row>
    <row r="112" customFormat="false" ht="15" hidden="false" customHeight="false" outlineLevel="0" collapsed="false">
      <c r="A112" s="53" t="n">
        <f aca="false">90*0.0025</f>
        <v>0.225</v>
      </c>
      <c r="B112" s="53" t="n">
        <f aca="false">IF(A112&gt;0,MIN('3. Assumptions'!$B$16,'3. Assumptions'!$B$13*(A112/'3. Assumptions'!$B$15)^'3. Assumptions'!$B$14),0)</f>
        <v>0.338225270251736</v>
      </c>
      <c r="C112" s="34" t="n">
        <f aca="false">(1-'3. Assumptions'!$B$12-B112)*(1-'3. Assumptions'!$B$12)^('3. Assumptions'!$B$8-1)</f>
        <v>0.421977269840597</v>
      </c>
      <c r="D112" s="34" t="n">
        <f aca="false">1+(1-'3. Assumptions'!$B$12-B112)*(1-(1-'3. Assumptions'!$B$12)^('3. Assumptions'!$B$8-1))/'3. Assumptions'!$B$12</f>
        <v>3.60597684071679</v>
      </c>
      <c r="E112" s="34" t="n">
        <f aca="false">(1-'3. Assumptions'!$B$11)*(1-'3. Assumptions'!$B$12)^('3. Assumptions'!$B$7-1)</f>
        <v>0.690273454655712</v>
      </c>
      <c r="F112" s="34" t="n">
        <f aca="false">1+(1-'3. Assumptions'!$B$11)*(1-(1-'3. Assumptions'!$B$12)^('3. Assumptions'!$B$7-1))/'3. Assumptions'!$B$12</f>
        <v>4.28912098262087</v>
      </c>
      <c r="G11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2" s="34" t="n">
        <f aca="false">IF(A112&lt;=0,0,MAX(0,ROUNDUP(LN('3. Assumptions'!$B$10)/LN(1+A112)-0.000000000001,0)-1))</f>
        <v>2</v>
      </c>
      <c r="I112" s="34" t="n">
        <f aca="false">IF(A112&lt;=0,1/(1-C112),(1+A112)*(1-(C112*(1+A112))^H112)/(1-C112*(1+A112))+'3. Assumptions'!$B$10*C112^H112/(1-C112))</f>
        <v>2.3572844134786</v>
      </c>
      <c r="J112" s="45" t="n">
        <f aca="false">F112+E112*D112/(1-C112)</f>
        <v>8.59537048004746</v>
      </c>
      <c r="K112" s="34" t="n">
        <f aca="false">F112-G112+E112*D112*I112</f>
        <v>9.27208448108003</v>
      </c>
      <c r="L112" s="45" t="n">
        <f aca="false">'3. Assumptions'!$B$17*'2. The tape'!$B$11/J112</f>
        <v>54.6387152351584</v>
      </c>
      <c r="M112" s="31" t="n">
        <f aca="false">L112*'2. The tape'!$B$15*'2. The tape'!$D$11*K112</f>
        <v>971699.176308833</v>
      </c>
      <c r="N112" s="31" t="n">
        <f aca="false">M112*(1+'3. Assumptions'!$B$19+'3. Assumptions'!$B$20+'3. Assumptions'!$B$22)</f>
        <v>1074699.28899757</v>
      </c>
      <c r="O112" s="31" t="n">
        <f aca="false">'6. Income and costs'!$B$39+'3. Assumptions'!$B$31*L112*12+M112*('3. Assumptions'!$B$20*(1-'3. Assumptions'!$B$21)+'3. Assumptions'!$B$33)+N112*('3. Assumptions'!$B$26+'3. Assumptions'!$B$32)</f>
        <v>615249.564528683</v>
      </c>
      <c r="P112" s="31" t="n">
        <f aca="false">N112-O112</f>
        <v>459449.724468886</v>
      </c>
    </row>
    <row r="113" customFormat="false" ht="15" hidden="false" customHeight="false" outlineLevel="0" collapsed="false">
      <c r="A113" s="53" t="n">
        <f aca="false">91*0.0025</f>
        <v>0.2275</v>
      </c>
      <c r="B113" s="53" t="n">
        <f aca="false">IF(A113&gt;0,MIN('3. Assumptions'!$B$16,'3. Assumptions'!$B$13*(A113/'3. Assumptions'!$B$15)^'3. Assumptions'!$B$14),0)</f>
        <v>0.347314864972165</v>
      </c>
      <c r="C113" s="34" t="n">
        <f aca="false">(1-'3. Assumptions'!$B$12-B113)*(1-'3. Assumptions'!$B$12)^('3. Assumptions'!$B$8-1)</f>
        <v>0.415533854435233</v>
      </c>
      <c r="D113" s="34" t="n">
        <f aca="false">1+(1-'3. Assumptions'!$B$12-B113)*(1-(1-'3. Assumptions'!$B$12)^('3. Assumptions'!$B$8-1))/'3. Assumptions'!$B$12</f>
        <v>3.56618467056545</v>
      </c>
      <c r="E113" s="34" t="n">
        <f aca="false">(1-'3. Assumptions'!$B$11)*(1-'3. Assumptions'!$B$12)^('3. Assumptions'!$B$7-1)</f>
        <v>0.690273454655712</v>
      </c>
      <c r="F113" s="34" t="n">
        <f aca="false">1+(1-'3. Assumptions'!$B$11)*(1-(1-'3. Assumptions'!$B$12)^('3. Assumptions'!$B$7-1))/'3. Assumptions'!$B$12</f>
        <v>4.28912098262087</v>
      </c>
      <c r="G11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3" s="34" t="n">
        <f aca="false">IF(A113&lt;=0,0,MAX(0,ROUNDUP(LN('3. Assumptions'!$B$10)/LN(1+A113)-0.000000000001,0)-1))</f>
        <v>2</v>
      </c>
      <c r="I113" s="34" t="n">
        <f aca="false">IF(A113&lt;=0,1/(1-C113),(1+A113)*(1-(C113*(1+A113))^H113)/(1-C113*(1+A113))+'3. Assumptions'!$B$10*C113^H113/(1-C113))</f>
        <v>2.33220358717555</v>
      </c>
      <c r="J113" s="45" t="n">
        <f aca="false">F113+E113*D113/(1-C113)</f>
        <v>8.50090062318976</v>
      </c>
      <c r="K113" s="34" t="n">
        <f aca="false">F113-G113+E113*D113*I113</f>
        <v>9.14559579074071</v>
      </c>
      <c r="L113" s="45" t="n">
        <f aca="false">'3. Assumptions'!$B$17*'2. The tape'!$B$11/J113</f>
        <v>55.2459110883923</v>
      </c>
      <c r="M113" s="31" t="n">
        <f aca="false">L113*'2. The tape'!$B$15*'2. The tape'!$D$11*K113</f>
        <v>969094.477658751</v>
      </c>
      <c r="N113" s="31" t="n">
        <f aca="false">M113*(1+'3. Assumptions'!$B$19+'3. Assumptions'!$B$20+'3. Assumptions'!$B$22)</f>
        <v>1071818.49229058</v>
      </c>
      <c r="O113" s="31" t="n">
        <f aca="false">'6. Income and costs'!$B$39+'3. Assumptions'!$B$31*L113*12+M113*('3. Assumptions'!$B$20*(1-'3. Assumptions'!$B$21)+'3. Assumptions'!$B$33)+N113*('3. Assumptions'!$B$26+'3. Assumptions'!$B$32)</f>
        <v>615889.028591447</v>
      </c>
      <c r="P113" s="31" t="n">
        <f aca="false">N113-O113</f>
        <v>455929.463699131</v>
      </c>
    </row>
    <row r="114" customFormat="false" ht="15" hidden="false" customHeight="false" outlineLevel="0" collapsed="false">
      <c r="A114" s="53" t="n">
        <f aca="false">92*0.0025</f>
        <v>0.23</v>
      </c>
      <c r="B114" s="53" t="n">
        <f aca="false">IF(A114&gt;0,MIN('3. Assumptions'!$B$16,'3. Assumptions'!$B$13*(A114/'3. Assumptions'!$B$15)^'3. Assumptions'!$B$14),0)</f>
        <v>0.356545381698125</v>
      </c>
      <c r="C114" s="34" t="n">
        <f aca="false">(1-'3. Assumptions'!$B$12-B114)*(1-'3. Assumptions'!$B$12)^('3. Assumptions'!$B$8-1)</f>
        <v>0.408990542494398</v>
      </c>
      <c r="D114" s="34" t="n">
        <f aca="false">1+(1-'3. Assumptions'!$B$12-B114)*(1-(1-'3. Assumptions'!$B$12)^('3. Assumptions'!$B$8-1))/'3. Assumptions'!$B$12</f>
        <v>3.52577557605227</v>
      </c>
      <c r="E114" s="34" t="n">
        <f aca="false">(1-'3. Assumptions'!$B$11)*(1-'3. Assumptions'!$B$12)^('3. Assumptions'!$B$7-1)</f>
        <v>0.690273454655712</v>
      </c>
      <c r="F114" s="34" t="n">
        <f aca="false">1+(1-'3. Assumptions'!$B$11)*(1-(1-'3. Assumptions'!$B$12)^('3. Assumptions'!$B$7-1))/'3. Assumptions'!$B$12</f>
        <v>4.28912098262087</v>
      </c>
      <c r="G11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4" s="34" t="n">
        <f aca="false">IF(A114&lt;=0,0,MAX(0,ROUNDUP(LN('3. Assumptions'!$B$10)/LN(1+A114)-0.000000000001,0)-1))</f>
        <v>2</v>
      </c>
      <c r="I114" s="34" t="n">
        <f aca="false">IF(A114&lt;=0,1/(1-C114),(1+A114)*(1-(C114*(1+A114))^H114)/(1-C114*(1+A114))+'3. Assumptions'!$B$10*C114^H114/(1-C114))</f>
        <v>2.30727000001867</v>
      </c>
      <c r="J114" s="45" t="n">
        <f aca="false">F114+E114*D114/(1-C114)</f>
        <v>8.40707418339392</v>
      </c>
      <c r="K114" s="34" t="n">
        <f aca="false">F114-G114+E114*D114*I114</f>
        <v>9.01986077751888</v>
      </c>
      <c r="L114" s="45" t="n">
        <f aca="false">'3. Assumptions'!$B$17*'2. The tape'!$B$11/J114</f>
        <v>55.862478402731</v>
      </c>
      <c r="M114" s="31" t="n">
        <f aca="false">L114*'2. The tape'!$B$15*'2. The tape'!$D$11*K114</f>
        <v>966438.026252909</v>
      </c>
      <c r="N114" s="31" t="n">
        <f aca="false">M114*(1+'3. Assumptions'!$B$19+'3. Assumptions'!$B$20+'3. Assumptions'!$B$22)</f>
        <v>1068880.45703572</v>
      </c>
      <c r="O114" s="31" t="n">
        <f aca="false">'6. Income and costs'!$B$39+'3. Assumptions'!$B$31*L114*12+M114*('3. Assumptions'!$B$20*(1-'3. Assumptions'!$B$21)+'3. Assumptions'!$B$33)+N114*('3. Assumptions'!$B$26+'3. Assumptions'!$B$32)</f>
        <v>616537.118853481</v>
      </c>
      <c r="P114" s="31" t="n">
        <f aca="false">N114-O114</f>
        <v>452343.338182237</v>
      </c>
    </row>
    <row r="115" customFormat="false" ht="15" hidden="false" customHeight="false" outlineLevel="0" collapsed="false">
      <c r="A115" s="53" t="n">
        <f aca="false">93*0.0025</f>
        <v>0.2325</v>
      </c>
      <c r="B115" s="53" t="n">
        <f aca="false">IF(A115&gt;0,MIN('3. Assumptions'!$B$16,'3. Assumptions'!$B$13*(A115/'3. Assumptions'!$B$15)^'3. Assumptions'!$B$14),0)</f>
        <v>0.365917437844179</v>
      </c>
      <c r="C115" s="34" t="n">
        <f aca="false">(1-'3. Assumptions'!$B$12-B115)*(1-'3. Assumptions'!$B$12)^('3. Assumptions'!$B$8-1)</f>
        <v>0.402346896346381</v>
      </c>
      <c r="D115" s="34" t="n">
        <f aca="false">1+(1-'3. Assumptions'!$B$12-B115)*(1-(1-'3. Assumptions'!$B$12)^('3. Assumptions'!$B$8-1))/'3. Assumptions'!$B$12</f>
        <v>3.4847468542773</v>
      </c>
      <c r="E115" s="34" t="n">
        <f aca="false">(1-'3. Assumptions'!$B$11)*(1-'3. Assumptions'!$B$12)^('3. Assumptions'!$B$7-1)</f>
        <v>0.690273454655712</v>
      </c>
      <c r="F115" s="34" t="n">
        <f aca="false">1+(1-'3. Assumptions'!$B$11)*(1-(1-'3. Assumptions'!$B$12)^('3. Assumptions'!$B$7-1))/'3. Assumptions'!$B$12</f>
        <v>4.28912098262087</v>
      </c>
      <c r="G11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5" s="34" t="n">
        <f aca="false">IF(A115&lt;=0,0,MAX(0,ROUNDUP(LN('3. Assumptions'!$B$10)/LN(1+A115)-0.000000000001,0)-1))</f>
        <v>2</v>
      </c>
      <c r="I115" s="34" t="n">
        <f aca="false">IF(A115&lt;=0,1/(1-C115),(1+A115)*(1-(C115*(1+A115))^H115)/(1-C115*(1+A115))+'3. Assumptions'!$B$10*C115^H115/(1-C115))</f>
        <v>2.28248810067515</v>
      </c>
      <c r="J115" s="45" t="n">
        <f aca="false">F115+E115*D115/(1-C115)</f>
        <v>8.31391100713102</v>
      </c>
      <c r="K115" s="34" t="n">
        <f aca="false">F115-G115+E115*D115*I115</f>
        <v>8.89490541651802</v>
      </c>
      <c r="L115" s="45" t="n">
        <f aca="false">'3. Assumptions'!$B$17*'2. The tape'!$B$11/J115</f>
        <v>56.488456467381</v>
      </c>
      <c r="M115" s="31" t="n">
        <f aca="false">L115*'2. The tape'!$B$15*'2. The tape'!$D$11*K115</f>
        <v>963729.200425158</v>
      </c>
      <c r="N115" s="31" t="n">
        <f aca="false">M115*(1+'3. Assumptions'!$B$19+'3. Assumptions'!$B$20+'3. Assumptions'!$B$22)</f>
        <v>1065884.49567023</v>
      </c>
      <c r="O115" s="31" t="n">
        <f aca="false">'6. Income and costs'!$B$39+'3. Assumptions'!$B$31*L115*12+M115*('3. Assumptions'!$B$20*(1-'3. Assumptions'!$B$21)+'3. Assumptions'!$B$33)+N115*('3. Assumptions'!$B$26+'3. Assumptions'!$B$32)</f>
        <v>617193.827923285</v>
      </c>
      <c r="P115" s="31" t="n">
        <f aca="false">N115-O115</f>
        <v>448690.66774694</v>
      </c>
    </row>
    <row r="116" customFormat="false" ht="15" hidden="false" customHeight="false" outlineLevel="0" collapsed="false">
      <c r="A116" s="53" t="n">
        <f aca="false">94*0.0025</f>
        <v>0.235</v>
      </c>
      <c r="B116" s="53" t="n">
        <f aca="false">IF(A116&gt;0,MIN('3. Assumptions'!$B$16,'3. Assumptions'!$B$13*(A116/'3. Assumptions'!$B$15)^'3. Assumptions'!$B$14),0)</f>
        <v>0.375431646811142</v>
      </c>
      <c r="C116" s="34" t="n">
        <f aca="false">(1-'3. Assumptions'!$B$12-B116)*(1-'3. Assumptions'!$B$12)^('3. Assumptions'!$B$8-1)</f>
        <v>0.395602481164722</v>
      </c>
      <c r="D116" s="34" t="n">
        <f aca="false">1+(1-'3. Assumptions'!$B$12-B116)*(1-(1-'3. Assumptions'!$B$12)^('3. Assumptions'!$B$8-1))/'3. Assumptions'!$B$12</f>
        <v>3.44309581991182</v>
      </c>
      <c r="E116" s="34" t="n">
        <f aca="false">(1-'3. Assumptions'!$B$11)*(1-'3. Assumptions'!$B$12)^('3. Assumptions'!$B$7-1)</f>
        <v>0.690273454655712</v>
      </c>
      <c r="F116" s="34" t="n">
        <f aca="false">1+(1-'3. Assumptions'!$B$11)*(1-(1-'3. Assumptions'!$B$12)^('3. Assumptions'!$B$7-1))/'3. Assumptions'!$B$12</f>
        <v>4.28912098262087</v>
      </c>
      <c r="G11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6" s="34" t="n">
        <f aca="false">IF(A116&lt;=0,0,MAX(0,ROUNDUP(LN('3. Assumptions'!$B$10)/LN(1+A116)-0.000000000001,0)-1))</f>
        <v>2</v>
      </c>
      <c r="I116" s="34" t="n">
        <f aca="false">IF(A116&lt;=0,1/(1-C116),(1+A116)*(1-(C116*(1+A116))^H116)/(1-C116*(1+A116))+'3. Assumptions'!$B$10*C116^H116/(1-C116))</f>
        <v>2.25786192111272</v>
      </c>
      <c r="J116" s="45" t="n">
        <f aca="false">F116+E116*D116/(1-C116)</f>
        <v>8.22142972356545</v>
      </c>
      <c r="K116" s="34" t="n">
        <f aca="false">F116-G116+E116*D116*I116</f>
        <v>8.77075401593234</v>
      </c>
      <c r="L116" s="45" t="n">
        <f aca="false">'3. Assumptions'!$B$17*'2. The tape'!$B$11/J116</f>
        <v>57.1238842623504</v>
      </c>
      <c r="M116" s="31" t="n">
        <f aca="false">L116*'2. The tape'!$B$15*'2. The tape'!$D$11*K116</f>
        <v>960967.361139946</v>
      </c>
      <c r="N116" s="31" t="n">
        <f aca="false">M116*(1+'3. Assumptions'!$B$19+'3. Assumptions'!$B$20+'3. Assumptions'!$B$22)</f>
        <v>1062829.90142078</v>
      </c>
      <c r="O116" s="31" t="n">
        <f aca="false">'6. Income and costs'!$B$39+'3. Assumptions'!$B$31*L116*12+M116*('3. Assumptions'!$B$20*(1-'3. Assumptions'!$B$21)+'3. Assumptions'!$B$33)+N116*('3. Assumptions'!$B$26+'3. Assumptions'!$B$32)</f>
        <v>617859.146071561</v>
      </c>
      <c r="P116" s="31" t="n">
        <f aca="false">N116-O116</f>
        <v>444970.755349219</v>
      </c>
    </row>
    <row r="117" customFormat="false" ht="15" hidden="false" customHeight="false" outlineLevel="0" collapsed="false">
      <c r="A117" s="53" t="n">
        <f aca="false">95*0.0025</f>
        <v>0.2375</v>
      </c>
      <c r="B117" s="53" t="n">
        <f aca="false">IF(A117&gt;0,MIN('3. Assumptions'!$B$16,'3. Assumptions'!$B$13*(A117/'3. Assumptions'!$B$15)^'3. Assumptions'!$B$14),0)</f>
        <v>0.385088618054926</v>
      </c>
      <c r="C117" s="34" t="n">
        <f aca="false">(1-'3. Assumptions'!$B$12-B117)*(1-'3. Assumptions'!$B$12)^('3. Assumptions'!$B$8-1)</f>
        <v>0.388756864919422</v>
      </c>
      <c r="D117" s="34" t="n">
        <f aca="false">1+(1-'3. Assumptions'!$B$12-B117)*(1-(1-'3. Assumptions'!$B$12)^('3. Assumptions'!$B$8-1))/'3. Assumptions'!$B$12</f>
        <v>3.40081980489702</v>
      </c>
      <c r="E117" s="34" t="n">
        <f aca="false">(1-'3. Assumptions'!$B$11)*(1-'3. Assumptions'!$B$12)^('3. Assumptions'!$B$7-1)</f>
        <v>0.690273454655712</v>
      </c>
      <c r="F117" s="34" t="n">
        <f aca="false">1+(1-'3. Assumptions'!$B$11)*(1-(1-'3. Assumptions'!$B$12)^('3. Assumptions'!$B$7-1))/'3. Assumptions'!$B$12</f>
        <v>4.28912098262087</v>
      </c>
      <c r="G11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7" s="34" t="n">
        <f aca="false">IF(A117&lt;=0,0,MAX(0,ROUNDUP(LN('3. Assumptions'!$B$10)/LN(1+A117)-0.000000000001,0)-1))</f>
        <v>2</v>
      </c>
      <c r="I117" s="34" t="n">
        <f aca="false">IF(A117&lt;=0,1/(1-C117),(1+A117)*(1-(C117*(1+A117))^H117)/(1-C117*(1+A117))+'3. Assumptions'!$B$10*C117^H117/(1-C117))</f>
        <v>2.23339508576703</v>
      </c>
      <c r="J117" s="45" t="n">
        <f aca="false">F117+E117*D117/(1-C117)</f>
        <v>8.12964777246919</v>
      </c>
      <c r="K117" s="34" t="n">
        <f aca="false">F117-G117+E117*D117*I117</f>
        <v>8.64742927547869</v>
      </c>
      <c r="L117" s="45" t="n">
        <f aca="false">'3. Assumptions'!$B$17*'2. The tape'!$B$11/J117</f>
        <v>57.7688004627239</v>
      </c>
      <c r="M117" s="31" t="n">
        <f aca="false">L117*'2. The tape'!$B$15*'2. The tape'!$D$11*K117</f>
        <v>958151.853889344</v>
      </c>
      <c r="N117" s="31" t="n">
        <f aca="false">M117*(1+'3. Assumptions'!$B$19+'3. Assumptions'!$B$20+'3. Assumptions'!$B$22)</f>
        <v>1059715.95040161</v>
      </c>
      <c r="O117" s="31" t="n">
        <f aca="false">'6. Income and costs'!$B$39+'3. Assumptions'!$B$31*L117*12+M117*('3. Assumptions'!$B$20*(1-'3. Assumptions'!$B$21)+'3. Assumptions'!$B$33)+N117*('3. Assumptions'!$B$26+'3. Assumptions'!$B$32)</f>
        <v>618533.061441855</v>
      </c>
      <c r="P117" s="31" t="n">
        <f aca="false">N117-O117</f>
        <v>441182.88895976</v>
      </c>
    </row>
    <row r="118" customFormat="false" ht="15" hidden="false" customHeight="false" outlineLevel="0" collapsed="false">
      <c r="A118" s="53" t="n">
        <f aca="false">96*0.0025</f>
        <v>0.24</v>
      </c>
      <c r="B118" s="53" t="n">
        <f aca="false">IF(A118&gt;0,MIN('3. Assumptions'!$B$16,'3. Assumptions'!$B$13*(A118/'3. Assumptions'!$B$15)^'3. Assumptions'!$B$14),0)</f>
        <v>0.394888957153475</v>
      </c>
      <c r="C118" s="34" t="n">
        <f aca="false">(1-'3. Assumptions'!$B$12-B118)*(1-'3. Assumptions'!$B$12)^('3. Assumptions'!$B$8-1)</f>
        <v>0.381809618329488</v>
      </c>
      <c r="D118" s="34" t="n">
        <f aca="false">1+(1-'3. Assumptions'!$B$12-B118)*(1-(1-'3. Assumptions'!$B$12)^('3. Assumptions'!$B$8-1))/'3. Assumptions'!$B$12</f>
        <v>3.35791615815094</v>
      </c>
      <c r="E118" s="34" t="n">
        <f aca="false">(1-'3. Assumptions'!$B$11)*(1-'3. Assumptions'!$B$12)^('3. Assumptions'!$B$7-1)</f>
        <v>0.690273454655712</v>
      </c>
      <c r="F118" s="34" t="n">
        <f aca="false">1+(1-'3. Assumptions'!$B$11)*(1-(1-'3. Assumptions'!$B$12)^('3. Assumptions'!$B$7-1))/'3. Assumptions'!$B$12</f>
        <v>4.28912098262087</v>
      </c>
      <c r="G11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8" s="34" t="n">
        <f aca="false">IF(A118&lt;=0,0,MAX(0,ROUNDUP(LN('3. Assumptions'!$B$10)/LN(1+A118)-0.000000000001,0)-1))</f>
        <v>2</v>
      </c>
      <c r="I118" s="34" t="n">
        <f aca="false">IF(A118&lt;=0,1/(1-C118),(1+A118)*(1-(C118*(1+A118))^H118)/(1-C118*(1+A118))+'3. Assumptions'!$B$10*C118^H118/(1-C118))</f>
        <v>2.20909082101797</v>
      </c>
      <c r="J118" s="45" t="n">
        <f aca="false">F118+E118*D118/(1-C118)</f>
        <v>8.03858143308528</v>
      </c>
      <c r="K118" s="34" t="n">
        <f aca="false">F118-G118+E118*D118*I118</f>
        <v>8.52495234653099</v>
      </c>
      <c r="L118" s="45" t="n">
        <f aca="false">'3. Assumptions'!$B$17*'2. The tape'!$B$11/J118</f>
        <v>58.4232434428108</v>
      </c>
      <c r="M118" s="31" t="n">
        <f aca="false">L118*'2. The tape'!$B$15*'2. The tape'!$D$11*K118</f>
        <v>955282.010787472</v>
      </c>
      <c r="N118" s="31" t="n">
        <f aca="false">M118*(1+'3. Assumptions'!$B$19+'3. Assumptions'!$B$20+'3. Assumptions'!$B$22)</f>
        <v>1056541.90393094</v>
      </c>
      <c r="O118" s="31" t="n">
        <f aca="false">'6. Income and costs'!$B$39+'3. Assumptions'!$B$31*L118*12+M118*('3. Assumptions'!$B$20*(1-'3. Assumptions'!$B$21)+'3. Assumptions'!$B$33)+N118*('3. Assumptions'!$B$26+'3. Assumptions'!$B$32)</f>
        <v>619215.560282262</v>
      </c>
      <c r="P118" s="31" t="n">
        <f aca="false">N118-O118</f>
        <v>437326.343648682</v>
      </c>
    </row>
    <row r="119" customFormat="false" ht="15" hidden="false" customHeight="false" outlineLevel="0" collapsed="false">
      <c r="A119" s="53" t="n">
        <f aca="false">97*0.0025</f>
        <v>0.2425</v>
      </c>
      <c r="B119" s="53" t="n">
        <f aca="false">IF(A119&gt;0,MIN('3. Assumptions'!$B$16,'3. Assumptions'!$B$13*(A119/'3. Assumptions'!$B$15)^'3. Assumptions'!$B$14),0)</f>
        <v>0.40483326587188</v>
      </c>
      <c r="C119" s="34" t="n">
        <f aca="false">(1-'3. Assumptions'!$B$12-B119)*(1-'3. Assumptions'!$B$12)^('3. Assumptions'!$B$8-1)</f>
        <v>0.374760314816773</v>
      </c>
      <c r="D119" s="34" t="n">
        <f aca="false">1+(1-'3. Assumptions'!$B$12-B119)*(1-(1-'3. Assumptions'!$B$12)^('3. Assumptions'!$B$8-1))/'3. Assumptions'!$B$12</f>
        <v>3.31438224528341</v>
      </c>
      <c r="E119" s="34" t="n">
        <f aca="false">(1-'3. Assumptions'!$B$11)*(1-'3. Assumptions'!$B$12)^('3. Assumptions'!$B$7-1)</f>
        <v>0.690273454655712</v>
      </c>
      <c r="F119" s="34" t="n">
        <f aca="false">1+(1-'3. Assumptions'!$B$11)*(1-(1-'3. Assumptions'!$B$12)^('3. Assumptions'!$B$7-1))/'3. Assumptions'!$B$12</f>
        <v>4.28912098262087</v>
      </c>
      <c r="G11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19" s="34" t="n">
        <f aca="false">IF(A119&lt;=0,0,MAX(0,ROUNDUP(LN('3. Assumptions'!$B$10)/LN(1+A119)-0.000000000001,0)-1))</f>
        <v>2</v>
      </c>
      <c r="I119" s="34" t="n">
        <f aca="false">IF(A119&lt;=0,1/(1-C119),(1+A119)*(1-(C119*(1+A119))^H119)/(1-C119*(1+A119))+'3. Assumptions'!$B$10*C119^H119/(1-C119))</f>
        <v>2.18495196492882</v>
      </c>
      <c r="J119" s="45" t="n">
        <f aca="false">F119+E119*D119/(1-C119)</f>
        <v>7.94824585379869</v>
      </c>
      <c r="K119" s="34" t="n">
        <f aca="false">F119-G119+E119*D119*I119</f>
        <v>8.4033428937285</v>
      </c>
      <c r="L119" s="45" t="n">
        <f aca="false">'3. Assumptions'!$B$17*'2. The tape'!$B$11/J119</f>
        <v>59.0872512801735</v>
      </c>
      <c r="M119" s="31" t="n">
        <f aca="false">L119*'2. The tape'!$B$15*'2. The tape'!$D$11*K119</f>
        <v>952357.152869741</v>
      </c>
      <c r="N119" s="31" t="n">
        <f aca="false">M119*(1+'3. Assumptions'!$B$19+'3. Assumptions'!$B$20+'3. Assumptions'!$B$22)</f>
        <v>1053307.01107393</v>
      </c>
      <c r="O119" s="31" t="n">
        <f aca="false">'6. Income and costs'!$B$39+'3. Assumptions'!$B$31*L119*12+M119*('3. Assumptions'!$B$20*(1-'3. Assumptions'!$B$21)+'3. Assumptions'!$B$33)+N119*('3. Assumptions'!$B$26+'3. Assumptions'!$B$32)</f>
        <v>619906.627198987</v>
      </c>
      <c r="P119" s="31" t="n">
        <f aca="false">N119-O119</f>
        <v>433400.383874947</v>
      </c>
    </row>
    <row r="120" customFormat="false" ht="15" hidden="false" customHeight="false" outlineLevel="0" collapsed="false">
      <c r="A120" s="53" t="n">
        <f aca="false">98*0.0025</f>
        <v>0.245</v>
      </c>
      <c r="B120" s="53" t="n">
        <f aca="false">IF(A120&gt;0,MIN('3. Assumptions'!$B$16,'3. Assumptions'!$B$13*(A120/'3. Assumptions'!$B$15)^'3. Assumptions'!$B$14),0)</f>
        <v>0.414922142225734</v>
      </c>
      <c r="C120" s="34" t="n">
        <f aca="false">(1-'3. Assumptions'!$B$12-B120)*(1-'3. Assumptions'!$B$12)^('3. Assumptions'!$B$8-1)</f>
        <v>0.367608530461071</v>
      </c>
      <c r="D120" s="34" t="n">
        <f aca="false">1+(1-'3. Assumptions'!$B$12-B120)*(1-(1-'3. Assumptions'!$B$12)^('3. Assumptions'!$B$8-1))/'3. Assumptions'!$B$12</f>
        <v>3.27021544831873</v>
      </c>
      <c r="E120" s="34" t="n">
        <f aca="false">(1-'3. Assumptions'!$B$11)*(1-'3. Assumptions'!$B$12)^('3. Assumptions'!$B$7-1)</f>
        <v>0.690273454655712</v>
      </c>
      <c r="F120" s="34" t="n">
        <f aca="false">1+(1-'3. Assumptions'!$B$11)*(1-(1-'3. Assumptions'!$B$12)^('3. Assumptions'!$B$7-1))/'3. Assumptions'!$B$12</f>
        <v>4.28912098262087</v>
      </c>
      <c r="G12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0" s="34" t="n">
        <f aca="false">IF(A120&lt;=0,0,MAX(0,ROUNDUP(LN('3. Assumptions'!$B$10)/LN(1+A120)-0.000000000001,0)-1))</f>
        <v>2</v>
      </c>
      <c r="I120" s="34" t="n">
        <f aca="false">IF(A120&lt;=0,1/(1-C120),(1+A120)*(1-(C120*(1+A120))^H120)/(1-C120*(1+A120))+'3. Assumptions'!$B$10*C120^H120/(1-C120))</f>
        <v>2.16098097720421</v>
      </c>
      <c r="J120" s="45" t="n">
        <f aca="false">F120+E120*D120/(1-C120)</f>
        <v>7.85865508248034</v>
      </c>
      <c r="K120" s="34" t="n">
        <f aca="false">F120-G120+E120*D120*I120</f>
        <v>8.28261915784123</v>
      </c>
      <c r="L120" s="45" t="n">
        <f aca="false">'3. Assumptions'!$B$17*'2. The tape'!$B$11/J120</f>
        <v>59.7608617595382</v>
      </c>
      <c r="M120" s="31" t="n">
        <f aca="false">L120*'2. The tape'!$B$15*'2. The tape'!$D$11*K120</f>
        <v>949376.592604516</v>
      </c>
      <c r="N120" s="31" t="n">
        <f aca="false">M120*(1+'3. Assumptions'!$B$19+'3. Assumptions'!$B$20+'3. Assumptions'!$B$22)</f>
        <v>1050010.51142059</v>
      </c>
      <c r="O120" s="31" t="n">
        <f aca="false">'6. Income and costs'!$B$39+'3. Assumptions'!$B$31*L120*12+M120*('3. Assumptions'!$B$20*(1-'3. Assumptions'!$B$21)+'3. Assumptions'!$B$33)+N120*('3. Assumptions'!$B$26+'3. Assumptions'!$B$32)</f>
        <v>620606.24543259</v>
      </c>
      <c r="P120" s="31" t="n">
        <f aca="false">N120-O120</f>
        <v>429404.265988004</v>
      </c>
    </row>
    <row r="121" customFormat="false" ht="15" hidden="false" customHeight="false" outlineLevel="0" collapsed="false">
      <c r="A121" s="53" t="n">
        <f aca="false">99*0.0025</f>
        <v>0.2475</v>
      </c>
      <c r="B121" s="53" t="n">
        <f aca="false">IF(A121&gt;0,MIN('3. Assumptions'!$B$16,'3. Assumptions'!$B$13*(A121/'3. Assumptions'!$B$15)^'3. Assumptions'!$B$14),0)</f>
        <v>0.425156180542788</v>
      </c>
      <c r="C121" s="34" t="n">
        <f aca="false">(1-'3. Assumptions'!$B$12-B121)*(1-'3. Assumptions'!$B$12)^('3. Assumptions'!$B$8-1)</f>
        <v>0.360353843956403</v>
      </c>
      <c r="D121" s="34" t="n">
        <f aca="false">1+(1-'3. Assumptions'!$B$12-B121)*(1-(1-'3. Assumptions'!$B$12)^('3. Assumptions'!$B$8-1))/'3. Assumptions'!$B$12</f>
        <v>3.2254131654257</v>
      </c>
      <c r="E121" s="34" t="n">
        <f aca="false">(1-'3. Assumptions'!$B$11)*(1-'3. Assumptions'!$B$12)^('3. Assumptions'!$B$7-1)</f>
        <v>0.690273454655712</v>
      </c>
      <c r="F121" s="34" t="n">
        <f aca="false">1+(1-'3. Assumptions'!$B$11)*(1-(1-'3. Assumptions'!$B$12)^('3. Assumptions'!$B$7-1))/'3. Assumptions'!$B$12</f>
        <v>4.28912098262087</v>
      </c>
      <c r="G12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1" s="34" t="n">
        <f aca="false">IF(A121&lt;=0,0,MAX(0,ROUNDUP(LN('3. Assumptions'!$B$10)/LN(1+A121)-0.000000000001,0)-1))</f>
        <v>2</v>
      </c>
      <c r="I121" s="34" t="n">
        <f aca="false">IF(A121&lt;=0,1/(1-C121),(1+A121)*(1-(C121*(1+A121))^H121)/(1-C121*(1+A121))+'3. Assumptions'!$B$10*C121^H121/(1-C121))</f>
        <v>2.13717994932539</v>
      </c>
      <c r="J121" s="45" t="n">
        <f aca="false">F121+E121*D121/(1-C121)</f>
        <v>7.76982209737699</v>
      </c>
      <c r="K121" s="34" t="n">
        <f aca="false">F121-G121+E121*D121*I121</f>
        <v>8.16279801968735</v>
      </c>
      <c r="L121" s="45" t="n">
        <f aca="false">'3. Assumptions'!$B$17*'2. The tape'!$B$11/J121</f>
        <v>60.4441123765943</v>
      </c>
      <c r="M121" s="31" t="n">
        <f aca="false">L121*'2. The tape'!$B$15*'2. The tape'!$D$11*K121</f>
        <v>946339.636624901</v>
      </c>
      <c r="N121" s="31" t="n">
        <f aca="false">M121*(1+'3. Assumptions'!$B$19+'3. Assumptions'!$B$20+'3. Assumptions'!$B$22)</f>
        <v>1046651.63810714</v>
      </c>
      <c r="O121" s="31" t="n">
        <f aca="false">'6. Income and costs'!$B$39+'3. Assumptions'!$B$31*L121*12+M121*('3. Assumptions'!$B$20*(1-'3. Assumptions'!$B$21)+'3. Assumptions'!$B$33)+N121*('3. Assumptions'!$B$26+'3. Assumptions'!$B$32)</f>
        <v>621314.397157758</v>
      </c>
      <c r="P121" s="31" t="n">
        <f aca="false">N121-O121</f>
        <v>425337.240949382</v>
      </c>
    </row>
    <row r="122" customFormat="false" ht="15" hidden="false" customHeight="false" outlineLevel="0" collapsed="false">
      <c r="A122" s="53" t="n">
        <f aca="false">100*0.0025</f>
        <v>0.25</v>
      </c>
      <c r="B122" s="53" t="n">
        <f aca="false">IF(A122&gt;0,MIN('3. Assumptions'!$B$16,'3. Assumptions'!$B$13*(A122/'3. Assumptions'!$B$15)^'3. Assumptions'!$B$14),0)</f>
        <v>0.435535971522992</v>
      </c>
      <c r="C122" s="34" t="n">
        <f aca="false">(1-'3. Assumptions'!$B$12-B122)*(1-'3. Assumptions'!$B$12)^('3. Assumptions'!$B$8-1)</f>
        <v>0.352995836568461</v>
      </c>
      <c r="D122" s="34" t="n">
        <f aca="false">1+(1-'3. Assumptions'!$B$12-B122)*(1-(1-'3. Assumptions'!$B$12)^('3. Assumptions'!$B$8-1))/'3. Assumptions'!$B$12</f>
        <v>3.17997281065483</v>
      </c>
      <c r="E122" s="34" t="n">
        <f aca="false">(1-'3. Assumptions'!$B$11)*(1-'3. Assumptions'!$B$12)^('3. Assumptions'!$B$7-1)</f>
        <v>0.690273454655712</v>
      </c>
      <c r="F122" s="34" t="n">
        <f aca="false">1+(1-'3. Assumptions'!$B$11)*(1-(1-'3. Assumptions'!$B$12)^('3. Assumptions'!$B$7-1))/'3. Assumptions'!$B$12</f>
        <v>4.28912098262087</v>
      </c>
      <c r="G12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2" s="34" t="n">
        <f aca="false">IF(A122&lt;=0,0,MAX(0,ROUNDUP(LN('3. Assumptions'!$B$10)/LN(1+A122)-0.000000000001,0)-1))</f>
        <v>2</v>
      </c>
      <c r="I122" s="34" t="n">
        <f aca="false">IF(A122&lt;=0,1/(1-C122),(1+A122)*(1-(C122*(1+A122))^H122)/(1-C122*(1+A122))+'3. Assumptions'!$B$10*C122^H122/(1-C122))</f>
        <v>2.11355061482357</v>
      </c>
      <c r="J122" s="45" t="n">
        <f aca="false">F122+E122*D122/(1-C122)</f>
        <v>7.6817588384269</v>
      </c>
      <c r="K122" s="34" t="n">
        <f aca="false">F122-G122+E122*D122*I122</f>
        <v>8.04389506490915</v>
      </c>
      <c r="L122" s="45" t="n">
        <f aca="false">'3. Assumptions'!$B$17*'2. The tape'!$B$11/J122</f>
        <v>61.1370403416849</v>
      </c>
      <c r="M122" s="31" t="n">
        <f aca="false">L122*'2. The tape'!$B$15*'2. The tape'!$D$11*K122</f>
        <v>943245.588688515</v>
      </c>
      <c r="N122" s="31" t="n">
        <f aca="false">M122*(1+'3. Assumptions'!$B$19+'3. Assumptions'!$B$20+'3. Assumptions'!$B$22)</f>
        <v>1043229.6210895</v>
      </c>
      <c r="O122" s="31" t="n">
        <f aca="false">'6. Income and costs'!$B$39+'3. Assumptions'!$B$31*L122*12+M122*('3. Assumptions'!$B$20*(1-'3. Assumptions'!$B$21)+'3. Assumptions'!$B$33)+N122*('3. Assumptions'!$B$26+'3. Assumptions'!$B$32)</f>
        <v>622031.063807446</v>
      </c>
      <c r="P122" s="31" t="n">
        <f aca="false">N122-O122</f>
        <v>421198.557282052</v>
      </c>
    </row>
    <row r="123" customFormat="false" ht="15" hidden="false" customHeight="false" outlineLevel="0" collapsed="false">
      <c r="A123" s="53" t="n">
        <f aca="false">101*0.0025</f>
        <v>0.2525</v>
      </c>
      <c r="B123" s="53" t="n">
        <f aca="false">IF(A123&gt;0,MIN('3. Assumptions'!$B$16,'3. Assumptions'!$B$13*(A123/'3. Assumptions'!$B$15)^'3. Assumptions'!$B$14),0)</f>
        <v>0.446062102296944</v>
      </c>
      <c r="C123" s="34" t="n">
        <f aca="false">(1-'3. Assumptions'!$B$12-B123)*(1-'3. Assumptions'!$B$12)^('3. Assumptions'!$B$8-1)</f>
        <v>0.345534092093174</v>
      </c>
      <c r="D123" s="34" t="n">
        <f aca="false">1+(1-'3. Assumptions'!$B$12-B123)*(1-(1-'3. Assumptions'!$B$12)^('3. Assumptions'!$B$8-1))/'3. Assumptions'!$B$12</f>
        <v>3.13389181368244</v>
      </c>
      <c r="E123" s="34" t="n">
        <f aca="false">(1-'3. Assumptions'!$B$11)*(1-'3. Assumptions'!$B$12)^('3. Assumptions'!$B$7-1)</f>
        <v>0.690273454655712</v>
      </c>
      <c r="F123" s="34" t="n">
        <f aca="false">1+(1-'3. Assumptions'!$B$11)*(1-(1-'3. Assumptions'!$B$12)^('3. Assumptions'!$B$7-1))/'3. Assumptions'!$B$12</f>
        <v>4.28912098262087</v>
      </c>
      <c r="G12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3" s="34" t="n">
        <f aca="false">IF(A123&lt;=0,0,MAX(0,ROUNDUP(LN('3. Assumptions'!$B$10)/LN(1+A123)-0.000000000001,0)-1))</f>
        <v>2</v>
      </c>
      <c r="I123" s="34" t="n">
        <f aca="false">IF(A123&lt;=0,1/(1-C123),(1+A123)*(1-(C123*(1+A123))^H123)/(1-C123*(1+A123))+'3. Assumptions'!$B$10*C123^H123/(1-C123))</f>
        <v>2.09009435965442</v>
      </c>
      <c r="J123" s="45" t="n">
        <f aca="false">F123+E123*D123/(1-C123)</f>
        <v>7.59447623888856</v>
      </c>
      <c r="K123" s="34" t="n">
        <f aca="false">F123-G123+E123*D123*I123</f>
        <v>7.92592464942549</v>
      </c>
      <c r="L123" s="45" t="n">
        <f aca="false">'3. Assumptions'!$B$17*'2. The tape'!$B$11/J123</f>
        <v>61.8396825833945</v>
      </c>
      <c r="M123" s="31" t="n">
        <f aca="false">L123*'2. The tape'!$B$15*'2. The tape'!$D$11*K123</f>
        <v>940093.752873249</v>
      </c>
      <c r="N123" s="31" t="n">
        <f aca="false">M123*(1+'3. Assumptions'!$B$19+'3. Assumptions'!$B$20+'3. Assumptions'!$B$22)</f>
        <v>1039743.69067781</v>
      </c>
      <c r="O123" s="31" t="n">
        <f aca="false">'6. Income and costs'!$B$39+'3. Assumptions'!$B$31*L123*12+M123*('3. Assumptions'!$B$20*(1-'3. Assumptions'!$B$21)+'3. Assumptions'!$B$33)+N123*('3. Assumptions'!$B$26+'3. Assumptions'!$B$32)</f>
        <v>622756.226422263</v>
      </c>
      <c r="P123" s="31" t="n">
        <f aca="false">N123-O123</f>
        <v>416987.46425555</v>
      </c>
    </row>
    <row r="124" customFormat="false" ht="15" hidden="false" customHeight="false" outlineLevel="0" collapsed="false">
      <c r="A124" s="53" t="n">
        <f aca="false">102*0.0025</f>
        <v>0.255</v>
      </c>
      <c r="B124" s="53" t="n">
        <f aca="false">IF(A124&gt;0,MIN('3. Assumptions'!$B$16,'3. Assumptions'!$B$13*(A124/'3. Assumptions'!$B$15)^'3. Assumptions'!$B$14),0)</f>
        <v>0.456735156482836</v>
      </c>
      <c r="C124" s="34" t="n">
        <f aca="false">(1-'3. Assumptions'!$B$12-B124)*(1-'3. Assumptions'!$B$12)^('3. Assumptions'!$B$8-1)</f>
        <v>0.337968196816336</v>
      </c>
      <c r="D124" s="34" t="n">
        <f aca="false">1+(1-'3. Assumptions'!$B$12-B124)*(1-(1-'3. Assumptions'!$B$12)^('3. Assumptions'!$B$8-1))/'3. Assumptions'!$B$12</f>
        <v>3.08716761956133</v>
      </c>
      <c r="E124" s="34" t="n">
        <f aca="false">(1-'3. Assumptions'!$B$11)*(1-'3. Assumptions'!$B$12)^('3. Assumptions'!$B$7-1)</f>
        <v>0.690273454655712</v>
      </c>
      <c r="F124" s="34" t="n">
        <f aca="false">1+(1-'3. Assumptions'!$B$11)*(1-(1-'3. Assumptions'!$B$12)^('3. Assumptions'!$B$7-1))/'3. Assumptions'!$B$12</f>
        <v>4.28912098262087</v>
      </c>
      <c r="G12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4" s="34" t="n">
        <f aca="false">IF(A124&lt;=0,0,MAX(0,ROUNDUP(LN('3. Assumptions'!$B$10)/LN(1+A124)-0.000000000001,0)-1))</f>
        <v>2</v>
      </c>
      <c r="I124" s="34" t="n">
        <f aca="false">IF(A124&lt;=0,1/(1-C124),(1+A124)*(1-(C124*(1+A124))^H124)/(1-C124*(1+A124))+'3. Assumptions'!$B$10*C124^H124/(1-C124))</f>
        <v>2.06681223263932</v>
      </c>
      <c r="J124" s="45" t="n">
        <f aca="false">F124+E124*D124/(1-C124)</f>
        <v>7.50798425717667</v>
      </c>
      <c r="K124" s="34" t="n">
        <f aca="false">F124-G124+E124*D124*I124</f>
        <v>7.80889996539074</v>
      </c>
      <c r="L124" s="45" t="n">
        <f aca="false">'3. Assumptions'!$B$17*'2. The tape'!$B$11/J124</f>
        <v>62.5520757520348</v>
      </c>
      <c r="M124" s="31" t="n">
        <f aca="false">L124*'2. The tape'!$B$15*'2. The tape'!$D$11*K124</f>
        <v>936883.43701714</v>
      </c>
      <c r="N124" s="31" t="n">
        <f aca="false">M124*(1+'3. Assumptions'!$B$19+'3. Assumptions'!$B$20+'3. Assumptions'!$B$22)</f>
        <v>1036193.08134096</v>
      </c>
      <c r="O124" s="31" t="n">
        <f aca="false">'6. Income and costs'!$B$39+'3. Assumptions'!$B$31*L124*12+M124*('3. Assumptions'!$B$20*(1-'3. Assumptions'!$B$21)+'3. Assumptions'!$B$33)+N124*('3. Assumptions'!$B$26+'3. Assumptions'!$B$32)</f>
        <v>623489.866025975</v>
      </c>
      <c r="P124" s="31" t="n">
        <f aca="false">N124-O124</f>
        <v>412703.215314982</v>
      </c>
    </row>
    <row r="125" customFormat="false" ht="15" hidden="false" customHeight="false" outlineLevel="0" collapsed="false">
      <c r="A125" s="53" t="n">
        <f aca="false">103*0.0025</f>
        <v>0.2575</v>
      </c>
      <c r="B125" s="53" t="n">
        <f aca="false">IF(A125&gt;0,MIN('3. Assumptions'!$B$16,'3. Assumptions'!$B$13*(A125/'3. Assumptions'!$B$15)^'3. Assumptions'!$B$14),0)</f>
        <v>0.467555714241937</v>
      </c>
      <c r="C125" s="34" t="n">
        <f aca="false">(1-'3. Assumptions'!$B$12-B125)*(1-'3. Assumptions'!$B$12)^('3. Assumptions'!$B$8-1)</f>
        <v>0.33029773947428</v>
      </c>
      <c r="D125" s="34" t="n">
        <f aca="false">1+(1-'3. Assumptions'!$B$12-B125)*(1-(1-'3. Assumptions'!$B$12)^('3. Assumptions'!$B$8-1))/'3. Assumptions'!$B$12</f>
        <v>3.03979768847794</v>
      </c>
      <c r="E125" s="34" t="n">
        <f aca="false">(1-'3. Assumptions'!$B$11)*(1-'3. Assumptions'!$B$12)^('3. Assumptions'!$B$7-1)</f>
        <v>0.690273454655712</v>
      </c>
      <c r="F125" s="34" t="n">
        <f aca="false">1+(1-'3. Assumptions'!$B$11)*(1-(1-'3. Assumptions'!$B$12)^('3. Assumptions'!$B$7-1))/'3. Assumptions'!$B$12</f>
        <v>4.28912098262087</v>
      </c>
      <c r="G12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5" s="34" t="n">
        <f aca="false">IF(A125&lt;=0,0,MAX(0,ROUNDUP(LN('3. Assumptions'!$B$10)/LN(1+A125)-0.000000000001,0)-1))</f>
        <v>2</v>
      </c>
      <c r="I125" s="34" t="n">
        <f aca="false">IF(A125&lt;=0,1/(1-C125),(1+A125)*(1-(C125*(1+A125))^H125)/(1-C125*(1+A125))+'3. Assumptions'!$B$10*C125^H125/(1-C125))</f>
        <v>2.04370495594096</v>
      </c>
      <c r="J125" s="45" t="n">
        <f aca="false">F125+E125*D125/(1-C125)</f>
        <v>7.42229190880671</v>
      </c>
      <c r="K125" s="34" t="n">
        <f aca="false">F125-G125+E125*D125*I125</f>
        <v>7.69283310750088</v>
      </c>
      <c r="L125" s="45" t="n">
        <f aca="false">'3. Assumptions'!$B$17*'2. The tape'!$B$11/J125</f>
        <v>63.2742562230356</v>
      </c>
      <c r="M125" s="31" t="n">
        <f aca="false">L125*'2. The tape'!$B$15*'2. The tape'!$D$11*K125</f>
        <v>933613.956410656</v>
      </c>
      <c r="N125" s="31" t="n">
        <f aca="false">M125*(1+'3. Assumptions'!$B$19+'3. Assumptions'!$B$20+'3. Assumptions'!$B$22)</f>
        <v>1032577.03579018</v>
      </c>
      <c r="O125" s="31" t="n">
        <f aca="false">'6. Income and costs'!$B$39+'3. Assumptions'!$B$31*L125*12+M125*('3. Assumptions'!$B$20*(1-'3. Assumptions'!$B$21)+'3. Assumptions'!$B$33)+N125*('3. Assumptions'!$B$26+'3. Assumptions'!$B$32)</f>
        <v>624231.964028027</v>
      </c>
      <c r="P125" s="31" t="n">
        <f aca="false">N125-O125</f>
        <v>408345.071762158</v>
      </c>
    </row>
    <row r="126" customFormat="false" ht="15" hidden="false" customHeight="false" outlineLevel="0" collapsed="false">
      <c r="A126" s="53" t="n">
        <f aca="false">104*0.0025</f>
        <v>0.26</v>
      </c>
      <c r="B126" s="53" t="n">
        <f aca="false">IF(A126&gt;0,MIN('3. Assumptions'!$B$16,'3. Assumptions'!$B$13*(A126/'3. Assumptions'!$B$15)^'3. Assumptions'!$B$14),0)</f>
        <v>0.478524352332662</v>
      </c>
      <c r="C126" s="34" t="n">
        <f aca="false">(1-'3. Assumptions'!$B$12-B126)*(1-'3. Assumptions'!$B$12)^('3. Assumptions'!$B$8-1)</f>
        <v>0.322522311215548</v>
      </c>
      <c r="D126" s="34" t="n">
        <f aca="false">1+(1-'3. Assumptions'!$B$12-B126)*(1-(1-'3. Assumptions'!$B$12)^('3. Assumptions'!$B$8-1))/'3. Assumptions'!$B$12</f>
        <v>2.99177949551564</v>
      </c>
      <c r="E126" s="34" t="n">
        <f aca="false">(1-'3. Assumptions'!$B$11)*(1-'3. Assumptions'!$B$12)^('3. Assumptions'!$B$7-1)</f>
        <v>0.690273454655712</v>
      </c>
      <c r="F126" s="34" t="n">
        <f aca="false">1+(1-'3. Assumptions'!$B$11)*(1-(1-'3. Assumptions'!$B$12)^('3. Assumptions'!$B$7-1))/'3. Assumptions'!$B$12</f>
        <v>4.28912098262087</v>
      </c>
      <c r="G12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6" s="34" t="n">
        <f aca="false">IF(A126&lt;=0,0,MAX(0,ROUNDUP(LN('3. Assumptions'!$B$10)/LN(1+A126)-0.000000000001,0)-1))</f>
        <v>2</v>
      </c>
      <c r="I126" s="34" t="n">
        <f aca="false">IF(A126&lt;=0,1/(1-C126),(1+A126)*(1-(C126*(1+A126))^H126)/(1-C126*(1+A126))+'3. Assumptions'!$B$10*C126^H126/(1-C126))</f>
        <v>2.02077293554341</v>
      </c>
      <c r="J126" s="45" t="n">
        <f aca="false">F126+E126*D126/(1-C126)</f>
        <v>7.33740729835629</v>
      </c>
      <c r="K126" s="34" t="n">
        <f aca="false">F126-G126+E126*D126*I126</f>
        <v>7.57773513949907</v>
      </c>
      <c r="L126" s="45" t="n">
        <f aca="false">'3. Assumptions'!$B$17*'2. The tape'!$B$11/J126</f>
        <v>64.0062601002411</v>
      </c>
      <c r="M126" s="31" t="n">
        <f aca="false">L126*'2. The tape'!$B$15*'2. The tape'!$D$11*K126</f>
        <v>930284.637749798</v>
      </c>
      <c r="N126" s="31" t="n">
        <f aca="false">M126*(1+'3. Assumptions'!$B$19+'3. Assumptions'!$B$20+'3. Assumptions'!$B$22)</f>
        <v>1028894.80935128</v>
      </c>
      <c r="O126" s="31" t="n">
        <f aca="false">'6. Income and costs'!$B$39+'3. Assumptions'!$B$31*L126*12+M126*('3. Assumptions'!$B$20*(1-'3. Assumptions'!$B$21)+'3. Assumptions'!$B$33)+N126*('3. Assumptions'!$B$26+'3. Assumptions'!$B$32)</f>
        <v>624982.502654004</v>
      </c>
      <c r="P126" s="31" t="n">
        <f aca="false">N126-O126</f>
        <v>403912.306697272</v>
      </c>
    </row>
    <row r="127" customFormat="false" ht="15" hidden="false" customHeight="false" outlineLevel="0" collapsed="false">
      <c r="A127" s="53" t="n">
        <f aca="false">105*0.0025</f>
        <v>0.2625</v>
      </c>
      <c r="B127" s="53" t="n">
        <f aca="false">IF(A127&gt;0,MIN('3. Assumptions'!$B$16,'3. Assumptions'!$B$13*(A127/'3. Assumptions'!$B$15)^'3. Assumptions'!$B$14),0)</f>
        <v>0.489641644163283</v>
      </c>
      <c r="C127" s="34" t="n">
        <f aca="false">(1-'3. Assumptions'!$B$12-B127)*(1-'3. Assumptions'!$B$12)^('3. Assumptions'!$B$8-1)</f>
        <v>0.314641505563525</v>
      </c>
      <c r="D127" s="34" t="n">
        <f aca="false">1+(1-'3. Assumptions'!$B$12-B127)*(1-(1-'3. Assumptions'!$B$12)^('3. Assumptions'!$B$8-1))/'3. Assumptions'!$B$12</f>
        <v>2.94311053042394</v>
      </c>
      <c r="E127" s="34" t="n">
        <f aca="false">(1-'3. Assumptions'!$B$11)*(1-'3. Assumptions'!$B$12)^('3. Assumptions'!$B$7-1)</f>
        <v>0.690273454655712</v>
      </c>
      <c r="F127" s="34" t="n">
        <f aca="false">1+(1-'3. Assumptions'!$B$11)*(1-(1-'3. Assumptions'!$B$12)^('3. Assumptions'!$B$7-1))/'3. Assumptions'!$B$12</f>
        <v>4.28912098262087</v>
      </c>
      <c r="G12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7" s="34" t="n">
        <f aca="false">IF(A127&lt;=0,0,MAX(0,ROUNDUP(LN('3. Assumptions'!$B$10)/LN(1+A127)-0.000000000001,0)-1))</f>
        <v>2</v>
      </c>
      <c r="I127" s="34" t="n">
        <f aca="false">IF(A127&lt;=0,1/(1-C127),(1+A127)*(1-(C127*(1+A127))^H127)/(1-C127*(1+A127))+'3. Assumptions'!$B$10*C127^H127/(1-C127))</f>
        <v>1.9980162717089</v>
      </c>
      <c r="J127" s="45" t="n">
        <f aca="false">F127+E127*D127/(1-C127)</f>
        <v>7.25333765135823</v>
      </c>
      <c r="K127" s="34" t="n">
        <f aca="false">F127-G127+E127*D127*I127</f>
        <v>7.46361616074376</v>
      </c>
      <c r="L127" s="45" t="n">
        <f aca="false">'3. Assumptions'!$B$17*'2. The tape'!$B$11/J127</f>
        <v>64.7481232191165</v>
      </c>
      <c r="M127" s="31" t="n">
        <f aca="false">L127*'2. The tape'!$B$15*'2. The tape'!$D$11*K127</f>
        <v>926894.82335859</v>
      </c>
      <c r="N127" s="31" t="n">
        <f aca="false">M127*(1+'3. Assumptions'!$B$19+'3. Assumptions'!$B$20+'3. Assumptions'!$B$22)</f>
        <v>1025145.6746346</v>
      </c>
      <c r="O127" s="31" t="n">
        <f aca="false">'6. Income and costs'!$B$39+'3. Assumptions'!$B$31*L127*12+M127*('3. Assumptions'!$B$20*(1-'3. Assumptions'!$B$21)+'3. Assumptions'!$B$33)+N127*('3. Assumptions'!$B$26+'3. Assumptions'!$B$32)</f>
        <v>625741.465404939</v>
      </c>
      <c r="P127" s="31" t="n">
        <f aca="false">N127-O127</f>
        <v>399404.209229661</v>
      </c>
    </row>
    <row r="128" customFormat="false" ht="15" hidden="false" customHeight="false" outlineLevel="0" collapsed="false">
      <c r="A128" s="53" t="n">
        <f aca="false">106*0.0025</f>
        <v>0.265</v>
      </c>
      <c r="B128" s="53" t="n">
        <f aca="false">IF(A128&gt;0,MIN('3. Assumptions'!$B$16,'3. Assumptions'!$B$13*(A128/'3. Assumptions'!$B$15)^'3. Assumptions'!$B$14),0)</f>
        <v>0.500908159843326</v>
      </c>
      <c r="C128" s="34" t="n">
        <f aca="false">(1-'3. Assumptions'!$B$12-B128)*(1-'3. Assumptions'!$B$12)^('3. Assumptions'!$B$8-1)</f>
        <v>0.306654918380005</v>
      </c>
      <c r="D128" s="34" t="n">
        <f aca="false">1+(1-'3. Assumptions'!$B$12-B128)*(1-(1-'3. Assumptions'!$B$12)^('3. Assumptions'!$B$8-1))/'3. Assumptions'!$B$12</f>
        <v>2.89378829739352</v>
      </c>
      <c r="E128" s="34" t="n">
        <f aca="false">(1-'3. Assumptions'!$B$11)*(1-'3. Assumptions'!$B$12)^('3. Assumptions'!$B$7-1)</f>
        <v>0.690273454655712</v>
      </c>
      <c r="F128" s="34" t="n">
        <f aca="false">1+(1-'3. Assumptions'!$B$11)*(1-(1-'3. Assumptions'!$B$12)^('3. Assumptions'!$B$7-1))/'3. Assumptions'!$B$12</f>
        <v>4.28912098262087</v>
      </c>
      <c r="G12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8" s="34" t="n">
        <f aca="false">IF(A128&lt;=0,0,MAX(0,ROUNDUP(LN('3. Assumptions'!$B$10)/LN(1+A128)-0.000000000001,0)-1))</f>
        <v>2</v>
      </c>
      <c r="I128" s="34" t="n">
        <f aca="false">IF(A128&lt;=0,1/(1-C128),(1+A128)*(1-(C128*(1+A128))^H128)/(1-C128*(1+A128))+'3. Assumptions'!$B$10*C128^H128/(1-C128))</f>
        <v>1.97543476938541</v>
      </c>
      <c r="J128" s="45" t="n">
        <f aca="false">F128+E128*D128/(1-C128)</f>
        <v>7.17008934604669</v>
      </c>
      <c r="K128" s="34" t="n">
        <f aca="false">F128-G128+E128*D128*I128</f>
        <v>7.3504853727128</v>
      </c>
      <c r="L128" s="45" t="n">
        <f aca="false">'3. Assumptions'!$B$17*'2. The tape'!$B$11/J128</f>
        <v>65.499881149869</v>
      </c>
      <c r="M128" s="31" t="n">
        <f aca="false">L128*'2. The tape'!$B$15*'2. The tape'!$D$11*K128</f>
        <v>923443.875689664</v>
      </c>
      <c r="N128" s="31" t="n">
        <f aca="false">M128*(1+'3. Assumptions'!$B$19+'3. Assumptions'!$B$20+'3. Assumptions'!$B$22)</f>
        <v>1021328.92651277</v>
      </c>
      <c r="O128" s="31" t="n">
        <f aca="false">'6. Income and costs'!$B$39+'3. Assumptions'!$B$31*L128*12+M128*('3. Assumptions'!$B$20*(1-'3. Assumptions'!$B$21)+'3. Assumptions'!$B$33)+N128*('3. Assumptions'!$B$26+'3. Assumptions'!$B$32)</f>
        <v>626508.837546425</v>
      </c>
      <c r="P128" s="31" t="n">
        <f aca="false">N128-O128</f>
        <v>394820.088966343</v>
      </c>
    </row>
    <row r="129" customFormat="false" ht="15" hidden="false" customHeight="false" outlineLevel="0" collapsed="false">
      <c r="A129" s="53" t="n">
        <f aca="false">107*0.0025</f>
        <v>0.2675</v>
      </c>
      <c r="B129" s="53" t="n">
        <f aca="false">IF(A129&gt;0,MIN('3. Assumptions'!$B$16,'3. Assumptions'!$B$13*(A129/'3. Assumptions'!$B$15)^'3. Assumptions'!$B$14),0)</f>
        <v>0.512324466233694</v>
      </c>
      <c r="C129" s="34" t="n">
        <f aca="false">(1-'3. Assumptions'!$B$12-B129)*(1-'3. Assumptions'!$B$12)^('3. Assumptions'!$B$8-1)</f>
        <v>0.29856214782966</v>
      </c>
      <c r="D129" s="34" t="n">
        <f aca="false">1+(1-'3. Assumptions'!$B$12-B129)*(1-(1-'3. Assumptions'!$B$12)^('3. Assumptions'!$B$8-1))/'3. Assumptions'!$B$12</f>
        <v>2.84381031483678</v>
      </c>
      <c r="E129" s="34" t="n">
        <f aca="false">(1-'3. Assumptions'!$B$11)*(1-'3. Assumptions'!$B$12)^('3. Assumptions'!$B$7-1)</f>
        <v>0.690273454655712</v>
      </c>
      <c r="F129" s="34" t="n">
        <f aca="false">1+(1-'3. Assumptions'!$B$11)*(1-(1-'3. Assumptions'!$B$12)^('3. Assumptions'!$B$7-1))/'3. Assumptions'!$B$12</f>
        <v>4.28912098262087</v>
      </c>
      <c r="G12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29" s="34" t="n">
        <f aca="false">IF(A129&lt;=0,0,MAX(0,ROUNDUP(LN('3. Assumptions'!$B$10)/LN(1+A129)-0.000000000001,0)-1))</f>
        <v>2</v>
      </c>
      <c r="I129" s="34" t="n">
        <f aca="false">IF(A129&lt;=0,1/(1-C129),(1+A129)*(1-(C129*(1+A129))^H129)/(1-C129*(1+A129))+'3. Assumptions'!$B$10*C129^H129/(1-C129))</f>
        <v>1.95302794854188</v>
      </c>
      <c r="J129" s="45" t="n">
        <f aca="false">F129+E129*D129/(1-C129)</f>
        <v>7.08766794488437</v>
      </c>
      <c r="K129" s="34" t="n">
        <f aca="false">F129-G129+E129*D129*I129</f>
        <v>7.23835114532758</v>
      </c>
      <c r="L129" s="45" t="n">
        <f aca="false">'3. Assumptions'!$B$17*'2. The tape'!$B$11/J129</f>
        <v>66.2615692004829</v>
      </c>
      <c r="M129" s="31" t="n">
        <f aca="false">L129*'2. The tape'!$B$15*'2. The tape'!$D$11*K129</f>
        <v>919931.182111794</v>
      </c>
      <c r="N129" s="31" t="n">
        <f aca="false">M129*(1+'3. Assumptions'!$B$19+'3. Assumptions'!$B$20+'3. Assumptions'!$B$22)</f>
        <v>1017443.88741564</v>
      </c>
      <c r="O129" s="31" t="n">
        <f aca="false">'6. Income and costs'!$B$39+'3. Assumptions'!$B$31*L129*12+M129*('3. Assumptions'!$B$20*(1-'3. Assumptions'!$B$21)+'3. Assumptions'!$B$33)+N129*('3. Assumptions'!$B$26+'3. Assumptions'!$B$32)</f>
        <v>627284.606628479</v>
      </c>
      <c r="P129" s="31" t="n">
        <f aca="false">N129-O129</f>
        <v>390159.280787165</v>
      </c>
    </row>
    <row r="130" customFormat="false" ht="15" hidden="false" customHeight="false" outlineLevel="0" collapsed="false">
      <c r="A130" s="53" t="n">
        <f aca="false">108*0.0025</f>
        <v>0.27</v>
      </c>
      <c r="B130" s="53" t="n">
        <f aca="false">IF(A130&gt;0,MIN('3. Assumptions'!$B$16,'3. Assumptions'!$B$13*(A130/'3. Assumptions'!$B$15)^'3. Assumptions'!$B$14),0)</f>
        <v>0.523891126995572</v>
      </c>
      <c r="C130" s="34" t="n">
        <f aca="false">(1-'3. Assumptions'!$B$12-B130)*(1-'3. Assumptions'!$B$12)^('3. Assumptions'!$B$8-1)</f>
        <v>0.290362794345373</v>
      </c>
      <c r="D130" s="34" t="n">
        <f aca="false">1+(1-'3. Assumptions'!$B$12-B130)*(1-(1-'3. Assumptions'!$B$12)^('3. Assumptions'!$B$8-1))/'3. Assumptions'!$B$12</f>
        <v>2.79317411517377</v>
      </c>
      <c r="E130" s="34" t="n">
        <f aca="false">(1-'3. Assumptions'!$B$11)*(1-'3. Assumptions'!$B$12)^('3. Assumptions'!$B$7-1)</f>
        <v>0.690273454655712</v>
      </c>
      <c r="F130" s="34" t="n">
        <f aca="false">1+(1-'3. Assumptions'!$B$11)*(1-(1-'3. Assumptions'!$B$12)^('3. Assumptions'!$B$7-1))/'3. Assumptions'!$B$12</f>
        <v>4.28912098262087</v>
      </c>
      <c r="G13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0" s="34" t="n">
        <f aca="false">IF(A130&lt;=0,0,MAX(0,ROUNDUP(LN('3. Assumptions'!$B$10)/LN(1+A130)-0.000000000001,0)-1))</f>
        <v>2</v>
      </c>
      <c r="I130" s="34" t="n">
        <f aca="false">IF(A130&lt;=0,1/(1-C130),(1+A130)*(1-(C130*(1+A130))^H130)/(1-C130*(1+A130))+'3. Assumptions'!$B$10*C130^H130/(1-C130))</f>
        <v>1.93079505440909</v>
      </c>
      <c r="J130" s="45" t="n">
        <f aca="false">F130+E130*D130/(1-C130)</f>
        <v>7.00607822580447</v>
      </c>
      <c r="K130" s="34" t="n">
        <f aca="false">F130-G130+E130*D130*I130</f>
        <v>7.12722108299093</v>
      </c>
      <c r="L130" s="45" t="n">
        <f aca="false">'3. Assumptions'!$B$17*'2. The tape'!$B$11/J130</f>
        <v>67.033222419676</v>
      </c>
      <c r="M130" s="31" t="n">
        <f aca="false">L130*'2. The tape'!$B$15*'2. The tape'!$D$11*K130</f>
        <v>916356.159993374</v>
      </c>
      <c r="N130" s="31" t="n">
        <f aca="false">M130*(1+'3. Assumptions'!$B$19+'3. Assumptions'!$B$20+'3. Assumptions'!$B$22)</f>
        <v>1013489.91295267</v>
      </c>
      <c r="O130" s="31" t="n">
        <f aca="false">'6. Income and costs'!$B$39+'3. Assumptions'!$B$31*L130*12+M130*('3. Assumptions'!$B$20*(1-'3. Assumptions'!$B$21)+'3. Assumptions'!$B$33)+N130*('3. Assumptions'!$B$26+'3. Assumptions'!$B$32)</f>
        <v>628068.763037144</v>
      </c>
      <c r="P130" s="31" t="n">
        <f aca="false">N130-O130</f>
        <v>385421.149915528</v>
      </c>
    </row>
    <row r="131" customFormat="false" ht="15" hidden="false" customHeight="false" outlineLevel="0" collapsed="false">
      <c r="A131" s="53" t="n">
        <f aca="false">109*0.0025</f>
        <v>0.2725</v>
      </c>
      <c r="B131" s="53" t="n">
        <f aca="false">IF(A131&gt;0,MIN('3. Assumptions'!$B$16,'3. Assumptions'!$B$13*(A131/'3. Assumptions'!$B$15)^'3. Assumptions'!$B$14),0)</f>
        <v>0.53560870263814</v>
      </c>
      <c r="C131" s="34" t="n">
        <f aca="false">(1-'3. Assumptions'!$B$12-B131)*(1-'3. Assumptions'!$B$12)^('3. Assumptions'!$B$8-1)</f>
        <v>0.282056460594413</v>
      </c>
      <c r="D131" s="34" t="n">
        <f aca="false">1+(1-'3. Assumptions'!$B$12-B131)*(1-(1-'3. Assumptions'!$B$12)^('3. Assumptions'!$B$8-1))/'3. Assumptions'!$B$12</f>
        <v>2.74187724462327</v>
      </c>
      <c r="E131" s="34" t="n">
        <f aca="false">(1-'3. Assumptions'!$B$11)*(1-'3. Assumptions'!$B$12)^('3. Assumptions'!$B$7-1)</f>
        <v>0.690273454655712</v>
      </c>
      <c r="F131" s="34" t="n">
        <f aca="false">1+(1-'3. Assumptions'!$B$11)*(1-(1-'3. Assumptions'!$B$12)^('3. Assumptions'!$B$7-1))/'3. Assumptions'!$B$12</f>
        <v>4.28912098262087</v>
      </c>
      <c r="G13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1" s="34" t="n">
        <f aca="false">IF(A131&lt;=0,0,MAX(0,ROUNDUP(LN('3. Assumptions'!$B$10)/LN(1+A131)-0.000000000001,0)-1))</f>
        <v>2</v>
      </c>
      <c r="I131" s="34" t="n">
        <f aca="false">IF(A131&lt;=0,1/(1-C131),(1+A131)*(1-(C131*(1+A131))^H131)/(1-C131*(1+A131))+'3. Assumptions'!$B$10*C131^H131/(1-C131))</f>
        <v>1.90873506760677</v>
      </c>
      <c r="J131" s="45" t="n">
        <f aca="false">F131+E131*D131/(1-C131)</f>
        <v>6.92532421310747</v>
      </c>
      <c r="K131" s="34" t="n">
        <f aca="false">F131-G131+E131*D131*I131</f>
        <v>7.01710209024211</v>
      </c>
      <c r="L131" s="45" t="n">
        <f aca="false">'3. Assumptions'!$B$17*'2. The tape'!$B$11/J131</f>
        <v>67.8148755997761</v>
      </c>
      <c r="M131" s="31" t="n">
        <f aca="false">L131*'2. The tape'!$B$15*'2. The tape'!$D$11*K131</f>
        <v>912718.262090986</v>
      </c>
      <c r="N131" s="31" t="n">
        <f aca="false">M131*(1+'3. Assumptions'!$B$19+'3. Assumptions'!$B$20+'3. Assumptions'!$B$22)</f>
        <v>1009466.39787263</v>
      </c>
      <c r="O131" s="31" t="n">
        <f aca="false">'6. Income and costs'!$B$39+'3. Assumptions'!$B$31*L131*12+M131*('3. Assumptions'!$B$20*(1-'3. Assumptions'!$B$21)+'3. Assumptions'!$B$33)+N131*('3. Assumptions'!$B$26+'3. Assumptions'!$B$32)</f>
        <v>628861.300578798</v>
      </c>
      <c r="P131" s="31" t="n">
        <f aca="false">N131-O131</f>
        <v>380605.097293833</v>
      </c>
    </row>
    <row r="132" customFormat="false" ht="15" hidden="false" customHeight="false" outlineLevel="0" collapsed="false">
      <c r="A132" s="53" t="n">
        <f aca="false">110*0.0025</f>
        <v>0.275</v>
      </c>
      <c r="B132" s="53" t="n">
        <f aca="false">IF(A132&gt;0,MIN('3. Assumptions'!$B$16,'3. Assumptions'!$B$13*(A132/'3. Assumptions'!$B$15)^'3. Assumptions'!$B$14),0)</f>
        <v>0.547477750565143</v>
      </c>
      <c r="C132" s="34" t="n">
        <f aca="false">(1-'3. Assumptions'!$B$12-B132)*(1-'3. Assumptions'!$B$12)^('3. Assumptions'!$B$8-1)</f>
        <v>0.273642751445425</v>
      </c>
      <c r="D132" s="34" t="n">
        <f aca="false">1+(1-'3. Assumptions'!$B$12-B132)*(1-(1-'3. Assumptions'!$B$12)^('3. Assumptions'!$B$8-1))/'3. Assumptions'!$B$12</f>
        <v>2.68991726299897</v>
      </c>
      <c r="E132" s="34" t="n">
        <f aca="false">(1-'3. Assumptions'!$B$11)*(1-'3. Assumptions'!$B$12)^('3. Assumptions'!$B$7-1)</f>
        <v>0.690273454655712</v>
      </c>
      <c r="F132" s="34" t="n">
        <f aca="false">1+(1-'3. Assumptions'!$B$11)*(1-(1-'3. Assumptions'!$B$12)^('3. Assumptions'!$B$7-1))/'3. Assumptions'!$B$12</f>
        <v>4.28912098262087</v>
      </c>
      <c r="G13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2" s="34" t="n">
        <f aca="false">IF(A132&lt;=0,0,MAX(0,ROUNDUP(LN('3. Assumptions'!$B$10)/LN(1+A132)-0.000000000001,0)-1))</f>
        <v>1</v>
      </c>
      <c r="I132" s="34" t="n">
        <f aca="false">IF(A132&lt;=0,1/(1-C132),(1+A132)*(1-(C132*(1+A132))^H132)/(1-C132*(1+A132))+'3. Assumptions'!$B$10*C132^H132/(1-C132))</f>
        <v>1.88530747366223</v>
      </c>
      <c r="J132" s="45" t="n">
        <f aca="false">F132+E132*D132/(1-C132)</f>
        <v>6.84540920795801</v>
      </c>
      <c r="K132" s="34" t="n">
        <f aca="false">F132-G132+E132*D132*I132</f>
        <v>6.90514240834553</v>
      </c>
      <c r="L132" s="45" t="n">
        <f aca="false">'3. Assumptions'!$B$17*'2. The tape'!$B$11/J132</f>
        <v>68.6065632795229</v>
      </c>
      <c r="M132" s="31" t="n">
        <f aca="false">L132*'2. The tape'!$B$15*'2. The tape'!$D$11*K132</f>
        <v>908640.897080787</v>
      </c>
      <c r="N132" s="31" t="n">
        <f aca="false">M132*(1+'3. Assumptions'!$B$19+'3. Assumptions'!$B$20+'3. Assumptions'!$B$22)</f>
        <v>1004956.83217135</v>
      </c>
      <c r="O132" s="31" t="n">
        <f aca="false">'6. Income and costs'!$B$39+'3. Assumptions'!$B$31*L132*12+M132*('3. Assumptions'!$B$20*(1-'3. Assumptions'!$B$21)+'3. Assumptions'!$B$33)+N132*('3. Assumptions'!$B$26+'3. Assumptions'!$B$32)</f>
        <v>629621.740179434</v>
      </c>
      <c r="P132" s="31" t="n">
        <f aca="false">N132-O132</f>
        <v>375335.091991917</v>
      </c>
    </row>
    <row r="133" customFormat="false" ht="15" hidden="false" customHeight="false" outlineLevel="0" collapsed="false">
      <c r="A133" s="53" t="n">
        <f aca="false">111*0.0025</f>
        <v>0.2775</v>
      </c>
      <c r="B133" s="53" t="n">
        <f aca="false">IF(A133&gt;0,MIN('3. Assumptions'!$B$16,'3. Assumptions'!$B$13*(A133/'3. Assumptions'!$B$15)^'3. Assumptions'!$B$14),0)</f>
        <v>0.559498825120355</v>
      </c>
      <c r="C133" s="34" t="n">
        <f aca="false">(1-'3. Assumptions'!$B$12-B133)*(1-'3. Assumptions'!$B$12)^('3. Assumptions'!$B$8-1)</f>
        <v>0.265121273936202</v>
      </c>
      <c r="D133" s="34" t="n">
        <f aca="false">1+(1-'3. Assumptions'!$B$12-B133)*(1-(1-'3. Assumptions'!$B$12)^('3. Assumptions'!$B$8-1))/'3. Assumptions'!$B$12</f>
        <v>2.63729174351041</v>
      </c>
      <c r="E133" s="34" t="n">
        <f aca="false">(1-'3. Assumptions'!$B$11)*(1-'3. Assumptions'!$B$12)^('3. Assumptions'!$B$7-1)</f>
        <v>0.690273454655712</v>
      </c>
      <c r="F133" s="34" t="n">
        <f aca="false">1+(1-'3. Assumptions'!$B$11)*(1-(1-'3. Assumptions'!$B$12)^('3. Assumptions'!$B$7-1))/'3. Assumptions'!$B$12</f>
        <v>4.28912098262087</v>
      </c>
      <c r="G13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3" s="34" t="n">
        <f aca="false">IF(A133&lt;=0,0,MAX(0,ROUNDUP(LN('3. Assumptions'!$B$10)/LN(1+A133)-0.000000000001,0)-1))</f>
        <v>1</v>
      </c>
      <c r="I133" s="34" t="n">
        <f aca="false">IF(A133&lt;=0,1/(1-C133),(1+A133)*(1-(C133*(1+A133))^H133)/(1-C133*(1+A133))+'3. Assumptions'!$B$10*C133^H133/(1-C133))</f>
        <v>1.86194536294736</v>
      </c>
      <c r="J133" s="45" t="n">
        <f aca="false">F133+E133*D133/(1-C133)</f>
        <v>6.76633581843295</v>
      </c>
      <c r="K133" s="34" t="n">
        <f aca="false">F133-G133+E133*D133*I133</f>
        <v>6.7941271182252</v>
      </c>
      <c r="L133" s="45" t="n">
        <f aca="false">'3. Assumptions'!$B$17*'2. The tape'!$B$11/J133</f>
        <v>69.4083197467971</v>
      </c>
      <c r="M133" s="31" t="n">
        <f aca="false">L133*'2. The tape'!$B$15*'2. The tape'!$D$11*K133</f>
        <v>904480.430927336</v>
      </c>
      <c r="N133" s="31" t="n">
        <f aca="false">M133*(1+'3. Assumptions'!$B$19+'3. Assumptions'!$B$20+'3. Assumptions'!$B$22)</f>
        <v>1000355.35660563</v>
      </c>
      <c r="O133" s="31" t="n">
        <f aca="false">'6. Income and costs'!$B$39+'3. Assumptions'!$B$31*L133*12+M133*('3. Assumptions'!$B$20*(1-'3. Assumptions'!$B$21)+'3. Assumptions'!$B$33)+N133*('3. Assumptions'!$B$26+'3. Assumptions'!$B$32)</f>
        <v>630388.488379111</v>
      </c>
      <c r="P133" s="31" t="n">
        <f aca="false">N133-O133</f>
        <v>369966.868226523</v>
      </c>
    </row>
    <row r="134" customFormat="false" ht="15" hidden="false" customHeight="false" outlineLevel="0" collapsed="false">
      <c r="A134" s="53" t="n">
        <f aca="false">112*0.0025</f>
        <v>0.28</v>
      </c>
      <c r="B134" s="53" t="n">
        <f aca="false">IF(A134&gt;0,MIN('3. Assumptions'!$B$16,'3. Assumptions'!$B$13*(A134/'3. Assumptions'!$B$15)^'3. Assumptions'!$B$14),0)</f>
        <v>0.571672477631968</v>
      </c>
      <c r="C134" s="34" t="n">
        <f aca="false">(1-'3. Assumptions'!$B$12-B134)*(1-'3. Assumptions'!$B$12)^('3. Assumptions'!$B$8-1)</f>
        <v>0.256491637242216</v>
      </c>
      <c r="D134" s="34" t="n">
        <f aca="false">1+(1-'3. Assumptions'!$B$12-B134)*(1-(1-'3. Assumptions'!$B$12)^('3. Assumptions'!$B$8-1))/'3. Assumptions'!$B$12</f>
        <v>2.58399827256867</v>
      </c>
      <c r="E134" s="34" t="n">
        <f aca="false">(1-'3. Assumptions'!$B$11)*(1-'3. Assumptions'!$B$12)^('3. Assumptions'!$B$7-1)</f>
        <v>0.690273454655712</v>
      </c>
      <c r="F134" s="34" t="n">
        <f aca="false">1+(1-'3. Assumptions'!$B$11)*(1-(1-'3. Assumptions'!$B$12)^('3. Assumptions'!$B$7-1))/'3. Assumptions'!$B$12</f>
        <v>4.28912098262087</v>
      </c>
      <c r="G13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4" s="34" t="n">
        <f aca="false">IF(A134&lt;=0,0,MAX(0,ROUNDUP(LN('3. Assumptions'!$B$10)/LN(1+A134)-0.000000000001,0)-1))</f>
        <v>1</v>
      </c>
      <c r="I134" s="34" t="n">
        <f aca="false">IF(A134&lt;=0,1/(1-C134),(1+A134)*(1-(C134*(1+A134))^H134)/(1-C134*(1+A134))+'3. Assumptions'!$B$10*C134^H134/(1-C134))</f>
        <v>1.83885915094644</v>
      </c>
      <c r="J134" s="45" t="n">
        <f aca="false">F134+E134*D134/(1-C134)</f>
        <v>6.6881059890766</v>
      </c>
      <c r="K134" s="34" t="n">
        <f aca="false">F134-G134+E134*D134*I134</f>
        <v>6.6844535290959</v>
      </c>
      <c r="L134" s="45" t="n">
        <f aca="false">'3. Assumptions'!$B$17*'2. The tape'!$B$11/J134</f>
        <v>70.2201790412777</v>
      </c>
      <c r="M134" s="31" t="n">
        <f aca="false">L134*'2. The tape'!$B$15*'2. The tape'!$D$11*K134</f>
        <v>900288.736190838</v>
      </c>
      <c r="N134" s="31" t="n">
        <f aca="false">M134*(1+'3. Assumptions'!$B$19+'3. Assumptions'!$B$20+'3. Assumptions'!$B$22)</f>
        <v>995719.342227067</v>
      </c>
      <c r="O134" s="31" t="n">
        <f aca="false">'6. Income and costs'!$B$39+'3. Assumptions'!$B$31*L134*12+M134*('3. Assumptions'!$B$20*(1-'3. Assumptions'!$B$21)+'3. Assumptions'!$B$33)+N134*('3. Assumptions'!$B$26+'3. Assumptions'!$B$32)</f>
        <v>631167.179630276</v>
      </c>
      <c r="P134" s="31" t="n">
        <f aca="false">N134-O134</f>
        <v>364552.162596791</v>
      </c>
    </row>
    <row r="135" customFormat="false" ht="15" hidden="false" customHeight="false" outlineLevel="0" collapsed="false">
      <c r="A135" s="53" t="n">
        <f aca="false">113*0.0025</f>
        <v>0.2825</v>
      </c>
      <c r="B135" s="53" t="n">
        <f aca="false">IF(A135&gt;0,MIN('3. Assumptions'!$B$16,'3. Assumptions'!$B$13*(A135/'3. Assumptions'!$B$15)^'3. Assumptions'!$B$14),0)</f>
        <v>0.583999256455943</v>
      </c>
      <c r="C135" s="34" t="n">
        <f aca="false">(1-'3. Assumptions'!$B$12-B135)*(1-'3. Assumptions'!$B$12)^('3. Assumptions'!$B$8-1)</f>
        <v>0.247753452645888</v>
      </c>
      <c r="D135" s="34" t="n">
        <f aca="false">1+(1-'3. Assumptions'!$B$12-B135)*(1-(1-'3. Assumptions'!$B$12)^('3. Assumptions'!$B$8-1))/'3. Assumptions'!$B$12</f>
        <v>2.53003444959654</v>
      </c>
      <c r="E135" s="34" t="n">
        <f aca="false">(1-'3. Assumptions'!$B$11)*(1-'3. Assumptions'!$B$12)^('3. Assumptions'!$B$7-1)</f>
        <v>0.690273454655712</v>
      </c>
      <c r="F135" s="34" t="n">
        <f aca="false">1+(1-'3. Assumptions'!$B$11)*(1-(1-'3. Assumptions'!$B$12)^('3. Assumptions'!$B$7-1))/'3. Assumptions'!$B$12</f>
        <v>4.28912098262087</v>
      </c>
      <c r="G13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5" s="34" t="n">
        <f aca="false">IF(A135&lt;=0,0,MAX(0,ROUNDUP(LN('3. Assumptions'!$B$10)/LN(1+A135)-0.000000000001,0)-1))</f>
        <v>1</v>
      </c>
      <c r="I135" s="34" t="n">
        <f aca="false">IF(A135&lt;=0,1/(1-C135),(1+A135)*(1-(C135*(1+A135))^H135)/(1-C135*(1+A135))+'3. Assumptions'!$B$10*C135^H135/(1-C135))</f>
        <v>1.81604926612565</v>
      </c>
      <c r="J135" s="45" t="n">
        <f aca="false">F135+E135*D135/(1-C135)</f>
        <v>6.61072102992406</v>
      </c>
      <c r="K135" s="34" t="n">
        <f aca="false">F135-G135+E135*D135*I135</f>
        <v>6.57612086445179</v>
      </c>
      <c r="L135" s="45" t="n">
        <f aca="false">'3. Assumptions'!$B$17*'2. The tape'!$B$11/J135</f>
        <v>71.0421749570326</v>
      </c>
      <c r="M135" s="31" t="n">
        <f aca="false">L135*'2. The tape'!$B$15*'2. The tape'!$D$11*K135</f>
        <v>896066.025477584</v>
      </c>
      <c r="N135" s="31" t="n">
        <f aca="false">M135*(1+'3. Assumptions'!$B$19+'3. Assumptions'!$B$20+'3. Assumptions'!$B$22)</f>
        <v>991049.024178208</v>
      </c>
      <c r="O135" s="31" t="n">
        <f aca="false">'6. Income and costs'!$B$39+'3. Assumptions'!$B$31*L135*12+M135*('3. Assumptions'!$B$20*(1-'3. Assumptions'!$B$21)+'3. Assumptions'!$B$33)+N135*('3. Assumptions'!$B$26+'3. Assumptions'!$B$32)</f>
        <v>631957.888007457</v>
      </c>
      <c r="P135" s="31" t="n">
        <f aca="false">N135-O135</f>
        <v>359091.136170751</v>
      </c>
    </row>
    <row r="136" customFormat="false" ht="15" hidden="false" customHeight="false" outlineLevel="0" collapsed="false">
      <c r="A136" s="53" t="n">
        <f aca="false">114*0.0025</f>
        <v>0.285</v>
      </c>
      <c r="B136" s="53" t="n">
        <f aca="false">IF(A136&gt;0,MIN('3. Assumptions'!$B$16,'3. Assumptions'!$B$13*(A136/'3. Assumptions'!$B$15)^'3. Assumptions'!$B$14),0)</f>
        <v>0.596479707018364</v>
      </c>
      <c r="C136" s="34" t="n">
        <f aca="false">(1-'3. Assumptions'!$B$12-B136)*(1-'3. Assumptions'!$B$12)^('3. Assumptions'!$B$8-1)</f>
        <v>0.238906333506565</v>
      </c>
      <c r="D136" s="34" t="n">
        <f aca="false">1+(1-'3. Assumptions'!$B$12-B136)*(1-(1-'3. Assumptions'!$B$12)^('3. Assumptions'!$B$8-1))/'3. Assumptions'!$B$12</f>
        <v>2.47539788684318</v>
      </c>
      <c r="E136" s="34" t="n">
        <f aca="false">(1-'3. Assumptions'!$B$11)*(1-'3. Assumptions'!$B$12)^('3. Assumptions'!$B$7-1)</f>
        <v>0.690273454655712</v>
      </c>
      <c r="F136" s="34" t="n">
        <f aca="false">1+(1-'3. Assumptions'!$B$11)*(1-(1-'3. Assumptions'!$B$12)^('3. Assumptions'!$B$7-1))/'3. Assumptions'!$B$12</f>
        <v>4.28912098262087</v>
      </c>
      <c r="G13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6" s="34" t="n">
        <f aca="false">IF(A136&lt;=0,0,MAX(0,ROUNDUP(LN('3. Assumptions'!$B$10)/LN(1+A136)-0.000000000001,0)-1))</f>
        <v>1</v>
      </c>
      <c r="I136" s="34" t="n">
        <f aca="false">IF(A136&lt;=0,1/(1-C136),(1+A136)*(1-(C136*(1+A136))^H136)/(1-C136*(1+A136))+'3. Assumptions'!$B$10*C136^H136/(1-C136))</f>
        <v>1.79351593873298</v>
      </c>
      <c r="J136" s="45" t="n">
        <f aca="false">F136+E136*D136/(1-C136)</f>
        <v>6.53418164495846</v>
      </c>
      <c r="K136" s="34" t="n">
        <f aca="false">F136-G136+E136*D136*I136</f>
        <v>6.46912734644627</v>
      </c>
      <c r="L136" s="45" t="n">
        <f aca="false">'3. Assumptions'!$B$17*'2. The tape'!$B$11/J136</f>
        <v>71.8743410450424</v>
      </c>
      <c r="M136" s="31" t="n">
        <f aca="false">L136*'2. The tape'!$B$15*'2. The tape'!$D$11*K136</f>
        <v>891812.493631631</v>
      </c>
      <c r="N136" s="31" t="n">
        <f aca="false">M136*(1+'3. Assumptions'!$B$19+'3. Assumptions'!$B$20+'3. Assumptions'!$B$22)</f>
        <v>986344.617956583</v>
      </c>
      <c r="O136" s="31" t="n">
        <f aca="false">'6. Income and costs'!$B$39+'3. Assumptions'!$B$31*L136*12+M136*('3. Assumptions'!$B$20*(1-'3. Assumptions'!$B$21)+'3. Assumptions'!$B$33)+N136*('3. Assumptions'!$B$26+'3. Assumptions'!$B$32)</f>
        <v>632760.685305248</v>
      </c>
      <c r="P136" s="31" t="n">
        <f aca="false">N136-O136</f>
        <v>353583.932651335</v>
      </c>
    </row>
    <row r="137" customFormat="false" ht="15" hidden="false" customHeight="false" outlineLevel="0" collapsed="false">
      <c r="A137" s="53" t="n">
        <f aca="false">115*0.0025</f>
        <v>0.2875</v>
      </c>
      <c r="B137" s="53" t="n">
        <f aca="false">IF(A137&gt;0,MIN('3. Assumptions'!$B$16,'3. Assumptions'!$B$13*(A137/'3. Assumptions'!$B$15)^'3. Assumptions'!$B$14),0)</f>
        <v>0.609114371856813</v>
      </c>
      <c r="C137" s="34" t="n">
        <f aca="false">(1-'3. Assumptions'!$B$12-B137)*(1-'3. Assumptions'!$B$12)^('3. Assumptions'!$B$8-1)</f>
        <v>0.229949895231192</v>
      </c>
      <c r="D137" s="34" t="n">
        <f aca="false">1+(1-'3. Assumptions'!$B$12-B137)*(1-(1-'3. Assumptions'!$B$12)^('3. Assumptions'!$B$8-1))/'3. Assumptions'!$B$12</f>
        <v>2.42008620920294</v>
      </c>
      <c r="E137" s="34" t="n">
        <f aca="false">(1-'3. Assumptions'!$B$11)*(1-'3. Assumptions'!$B$12)^('3. Assumptions'!$B$7-1)</f>
        <v>0.690273454655712</v>
      </c>
      <c r="F137" s="34" t="n">
        <f aca="false">1+(1-'3. Assumptions'!$B$11)*(1-(1-'3. Assumptions'!$B$12)^('3. Assumptions'!$B$7-1))/'3. Assumptions'!$B$12</f>
        <v>4.28912098262087</v>
      </c>
      <c r="G13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7" s="34" t="n">
        <f aca="false">IF(A137&lt;=0,0,MAX(0,ROUNDUP(LN('3. Assumptions'!$B$10)/LN(1+A137)-0.000000000001,0)-1))</f>
        <v>1</v>
      </c>
      <c r="I137" s="34" t="n">
        <f aca="false">IF(A137&lt;=0,1/(1-C137),(1+A137)*(1-(C137*(1+A137))^H137)/(1-C137*(1+A137))+'3. Assumptions'!$B$10*C137^H137/(1-C137))</f>
        <v>1.7712592099106</v>
      </c>
      <c r="J137" s="45" t="n">
        <f aca="false">F137+E137*D137/(1-C137)</f>
        <v>6.45848795997191</v>
      </c>
      <c r="K137" s="34" t="n">
        <f aca="false">F137-G137+E137*D137*I137</f>
        <v>6.36347024117907</v>
      </c>
      <c r="L137" s="45" t="n">
        <f aca="false">'3. Assumptions'!$B$17*'2. The tape'!$B$11/J137</f>
        <v>72.7167106156598</v>
      </c>
      <c r="M137" s="31" t="n">
        <f aca="false">L137*'2. The tape'!$B$15*'2. The tape'!$D$11*K137</f>
        <v>887528.316955855</v>
      </c>
      <c r="N137" s="31" t="n">
        <f aca="false">M137*(1+'3. Assumptions'!$B$19+'3. Assumptions'!$B$20+'3. Assumptions'!$B$22)</f>
        <v>981606.318553176</v>
      </c>
      <c r="O137" s="31" t="n">
        <f aca="false">'6. Income and costs'!$B$39+'3. Assumptions'!$B$31*L137*12+M137*('3. Assumptions'!$B$20*(1-'3. Assumptions'!$B$21)+'3. Assumptions'!$B$33)+N137*('3. Assumptions'!$B$26+'3. Assumptions'!$B$32)</f>
        <v>633575.640958201</v>
      </c>
      <c r="P137" s="31" t="n">
        <f aca="false">N137-O137</f>
        <v>348030.677594975</v>
      </c>
    </row>
    <row r="138" customFormat="false" ht="15" hidden="false" customHeight="false" outlineLevel="0" collapsed="false">
      <c r="A138" s="53" t="n">
        <f aca="false">116*0.0025</f>
        <v>0.29</v>
      </c>
      <c r="B138" s="53" t="n">
        <f aca="false">IF(A138&gt;0,MIN('3. Assumptions'!$B$16,'3. Assumptions'!$B$13*(A138/'3. Assumptions'!$B$15)^'3. Assumptions'!$B$14),0)</f>
        <v>0.621903790660806</v>
      </c>
      <c r="C138" s="34" t="n">
        <f aca="false">(1-'3. Assumptions'!$B$12-B138)*(1-'3. Assumptions'!$B$12)^('3. Assumptions'!$B$8-1)</f>
        <v>0.220883755245644</v>
      </c>
      <c r="D138" s="34" t="n">
        <f aca="false">1+(1-'3. Assumptions'!$B$12-B138)*(1-(1-'3. Assumptions'!$B$12)^('3. Assumptions'!$B$8-1))/'3. Assumptions'!$B$12</f>
        <v>2.36409705403835</v>
      </c>
      <c r="E138" s="34" t="n">
        <f aca="false">(1-'3. Assumptions'!$B$11)*(1-'3. Assumptions'!$B$12)^('3. Assumptions'!$B$7-1)</f>
        <v>0.690273454655712</v>
      </c>
      <c r="F138" s="34" t="n">
        <f aca="false">1+(1-'3. Assumptions'!$B$11)*(1-(1-'3. Assumptions'!$B$12)^('3. Assumptions'!$B$7-1))/'3. Assumptions'!$B$12</f>
        <v>4.28912098262087</v>
      </c>
      <c r="G13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8" s="34" t="n">
        <f aca="false">IF(A138&lt;=0,0,MAX(0,ROUNDUP(LN('3. Assumptions'!$B$10)/LN(1+A138)-0.000000000001,0)-1))</f>
        <v>1</v>
      </c>
      <c r="I138" s="34" t="n">
        <f aca="false">IF(A138&lt;=0,1/(1-C138),(1+A138)*(1-(C138*(1+A138))^H138)/(1-C138*(1+A138))+'3. Assumptions'!$B$10*C138^H138/(1-C138))</f>
        <v>1.74927894060374</v>
      </c>
      <c r="J138" s="45" t="n">
        <f aca="false">F138+E138*D138/(1-C138)</f>
        <v>6.38363954980458</v>
      </c>
      <c r="K138" s="34" t="n">
        <f aca="false">F138-G138+E138*D138*I138</f>
        <v>6.25914590297285</v>
      </c>
      <c r="L138" s="45" t="n">
        <f aca="false">'3. Assumptions'!$B$17*'2. The tape'!$B$11/J138</f>
        <v>73.5693167410082</v>
      </c>
      <c r="M138" s="31" t="n">
        <f aca="false">L138*'2. The tape'!$B$15*'2. The tape'!$D$11*K138</f>
        <v>883213.652425811</v>
      </c>
      <c r="N138" s="31" t="n">
        <f aca="false">M138*(1+'3. Assumptions'!$B$19+'3. Assumptions'!$B$20+'3. Assumptions'!$B$22)</f>
        <v>976834.299582947</v>
      </c>
      <c r="O138" s="31" t="n">
        <f aca="false">'6. Income and costs'!$B$39+'3. Assumptions'!$B$31*L138*12+M138*('3. Assumptions'!$B$20*(1-'3. Assumptions'!$B$21)+'3. Assumptions'!$B$33)+N138*('3. Assumptions'!$B$26+'3. Assumptions'!$B$32)</f>
        <v>634402.821959848</v>
      </c>
      <c r="P138" s="31" t="n">
        <f aca="false">N138-O138</f>
        <v>342431.477623099</v>
      </c>
    </row>
    <row r="139" customFormat="false" ht="15" hidden="false" customHeight="false" outlineLevel="0" collapsed="false">
      <c r="A139" s="53" t="n">
        <f aca="false">117*0.0025</f>
        <v>0.2925</v>
      </c>
      <c r="B139" s="53" t="n">
        <f aca="false">IF(A139&gt;0,MIN('3. Assumptions'!$B$16,'3. Assumptions'!$B$13*(A139/'3. Assumptions'!$B$15)^'3. Assumptions'!$B$14),0)</f>
        <v>0.634848500311319</v>
      </c>
      <c r="C139" s="34" t="n">
        <f aca="false">(1-'3. Assumptions'!$B$12-B139)*(1-'3. Assumptions'!$B$12)^('3. Assumptions'!$B$8-1)</f>
        <v>0.211707532966709</v>
      </c>
      <c r="D139" s="34" t="n">
        <f aca="false">1+(1-'3. Assumptions'!$B$12-B139)*(1-(1-'3. Assumptions'!$B$12)^('3. Assumptions'!$B$8-1))/'3. Assumptions'!$B$12</f>
        <v>2.30742807100709</v>
      </c>
      <c r="E139" s="34" t="n">
        <f aca="false">(1-'3. Assumptions'!$B$11)*(1-'3. Assumptions'!$B$12)^('3. Assumptions'!$B$7-1)</f>
        <v>0.690273454655712</v>
      </c>
      <c r="F139" s="34" t="n">
        <f aca="false">1+(1-'3. Assumptions'!$B$11)*(1-(1-'3. Assumptions'!$B$12)^('3. Assumptions'!$B$7-1))/'3. Assumptions'!$B$12</f>
        <v>4.28912098262087</v>
      </c>
      <c r="G13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39" s="34" t="n">
        <f aca="false">IF(A139&lt;=0,0,MAX(0,ROUNDUP(LN('3. Assumptions'!$B$10)/LN(1+A139)-0.000000000001,0)-1))</f>
        <v>1</v>
      </c>
      <c r="I139" s="34" t="n">
        <f aca="false">IF(A139&lt;=0,1/(1-C139),(1+A139)*(1-(C139*(1+A139))^H139)/(1-C139*(1+A139))+'3. Assumptions'!$B$10*C139^H139/(1-C139))</f>
        <v>1.72757482025905</v>
      </c>
      <c r="J139" s="45" t="n">
        <f aca="false">F139+E139*D139/(1-C139)</f>
        <v>6.30963546493974</v>
      </c>
      <c r="K139" s="34" t="n">
        <f aca="false">F139-G139+E139*D139*I139</f>
        <v>6.15614981760398</v>
      </c>
      <c r="L139" s="45" t="n">
        <f aca="false">'3. Assumptions'!$B$17*'2. The tape'!$B$11/J139</f>
        <v>74.4321922573201</v>
      </c>
      <c r="M139" s="31" t="n">
        <f aca="false">L139*'2. The tape'!$B$15*'2. The tape'!$D$11*K139</f>
        <v>878868.636896402</v>
      </c>
      <c r="N139" s="31" t="n">
        <f aca="false">M139*(1+'3. Assumptions'!$B$19+'3. Assumptions'!$B$20+'3. Assumptions'!$B$22)</f>
        <v>972028.712407421</v>
      </c>
      <c r="O139" s="31" t="n">
        <f aca="false">'6. Income and costs'!$B$39+'3. Assumptions'!$B$31*L139*12+M139*('3. Assumptions'!$B$20*(1-'3. Assumptions'!$B$21)+'3. Assumptions'!$B$33)+N139*('3. Assumptions'!$B$26+'3. Assumptions'!$B$32)</f>
        <v>635242.292780862</v>
      </c>
      <c r="P139" s="31" t="n">
        <f aca="false">N139-O139</f>
        <v>336786.419626559</v>
      </c>
    </row>
    <row r="140" customFormat="false" ht="15" hidden="false" customHeight="false" outlineLevel="0" collapsed="false">
      <c r="A140" s="53" t="n">
        <f aca="false">118*0.0025</f>
        <v>0.295</v>
      </c>
      <c r="B140" s="53" t="n">
        <f aca="false">IF(A140&gt;0,MIN('3. Assumptions'!$B$16,'3. Assumptions'!$B$13*(A140/'3. Assumptions'!$B$15)^'3. Assumptions'!$B$14),0)</f>
        <v>0.647949034919426</v>
      </c>
      <c r="C140" s="34" t="n">
        <f aca="false">(1-'3. Assumptions'!$B$12-B140)*(1-'3. Assumptions'!$B$12)^('3. Assumptions'!$B$8-1)</f>
        <v>0.2024208497747</v>
      </c>
      <c r="D140" s="34" t="n">
        <f aca="false">1+(1-'3. Assumptions'!$B$12-B140)*(1-(1-'3. Assumptions'!$B$12)^('3. Assumptions'!$B$8-1))/'3. Assumptions'!$B$12</f>
        <v>2.25007692189285</v>
      </c>
      <c r="E140" s="34" t="n">
        <f aca="false">(1-'3. Assumptions'!$B$11)*(1-'3. Assumptions'!$B$12)^('3. Assumptions'!$B$7-1)</f>
        <v>0.690273454655712</v>
      </c>
      <c r="F140" s="34" t="n">
        <f aca="false">1+(1-'3. Assumptions'!$B$11)*(1-(1-'3. Assumptions'!$B$12)^('3. Assumptions'!$B$7-1))/'3. Assumptions'!$B$12</f>
        <v>4.28912098262087</v>
      </c>
      <c r="G14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0" s="34" t="n">
        <f aca="false">IF(A140&lt;=0,0,MAX(0,ROUNDUP(LN('3. Assumptions'!$B$10)/LN(1+A140)-0.000000000001,0)-1))</f>
        <v>1</v>
      </c>
      <c r="I140" s="34" t="n">
        <f aca="false">IF(A140&lt;=0,1/(1-C140),(1+A140)*(1-(C140*(1+A140))^H140)/(1-C140*(1+A140))+'3. Assumptions'!$B$10*C140^H140/(1-C140))</f>
        <v>1.7061463753063</v>
      </c>
      <c r="J140" s="45" t="n">
        <f aca="false">F140+E140*D140/(1-C140)</f>
        <v>6.2364742574367</v>
      </c>
      <c r="K140" s="34" t="n">
        <f aca="false">F140-G140+E140*D140*I140</f>
        <v>6.05447664445787</v>
      </c>
      <c r="L140" s="45" t="n">
        <f aca="false">'3. Assumptions'!$B$17*'2. The tape'!$B$11/J140</f>
        <v>75.3053697672168</v>
      </c>
      <c r="M140" s="31" t="n">
        <f aca="false">L140*'2. The tape'!$B$15*'2. The tape'!$D$11*K140</f>
        <v>874493.386301388</v>
      </c>
      <c r="N140" s="31" t="n">
        <f aca="false">M140*(1+'3. Assumptions'!$B$19+'3. Assumptions'!$B$20+'3. Assumptions'!$B$22)</f>
        <v>967189.685249335</v>
      </c>
      <c r="O140" s="31" t="n">
        <f aca="false">'6. Income and costs'!$B$39+'3. Assumptions'!$B$31*L140*12+M140*('3. Assumptions'!$B$20*(1-'3. Assumptions'!$B$21)+'3. Assumptions'!$B$33)+N140*('3. Assumptions'!$B$26+'3. Assumptions'!$B$32)</f>
        <v>636094.115286354</v>
      </c>
      <c r="P140" s="31" t="n">
        <f aca="false">N140-O140</f>
        <v>331095.569962981</v>
      </c>
    </row>
    <row r="141" customFormat="false" ht="15" hidden="false" customHeight="false" outlineLevel="0" collapsed="false">
      <c r="A141" s="53" t="n">
        <f aca="false">119*0.0025</f>
        <v>0.2975</v>
      </c>
      <c r="B141" s="53" t="n">
        <f aca="false">IF(A141&gt;0,MIN('3. Assumptions'!$B$16,'3. Assumptions'!$B$13*(A141/'3. Assumptions'!$B$15)^'3. Assumptions'!$B$14),0)</f>
        <v>0.661205925864087</v>
      </c>
      <c r="C141" s="34" t="n">
        <f aca="false">(1-'3. Assumptions'!$B$12-B141)*(1-'3. Assumptions'!$B$12)^('3. Assumptions'!$B$8-1)</f>
        <v>0.193023328986663</v>
      </c>
      <c r="D141" s="34" t="n">
        <f aca="false">1+(1-'3. Assumptions'!$B$12-B141)*(1-(1-'3. Assumptions'!$B$12)^('3. Assumptions'!$B$8-1))/'3. Assumptions'!$B$12</f>
        <v>2.19204128043986</v>
      </c>
      <c r="E141" s="34" t="n">
        <f aca="false">(1-'3. Assumptions'!$B$11)*(1-'3. Assumptions'!$B$12)^('3. Assumptions'!$B$7-1)</f>
        <v>0.690273454655712</v>
      </c>
      <c r="F141" s="34" t="n">
        <f aca="false">1+(1-'3. Assumptions'!$B$11)*(1-(1-'3. Assumptions'!$B$12)^('3. Assumptions'!$B$7-1))/'3. Assumptions'!$B$12</f>
        <v>4.28912098262087</v>
      </c>
      <c r="G14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1" s="34" t="n">
        <f aca="false">IF(A141&lt;=0,0,MAX(0,ROUNDUP(LN('3. Assumptions'!$B$10)/LN(1+A141)-0.000000000001,0)-1))</f>
        <v>1</v>
      </c>
      <c r="I141" s="34" t="n">
        <f aca="false">IF(A141&lt;=0,1/(1-C141),(1+A141)*(1-(C141*(1+A141))^H141)/(1-C141*(1+A141))+'3. Assumptions'!$B$10*C141^H141/(1-C141))</f>
        <v>1.68499297741871</v>
      </c>
      <c r="J141" s="45" t="n">
        <f aca="false">F141+E141*D141/(1-C141)</f>
        <v>6.16415400618661</v>
      </c>
      <c r="K141" s="34" t="n">
        <f aca="false">F141-G141+E141*D141*I141</f>
        <v>5.95412025758487</v>
      </c>
      <c r="L141" s="45" t="n">
        <f aca="false">'3. Assumptions'!$B$17*'2. The tape'!$B$11/J141</f>
        <v>76.1888816419332</v>
      </c>
      <c r="M141" s="31" t="n">
        <f aca="false">L141*'2. The tape'!$B$15*'2. The tape'!$D$11*K141</f>
        <v>870087.994845724</v>
      </c>
      <c r="N141" s="31" t="n">
        <f aca="false">M141*(1+'3. Assumptions'!$B$19+'3. Assumptions'!$B$20+'3. Assumptions'!$B$22)</f>
        <v>962317.322299371</v>
      </c>
      <c r="O141" s="31" t="n">
        <f aca="false">'6. Income and costs'!$B$39+'3. Assumptions'!$B$31*L141*12+M141*('3. Assumptions'!$B$20*(1-'3. Assumptions'!$B$21)+'3. Assumptions'!$B$33)+N141*('3. Assumptions'!$B$26+'3. Assumptions'!$B$32)</f>
        <v>636958.348652315</v>
      </c>
      <c r="P141" s="31" t="n">
        <f aca="false">N141-O141</f>
        <v>325358.973647055</v>
      </c>
    </row>
    <row r="142" customFormat="false" ht="15" hidden="false" customHeight="false" outlineLevel="0" collapsed="false">
      <c r="A142" s="53" t="n">
        <f aca="false">120*0.0025</f>
        <v>0.3</v>
      </c>
      <c r="B142" s="53" t="n">
        <f aca="false">IF(A142&gt;0,MIN('3. Assumptions'!$B$16,'3. Assumptions'!$B$13*(A142/'3. Assumptions'!$B$15)^'3. Assumptions'!$B$14),0)</f>
        <v>0.674619701829096</v>
      </c>
      <c r="C142" s="34" t="n">
        <f aca="false">(1-'3. Assumptions'!$B$12-B142)*(1-'3. Assumptions'!$B$12)^('3. Assumptions'!$B$8-1)</f>
        <v>0.183514595830189</v>
      </c>
      <c r="D142" s="34" t="n">
        <f aca="false">1+(1-'3. Assumptions'!$B$12-B142)*(1-(1-'3. Assumptions'!$B$12)^('3. Assumptions'!$B$8-1))/'3. Assumptions'!$B$12</f>
        <v>2.1333188321912</v>
      </c>
      <c r="E142" s="34" t="n">
        <f aca="false">(1-'3. Assumptions'!$B$11)*(1-'3. Assumptions'!$B$12)^('3. Assumptions'!$B$7-1)</f>
        <v>0.690273454655712</v>
      </c>
      <c r="F142" s="34" t="n">
        <f aca="false">1+(1-'3. Assumptions'!$B$11)*(1-(1-'3. Assumptions'!$B$12)^('3. Assumptions'!$B$7-1))/'3. Assumptions'!$B$12</f>
        <v>4.28912098262087</v>
      </c>
      <c r="G14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2" s="34" t="n">
        <f aca="false">IF(A142&lt;=0,0,MAX(0,ROUNDUP(LN('3. Assumptions'!$B$10)/LN(1+A142)-0.000000000001,0)-1))</f>
        <v>1</v>
      </c>
      <c r="I142" s="34" t="n">
        <f aca="false">IF(A142&lt;=0,1/(1-C142),(1+A142)*(1-(C142*(1+A142))^H142)/(1-C142*(1+A142))+'3. Assumptions'!$B$10*C142^H142/(1-C142))</f>
        <v>1.66411385154789</v>
      </c>
      <c r="J142" s="45" t="n">
        <f aca="false">F142+E142*D142/(1-C142)</f>
        <v>6.09267234147951</v>
      </c>
      <c r="K142" s="34" t="n">
        <f aca="false">F142-G142+E142*D142*I142</f>
        <v>5.85507378563776</v>
      </c>
      <c r="L142" s="45" t="n">
        <f aca="false">'3. Assumptions'!$B$17*'2. The tape'!$B$11/J142</f>
        <v>77.0827600234867</v>
      </c>
      <c r="M142" s="31" t="n">
        <f aca="false">L142*'2. The tape'!$B$15*'2. The tape'!$D$11*K142</f>
        <v>865652.534190774</v>
      </c>
      <c r="N142" s="31" t="n">
        <f aca="false">M142*(1+'3. Assumptions'!$B$19+'3. Assumptions'!$B$20+'3. Assumptions'!$B$22)</f>
        <v>957411.702814995</v>
      </c>
      <c r="O142" s="31" t="n">
        <f aca="false">'6. Income and costs'!$B$39+'3. Assumptions'!$B$31*L142*12+M142*('3. Assumptions'!$B$20*(1-'3. Assumptions'!$B$21)+'3. Assumptions'!$B$33)+N142*('3. Assumptions'!$B$26+'3. Assumptions'!$B$32)</f>
        <v>637835.049281215</v>
      </c>
      <c r="P142" s="31" t="n">
        <f aca="false">N142-O142</f>
        <v>319576.653533781</v>
      </c>
    </row>
    <row r="143" customFormat="false" ht="15" hidden="false" customHeight="false" outlineLevel="0" collapsed="false">
      <c r="A143" s="53" t="n">
        <f aca="false">'3. Assumptions'!$B$10^(1/1)-1</f>
        <v>0.62</v>
      </c>
      <c r="B143" s="53" t="n">
        <f aca="false">IF(A143&gt;0,MIN('3. Assumptions'!$B$16,'3. Assumptions'!$B$13*(A143/'3. Assumptions'!$B$15)^'3. Assumptions'!$B$14),0)</f>
        <v>0.75</v>
      </c>
      <c r="C143" s="34" t="n">
        <f aca="false">(1-'3. Assumptions'!$B$12-B143)*(1-'3. Assumptions'!$B$12)^('3. Assumptions'!$B$8-1)</f>
        <v>0.130079146898265</v>
      </c>
      <c r="D143" s="34" t="n">
        <f aca="false">1+(1-'3. Assumptions'!$B$12-B143)*(1-(1-'3. Assumptions'!$B$12)^('3. Assumptions'!$B$8-1))/'3. Assumptions'!$B$12</f>
        <v>1.80332109927421</v>
      </c>
      <c r="E143" s="34" t="n">
        <f aca="false">(1-'3. Assumptions'!$B$11)*(1-'3. Assumptions'!$B$12)^('3. Assumptions'!$B$7-1)</f>
        <v>0.690273454655712</v>
      </c>
      <c r="F143" s="34" t="n">
        <f aca="false">1+(1-'3. Assumptions'!$B$11)*(1-(1-'3. Assumptions'!$B$12)^('3. Assumptions'!$B$7-1))/'3. Assumptions'!$B$12</f>
        <v>4.28912098262087</v>
      </c>
      <c r="G14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3" s="34" t="n">
        <f aca="false">IF(A143&lt;=0,0,MAX(0,ROUNDUP(LN('3. Assumptions'!$B$10)/LN(1+A143)-0.000000000001,0)-1))</f>
        <v>0</v>
      </c>
      <c r="I143" s="34" t="n">
        <f aca="false">IF(A143&lt;=0,1/(1-C143),(1+A143)*(1-(C143*(1+A143))^H143)/(1-C143*(1+A143))+'3. Assumptions'!$B$10*C143^H143/(1-C143))</f>
        <v>1.86223837976045</v>
      </c>
      <c r="J143" s="45" t="n">
        <f aca="false">F143+E143*D143/(1-C143)</f>
        <v>5.72003815239697</v>
      </c>
      <c r="K143" s="34" t="n">
        <f aca="false">F143-G143+E143*D143*I143</f>
        <v>5.72262987458123</v>
      </c>
      <c r="L143" s="45" t="n">
        <f aca="false">'3. Assumptions'!$B$17*'2. The tape'!$B$11/J143</f>
        <v>82.104347468941</v>
      </c>
      <c r="M143" s="31" t="n">
        <f aca="false">L143*'2. The tape'!$B$15*'2. The tape'!$D$11*K143</f>
        <v>901188.803450794</v>
      </c>
      <c r="N143" s="31" t="n">
        <f aca="false">M143*(1+'3. Assumptions'!$B$19+'3. Assumptions'!$B$20+'3. Assumptions'!$B$22)</f>
        <v>996714.816616578</v>
      </c>
      <c r="O143" s="31" t="n">
        <f aca="false">'6. Income and costs'!$B$39+'3. Assumptions'!$B$31*L143*12+M143*('3. Assumptions'!$B$20*(1-'3. Assumptions'!$B$21)+'3. Assumptions'!$B$33)+N143*('3. Assumptions'!$B$26+'3. Assumptions'!$B$32)</f>
        <v>649266.574800132</v>
      </c>
      <c r="P143" s="31" t="n">
        <f aca="false">N143-O143</f>
        <v>347448.241816447</v>
      </c>
    </row>
    <row r="144" customFormat="false" ht="15" hidden="false" customHeight="false" outlineLevel="0" collapsed="false">
      <c r="A144" s="53" t="n">
        <f aca="false">'3. Assumptions'!$B$10^(1/2)-1</f>
        <v>0.272792206135786</v>
      </c>
      <c r="B144" s="53" t="n">
        <f aca="false">IF(A144&gt;0,MIN('3. Assumptions'!$B$16,'3. Assumptions'!$B$13*(A144/'3. Assumptions'!$B$15)^'3. Assumptions'!$B$14),0)</f>
        <v>0.536988157855138</v>
      </c>
      <c r="C144" s="34" t="n">
        <f aca="false">(1-'3. Assumptions'!$B$12-B144)*(1-'3. Assumptions'!$B$12)^('3. Assumptions'!$B$8-1)</f>
        <v>0.281078594884269</v>
      </c>
      <c r="D144" s="34" t="n">
        <f aca="false">1+(1-'3. Assumptions'!$B$12-B144)*(1-(1-'3. Assumptions'!$B$12)^('3. Assumptions'!$B$8-1))/'3. Assumptions'!$B$12</f>
        <v>2.73583830467058</v>
      </c>
      <c r="E144" s="34" t="n">
        <f aca="false">(1-'3. Assumptions'!$B$11)*(1-'3. Assumptions'!$B$12)^('3. Assumptions'!$B$7-1)</f>
        <v>0.690273454655712</v>
      </c>
      <c r="F144" s="34" t="n">
        <f aca="false">1+(1-'3. Assumptions'!$B$11)*(1-(1-'3. Assumptions'!$B$12)^('3. Assumptions'!$B$7-1))/'3. Assumptions'!$B$12</f>
        <v>4.28912098262087</v>
      </c>
      <c r="G14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4" s="34" t="n">
        <f aca="false">IF(A144&lt;=0,0,MAX(0,ROUNDUP(LN('3. Assumptions'!$B$10)/LN(1+A144)-0.000000000001,0)-1))</f>
        <v>1</v>
      </c>
      <c r="I144" s="34" t="n">
        <f aca="false">IF(A144&lt;=0,1/(1-C144),(1+A144)*(1-(C144*(1+A144))^H144)/(1-C144*(1+A144))+'3. Assumptions'!$B$10*C144^H144/(1-C144))</f>
        <v>1.90616787206023</v>
      </c>
      <c r="J144" s="45" t="n">
        <f aca="false">F144+E144*D144/(1-C144)</f>
        <v>6.91594019332497</v>
      </c>
      <c r="K144" s="34" t="n">
        <f aca="false">F144-G144+E144*D144*I144</f>
        <v>7.00429740143643</v>
      </c>
      <c r="L144" s="45" t="n">
        <f aca="false">'3. Assumptions'!$B$17*'2. The tape'!$B$11/J144</f>
        <v>67.9068914524854</v>
      </c>
      <c r="M144" s="31" t="n">
        <f aca="false">L144*'2. The tape'!$B$15*'2. The tape'!$D$11*K144</f>
        <v>912288.927861022</v>
      </c>
      <c r="N144" s="31" t="n">
        <f aca="false">M144*(1+'3. Assumptions'!$B$19+'3. Assumptions'!$B$20+'3. Assumptions'!$B$22)</f>
        <v>1008991.55421429</v>
      </c>
      <c r="O144" s="31" t="n">
        <f aca="false">'6. Income and costs'!$B$39+'3. Assumptions'!$B$31*L144*12+M144*('3. Assumptions'!$B$20*(1-'3. Assumptions'!$B$21)+'3. Assumptions'!$B$33)+N144*('3. Assumptions'!$B$26+'3. Assumptions'!$B$32)</f>
        <v>628954.48122056</v>
      </c>
      <c r="P144" s="31" t="n">
        <f aca="false">N144-O144</f>
        <v>380037.07299373</v>
      </c>
    </row>
    <row r="145" customFormat="false" ht="15" hidden="false" customHeight="false" outlineLevel="0" collapsed="false">
      <c r="A145" s="53" t="n">
        <f aca="false">'3. Assumptions'!$B$10^(1/3)-1</f>
        <v>0.174460292350659</v>
      </c>
      <c r="B145" s="53" t="n">
        <f aca="false">IF(A145&gt;0,MIN('3. Assumptions'!$B$16,'3. Assumptions'!$B$13*(A145/'3. Assumptions'!$B$15)^'3. Assumptions'!$B$14),0)</f>
        <v>0.183670682241071</v>
      </c>
      <c r="C145" s="34" t="n">
        <f aca="false">(1-'3. Assumptions'!$B$12-B145)*(1-'3. Assumptions'!$B$12)^('3. Assumptions'!$B$8-1)</f>
        <v>0.531537645631552</v>
      </c>
      <c r="D145" s="34" t="n">
        <f aca="false">1+(1-'3. Assumptions'!$B$12-B145)*(1-(1-'3. Assumptions'!$B$12)^('3. Assumptions'!$B$8-1))/'3. Assumptions'!$B$12</f>
        <v>4.28258153575003</v>
      </c>
      <c r="E145" s="34" t="n">
        <f aca="false">(1-'3. Assumptions'!$B$11)*(1-'3. Assumptions'!$B$12)^('3. Assumptions'!$B$7-1)</f>
        <v>0.690273454655712</v>
      </c>
      <c r="F145" s="34" t="n">
        <f aca="false">1+(1-'3. Assumptions'!$B$11)*(1-(1-'3. Assumptions'!$B$12)^('3. Assumptions'!$B$7-1))/'3. Assumptions'!$B$12</f>
        <v>4.28912098262087</v>
      </c>
      <c r="G14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5" s="34" t="n">
        <f aca="false">IF(A145&lt;=0,0,MAX(0,ROUNDUP(LN('3. Assumptions'!$B$10)/LN(1+A145)-0.000000000001,0)-1))</f>
        <v>2</v>
      </c>
      <c r="I145" s="34" t="n">
        <f aca="false">IF(A145&lt;=0,1/(1-C145),(1+A145)*(1-(C145*(1+A145))^H145)/(1-C145*(1+A145))+'3. Assumptions'!$B$10*C145^H145/(1-C145))</f>
        <v>2.88467152306225</v>
      </c>
      <c r="J145" s="45" t="n">
        <f aca="false">F145+E145*D145/(1-C145)</f>
        <v>10.5994516291725</v>
      </c>
      <c r="K145" s="34" t="n">
        <f aca="false">F145-G145+E145*D145*I145</f>
        <v>11.9320725658272</v>
      </c>
      <c r="L145" s="45" t="n">
        <f aca="false">'3. Assumptions'!$B$17*'2. The tape'!$B$11/J145</f>
        <v>44.3079525649635</v>
      </c>
      <c r="M145" s="31" t="n">
        <f aca="false">L145*'2. The tape'!$B$15*'2. The tape'!$D$11*K145</f>
        <v>1014031.72775091</v>
      </c>
      <c r="N145" s="31" t="n">
        <f aca="false">M145*(1+'3. Assumptions'!$B$19+'3. Assumptions'!$B$20+'3. Assumptions'!$B$22)</f>
        <v>1121519.09089251</v>
      </c>
      <c r="O145" s="31" t="n">
        <f aca="false">'6. Income and costs'!$B$39+'3. Assumptions'!$B$31*L145*12+M145*('3. Assumptions'!$B$20*(1-'3. Assumptions'!$B$21)+'3. Assumptions'!$B$33)+N145*('3. Assumptions'!$B$26+'3. Assumptions'!$B$32)</f>
        <v>604156.315816256</v>
      </c>
      <c r="P145" s="31" t="n">
        <f aca="false">N145-O145</f>
        <v>517362.775076255</v>
      </c>
    </row>
    <row r="146" customFormat="false" ht="15" hidden="false" customHeight="false" outlineLevel="0" collapsed="false">
      <c r="A146" s="53" t="n">
        <f aca="false">'3. Assumptions'!$B$10^(1/4)-1</f>
        <v>0.128180927925918</v>
      </c>
      <c r="B146" s="53" t="n">
        <f aca="false">IF(A146&gt;0,MIN('3. Assumptions'!$B$16,'3. Assumptions'!$B$13*(A146/'3. Assumptions'!$B$15)^'3. Assumptions'!$B$14),0)</f>
        <v>0.087648441032305</v>
      </c>
      <c r="C146" s="34" t="n">
        <f aca="false">(1-'3. Assumptions'!$B$12-B146)*(1-'3. Assumptions'!$B$12)^('3. Assumptions'!$B$8-1)</f>
        <v>0.59960571767349</v>
      </c>
      <c r="D146" s="34" t="n">
        <f aca="false">1+(1-'3. Assumptions'!$B$12-B146)*(1-(1-'3. Assumptions'!$B$12)^('3. Assumptions'!$B$8-1))/'3. Assumptions'!$B$12</f>
        <v>4.70294498186774</v>
      </c>
      <c r="E146" s="34" t="n">
        <f aca="false">(1-'3. Assumptions'!$B$11)*(1-'3. Assumptions'!$B$12)^('3. Assumptions'!$B$7-1)</f>
        <v>0.690273454655712</v>
      </c>
      <c r="F146" s="34" t="n">
        <f aca="false">1+(1-'3. Assumptions'!$B$11)*(1-(1-'3. Assumptions'!$B$12)^('3. Assumptions'!$B$7-1))/'3. Assumptions'!$B$12</f>
        <v>4.28912098262087</v>
      </c>
      <c r="G146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6" s="34" t="n">
        <f aca="false">IF(A146&lt;=0,0,MAX(0,ROUNDUP(LN('3. Assumptions'!$B$10)/LN(1+A146)-0.000000000001,0)-1))</f>
        <v>3</v>
      </c>
      <c r="I146" s="34" t="n">
        <f aca="false">IF(A146&lt;=0,1/(1-C146),(1+A146)*(1-(C146*(1+A146))^H146)/(1-C146*(1+A146))+'3. Assumptions'!$B$10*C146^H146/(1-C146))</f>
        <v>3.27983039066424</v>
      </c>
      <c r="J146" s="45" t="n">
        <f aca="false">F146+E146*D146/(1-C146)</f>
        <v>12.3969242729843</v>
      </c>
      <c r="K146" s="34" t="n">
        <f aca="false">F146-G146+E146*D146*I146</f>
        <v>14.0519167550727</v>
      </c>
      <c r="L146" s="45" t="n">
        <f aca="false">'3. Assumptions'!$B$17*'2. The tape'!$B$11/J146</f>
        <v>37.8835902888792</v>
      </c>
      <c r="M146" s="31" t="n">
        <f aca="false">L146*'2. The tape'!$B$15*'2. The tape'!$D$11*K146</f>
        <v>1021035.10728794</v>
      </c>
      <c r="N146" s="31" t="n">
        <f aca="false">M146*(1+'3. Assumptions'!$B$19+'3. Assumptions'!$B$20+'3. Assumptions'!$B$22)</f>
        <v>1129264.82866047</v>
      </c>
      <c r="O146" s="31" t="n">
        <f aca="false">'6. Income and costs'!$B$39+'3. Assumptions'!$B$31*L146*12+M146*('3. Assumptions'!$B$20*(1-'3. Assumptions'!$B$21)+'3. Assumptions'!$B$33)+N146*('3. Assumptions'!$B$26+'3. Assumptions'!$B$32)</f>
        <v>595178.236285615</v>
      </c>
      <c r="P146" s="31" t="n">
        <f aca="false">N146-O146</f>
        <v>534086.592374851</v>
      </c>
    </row>
    <row r="147" customFormat="false" ht="15" hidden="false" customHeight="false" outlineLevel="0" collapsed="false">
      <c r="A147" s="53" t="n">
        <f aca="false">'3. Assumptions'!$B$10^(1/5)-1</f>
        <v>0.101293314754956</v>
      </c>
      <c r="B147" s="53" t="n">
        <f aca="false">IF(A147&gt;0,MIN('3. Assumptions'!$B$16,'3. Assumptions'!$B$13*(A147/'3. Assumptions'!$B$15)^'3. Assumptions'!$B$14),0)</f>
        <v>0.0498152012362544</v>
      </c>
      <c r="C147" s="34" t="n">
        <f aca="false">(1-'3. Assumptions'!$B$12-B147)*(1-'3. Assumptions'!$B$12)^('3. Assumptions'!$B$8-1)</f>
        <v>0.626424876022633</v>
      </c>
      <c r="D147" s="34" t="n">
        <f aca="false">1+(1-'3. Assumptions'!$B$12-B147)*(1-(1-'3. Assumptions'!$B$12)^('3. Assumptions'!$B$8-1))/'3. Assumptions'!$B$12</f>
        <v>4.86857026678364</v>
      </c>
      <c r="E147" s="34" t="n">
        <f aca="false">(1-'3. Assumptions'!$B$11)*(1-'3. Assumptions'!$B$12)^('3. Assumptions'!$B$7-1)</f>
        <v>0.690273454655712</v>
      </c>
      <c r="F147" s="34" t="n">
        <f aca="false">1+(1-'3. Assumptions'!$B$11)*(1-(1-'3. Assumptions'!$B$12)^('3. Assumptions'!$B$7-1))/'3. Assumptions'!$B$12</f>
        <v>4.28912098262087</v>
      </c>
      <c r="G147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7" s="34" t="n">
        <f aca="false">IF(A147&lt;=0,0,MAX(0,ROUNDUP(LN('3. Assumptions'!$B$10)/LN(1+A147)-0.000000000001,0)-1))</f>
        <v>4</v>
      </c>
      <c r="I147" s="34" t="n">
        <f aca="false">IF(A147&lt;=0,1/(1-C147),(1+A147)*(1-(C147*(1+A147))^H147)/(1-C147*(1+A147))+'3. Assumptions'!$B$10*C147^H147/(1-C147))</f>
        <v>3.41453130692647</v>
      </c>
      <c r="J147" s="45" t="n">
        <f aca="false">F147+E147*D147/(1-C147)</f>
        <v>13.2850219449409</v>
      </c>
      <c r="K147" s="34" t="n">
        <f aca="false">F147-G147+E147*D147*I147</f>
        <v>14.87957099963</v>
      </c>
      <c r="L147" s="45" t="n">
        <f aca="false">'3. Assumptions'!$B$17*'2. The tape'!$B$11/J147</f>
        <v>35.3510895161783</v>
      </c>
      <c r="M147" s="31" t="n">
        <f aca="false">L147*'2. The tape'!$B$15*'2. The tape'!$D$11*K147</f>
        <v>1008897.83250873</v>
      </c>
      <c r="N147" s="31" t="n">
        <f aca="false">M147*(1+'3. Assumptions'!$B$19+'3. Assumptions'!$B$20+'3. Assumptions'!$B$22)</f>
        <v>1115841.00275466</v>
      </c>
      <c r="O147" s="31" t="n">
        <f aca="false">'6. Income and costs'!$B$39+'3. Assumptions'!$B$31*L147*12+M147*('3. Assumptions'!$B$20*(1-'3. Assumptions'!$B$21)+'3. Assumptions'!$B$33)+N147*('3. Assumptions'!$B$26+'3. Assumptions'!$B$32)</f>
        <v>590035.623536254</v>
      </c>
      <c r="P147" s="31" t="n">
        <f aca="false">N147-O147</f>
        <v>525805.379218404</v>
      </c>
    </row>
    <row r="148" customFormat="false" ht="15" hidden="false" customHeight="false" outlineLevel="0" collapsed="false">
      <c r="A148" s="53" t="n">
        <f aca="false">'3. Assumptions'!$B$10^(1/6)-1</f>
        <v>0.0837251922653912</v>
      </c>
      <c r="B148" s="53" t="n">
        <f aca="false">IF(A148&gt;0,MIN('3. Assumptions'!$B$16,'3. Assumptions'!$B$13*(A148/'3. Assumptions'!$B$15)^'3. Assumptions'!$B$14),0)</f>
        <v>0.0315371742327758</v>
      </c>
      <c r="C148" s="34" t="n">
        <f aca="false">(1-'3. Assumptions'!$B$12-B148)*(1-'3. Assumptions'!$B$12)^('3. Assumptions'!$B$8-1)</f>
        <v>0.639381770625336</v>
      </c>
      <c r="D148" s="34" t="n">
        <f aca="false">1+(1-'3. Assumptions'!$B$12-B148)*(1-(1-'3. Assumptions'!$B$12)^('3. Assumptions'!$B$8-1))/'3. Assumptions'!$B$12</f>
        <v>4.94858729536674</v>
      </c>
      <c r="E148" s="34" t="n">
        <f aca="false">(1-'3. Assumptions'!$B$11)*(1-'3. Assumptions'!$B$12)^('3. Assumptions'!$B$7-1)</f>
        <v>0.690273454655712</v>
      </c>
      <c r="F148" s="34" t="n">
        <f aca="false">1+(1-'3. Assumptions'!$B$11)*(1-(1-'3. Assumptions'!$B$12)^('3. Assumptions'!$B$7-1))/'3. Assumptions'!$B$12</f>
        <v>4.28912098262087</v>
      </c>
      <c r="G148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8" s="34" t="n">
        <f aca="false">IF(A148&lt;=0,0,MAX(0,ROUNDUP(LN('3. Assumptions'!$B$10)/LN(1+A148)-0.000000000001,0)-1))</f>
        <v>5</v>
      </c>
      <c r="I148" s="34" t="n">
        <f aca="false">IF(A148&lt;=0,1/(1-C148),(1+A148)*(1-(C148*(1+A148))^H148)/(1-C148*(1+A148))+'3. Assumptions'!$B$10*C148^H148/(1-C148))</f>
        <v>3.44538173744891</v>
      </c>
      <c r="J148" s="45" t="n">
        <f aca="false">F148+E148*D148/(1-C148)</f>
        <v>13.761405436908</v>
      </c>
      <c r="K148" s="34" t="n">
        <f aca="false">F148-G148+E148*D148*I148</f>
        <v>15.1735492817599</v>
      </c>
      <c r="L148" s="45" t="n">
        <f aca="false">'3. Assumptions'!$B$17*'2. The tape'!$B$11/J148</f>
        <v>34.1273282117268</v>
      </c>
      <c r="M148" s="31" t="n">
        <f aca="false">L148*'2. The tape'!$B$15*'2. The tape'!$D$11*K148</f>
        <v>993215.399395391</v>
      </c>
      <c r="N148" s="31" t="n">
        <f aca="false">M148*(1+'3. Assumptions'!$B$19+'3. Assumptions'!$B$20+'3. Assumptions'!$B$22)</f>
        <v>1098496.2317313</v>
      </c>
      <c r="O148" s="31" t="n">
        <f aca="false">'6. Income and costs'!$B$39+'3. Assumptions'!$B$31*L148*12+M148*('3. Assumptions'!$B$20*(1-'3. Assumptions'!$B$21)+'3. Assumptions'!$B$33)+N148*('3. Assumptions'!$B$26+'3. Assumptions'!$B$32)</f>
        <v>586493.977008014</v>
      </c>
      <c r="P148" s="31" t="n">
        <f aca="false">N148-O148</f>
        <v>512002.254723288</v>
      </c>
    </row>
    <row r="149" customFormat="false" ht="15" hidden="false" customHeight="false" outlineLevel="0" collapsed="false">
      <c r="A149" s="53" t="n">
        <f aca="false">'3. Assumptions'!$B$10^(1/7)-1</f>
        <v>0.0713483778230704</v>
      </c>
      <c r="B149" s="53" t="n">
        <f aca="false">IF(A149&gt;0,MIN('3. Assumptions'!$B$16,'3. Assumptions'!$B$13*(A149/'3. Assumptions'!$B$15)^'3. Assumptions'!$B$14),0)</f>
        <v>0.0214827491479765</v>
      </c>
      <c r="C149" s="34" t="n">
        <f aca="false">(1-'3. Assumptions'!$B$12-B149)*(1-'3. Assumptions'!$B$12)^('3. Assumptions'!$B$8-1)</f>
        <v>0.64650913322797</v>
      </c>
      <c r="D149" s="34" t="n">
        <f aca="false">1+(1-'3. Assumptions'!$B$12-B149)*(1-(1-'3. Assumptions'!$B$12)^('3. Assumptions'!$B$8-1))/'3. Assumptions'!$B$12</f>
        <v>4.99260327254217</v>
      </c>
      <c r="E149" s="34" t="n">
        <f aca="false">(1-'3. Assumptions'!$B$11)*(1-'3. Assumptions'!$B$12)^('3. Assumptions'!$B$7-1)</f>
        <v>0.690273454655712</v>
      </c>
      <c r="F149" s="34" t="n">
        <f aca="false">1+(1-'3. Assumptions'!$B$11)*(1-(1-'3. Assumptions'!$B$12)^('3. Assumptions'!$B$7-1))/'3. Assumptions'!$B$12</f>
        <v>4.28912098262087</v>
      </c>
      <c r="G149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49" s="34" t="n">
        <f aca="false">IF(A149&lt;=0,0,MAX(0,ROUNDUP(LN('3. Assumptions'!$B$10)/LN(1+A149)-0.000000000001,0)-1))</f>
        <v>6</v>
      </c>
      <c r="I149" s="34" t="n">
        <f aca="false">IF(A149&lt;=0,1/(1-C149),(1+A149)*(1-(C149*(1+A149))^H149)/(1-C149*(1+A149))+'3. Assumptions'!$B$10*C149^H149/(1-C149))</f>
        <v>3.43538547418966</v>
      </c>
      <c r="J149" s="45" t="n">
        <f aca="false">F149+E149*D149/(1-C149)</f>
        <v>14.038344605096</v>
      </c>
      <c r="K149" s="34" t="n">
        <f aca="false">F149-G149+E149*D149*I149</f>
        <v>15.2437807866641</v>
      </c>
      <c r="L149" s="45" t="n">
        <f aca="false">'3. Assumptions'!$B$17*'2. The tape'!$B$11/J149</f>
        <v>33.454086874995</v>
      </c>
      <c r="M149" s="31" t="n">
        <f aca="false">L149*'2. The tape'!$B$15*'2. The tape'!$D$11*K149</f>
        <v>978128.359514495</v>
      </c>
      <c r="N149" s="31" t="n">
        <f aca="false">M149*(1+'3. Assumptions'!$B$19+'3. Assumptions'!$B$20+'3. Assumptions'!$B$22)</f>
        <v>1081809.96562303</v>
      </c>
      <c r="O149" s="31" t="n">
        <f aca="false">'6. Income and costs'!$B$39+'3. Assumptions'!$B$31*L149*12+M149*('3. Assumptions'!$B$20*(1-'3. Assumptions'!$B$21)+'3. Assumptions'!$B$33)+N149*('3. Assumptions'!$B$26+'3. Assumptions'!$B$32)</f>
        <v>583850.356362713</v>
      </c>
      <c r="P149" s="31" t="n">
        <f aca="false">N149-O149</f>
        <v>497959.609260318</v>
      </c>
    </row>
    <row r="150" customFormat="false" ht="15" hidden="false" customHeight="false" outlineLevel="0" collapsed="false">
      <c r="A150" s="53" t="n">
        <f aca="false">'3. Assumptions'!$B$10^(1/8)-1</f>
        <v>0.062158617121717</v>
      </c>
      <c r="B150" s="53" t="n">
        <f aca="false">IF(A150&gt;0,MIN('3. Assumptions'!$B$16,'3. Assumptions'!$B$13*(A150/'3. Assumptions'!$B$15)^'3. Assumptions'!$B$14),0)</f>
        <v>0.015430188599228</v>
      </c>
      <c r="C150" s="34" t="n">
        <f aca="false">(1-'3. Assumptions'!$B$12-B150)*(1-'3. Assumptions'!$B$12)^('3. Assumptions'!$B$8-1)</f>
        <v>0.650799661362745</v>
      </c>
      <c r="D150" s="34" t="n">
        <f aca="false">1+(1-'3. Assumptions'!$B$12-B150)*(1-(1-'3. Assumptions'!$B$12)^('3. Assumptions'!$B$8-1))/'3. Assumptions'!$B$12</f>
        <v>5.01910000057183</v>
      </c>
      <c r="E150" s="34" t="n">
        <f aca="false">(1-'3. Assumptions'!$B$11)*(1-'3. Assumptions'!$B$12)^('3. Assumptions'!$B$7-1)</f>
        <v>0.690273454655712</v>
      </c>
      <c r="F150" s="34" t="n">
        <f aca="false">1+(1-'3. Assumptions'!$B$11)*(1-(1-'3. Assumptions'!$B$12)^('3. Assumptions'!$B$7-1))/'3. Assumptions'!$B$12</f>
        <v>4.28912098262087</v>
      </c>
      <c r="G150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50" s="34" t="n">
        <f aca="false">IF(A150&lt;=0,0,MAX(0,ROUNDUP(LN('3. Assumptions'!$B$10)/LN(1+A150)-0.000000000001,0)-1))</f>
        <v>7</v>
      </c>
      <c r="I150" s="34" t="n">
        <f aca="false">IF(A150&lt;=0,1/(1-C150),(1+A150)*(1-(C150*(1+A150))^H150)/(1-C150*(1+A150))+'3. Assumptions'!$B$10*C150^H150/(1-C150))</f>
        <v>3.41016235470608</v>
      </c>
      <c r="J150" s="45" t="n">
        <f aca="false">F150+E150*D150/(1-C150)</f>
        <v>14.2105073998779</v>
      </c>
      <c r="K150" s="34" t="n">
        <f aca="false">F150-G150+E150*D150*I150</f>
        <v>15.219227149385</v>
      </c>
      <c r="L150" s="45" t="n">
        <f aca="false">'3. Assumptions'!$B$17*'2. The tape'!$B$11/J150</f>
        <v>33.0487847326294</v>
      </c>
      <c r="M150" s="31" t="n">
        <f aca="false">L150*'2. The tape'!$B$15*'2. The tape'!$D$11*K150</f>
        <v>964721.747888301</v>
      </c>
      <c r="N150" s="31" t="n">
        <f aca="false">M150*(1+'3. Assumptions'!$B$19+'3. Assumptions'!$B$20+'3. Assumptions'!$B$22)</f>
        <v>1066982.25316446</v>
      </c>
      <c r="O150" s="31" t="n">
        <f aca="false">'6. Income and costs'!$B$39+'3. Assumptions'!$B$31*L150*12+M150*('3. Assumptions'!$B$20*(1-'3. Assumptions'!$B$21)+'3. Assumptions'!$B$33)+N150*('3. Assumptions'!$B$26+'3. Assumptions'!$B$32)</f>
        <v>581793.478147664</v>
      </c>
      <c r="P150" s="31" t="n">
        <f aca="false">N150-O150</f>
        <v>485188.775016797</v>
      </c>
    </row>
    <row r="151" customFormat="false" ht="15" hidden="false" customHeight="false" outlineLevel="0" collapsed="false">
      <c r="A151" s="53" t="n">
        <f aca="false">'3. Assumptions'!$B$10^(1/9)-1</f>
        <v>0.0550655582002784</v>
      </c>
      <c r="B151" s="53" t="n">
        <f aca="false">IF(A151&gt;0,MIN('3. Assumptions'!$B$16,'3. Assumptions'!$B$13*(A151/'3. Assumptions'!$B$15)^'3. Assumptions'!$B$14),0)</f>
        <v>0.0115366606870276</v>
      </c>
      <c r="C151" s="34" t="n">
        <f aca="false">(1-'3. Assumptions'!$B$12-B151)*(1-'3. Assumptions'!$B$12)^('3. Assumptions'!$B$8-1)</f>
        <v>0.653559698361348</v>
      </c>
      <c r="D151" s="34" t="n">
        <f aca="false">1+(1-'3. Assumptions'!$B$12-B151)*(1-(1-'3. Assumptions'!$B$12)^('3. Assumptions'!$B$8-1))/'3. Assumptions'!$B$12</f>
        <v>5.03614497671616</v>
      </c>
      <c r="E151" s="34" t="n">
        <f aca="false">(1-'3. Assumptions'!$B$11)*(1-'3. Assumptions'!$B$12)^('3. Assumptions'!$B$7-1)</f>
        <v>0.690273454655712</v>
      </c>
      <c r="F151" s="34" t="n">
        <f aca="false">1+(1-'3. Assumptions'!$B$11)*(1-(1-'3. Assumptions'!$B$12)^('3. Assumptions'!$B$7-1))/'3. Assumptions'!$B$12</f>
        <v>4.28912098262087</v>
      </c>
      <c r="G151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51" s="34" t="n">
        <f aca="false">IF(A151&lt;=0,0,MAX(0,ROUNDUP(LN('3. Assumptions'!$B$10)/LN(1+A151)-0.000000000001,0)-1))</f>
        <v>8</v>
      </c>
      <c r="I151" s="34" t="n">
        <f aca="false">IF(A151&lt;=0,1/(1-C151),(1+A151)*(1-(C151*(1+A151))^H151)/(1-C151*(1+A151))+'3. Assumptions'!$B$10*C151^H151/(1-C151))</f>
        <v>3.38044136932457</v>
      </c>
      <c r="J151" s="45" t="n">
        <f aca="false">F151+E151*D151/(1-C151)</f>
        <v>14.3235112506757</v>
      </c>
      <c r="K151" s="34" t="n">
        <f aca="false">F151-G151+E151*D151*I151</f>
        <v>15.1560305056547</v>
      </c>
      <c r="L151" s="45" t="n">
        <f aca="false">'3. Assumptions'!$B$17*'2. The tape'!$B$11/J151</f>
        <v>32.7880497861755</v>
      </c>
      <c r="M151" s="31" t="n">
        <f aca="false">L151*'2. The tape'!$B$15*'2. The tape'!$D$11*K151</f>
        <v>953136.349290323</v>
      </c>
      <c r="N151" s="31" t="n">
        <f aca="false">M151*(1+'3. Assumptions'!$B$19+'3. Assumptions'!$B$20+'3. Assumptions'!$B$22)</f>
        <v>1054168.8023151</v>
      </c>
      <c r="O151" s="31" t="n">
        <f aca="false">'6. Income and costs'!$B$39+'3. Assumptions'!$B$31*L151*12+M151*('3. Assumptions'!$B$20*(1-'3. Assumptions'!$B$21)+'3. Assumptions'!$B$33)+N151*('3. Assumptions'!$B$26+'3. Assumptions'!$B$32)</f>
        <v>580151.606702583</v>
      </c>
      <c r="P151" s="31" t="n">
        <f aca="false">N151-O151</f>
        <v>474017.195612514</v>
      </c>
    </row>
    <row r="152" customFormat="false" ht="15" hidden="false" customHeight="false" outlineLevel="0" collapsed="false">
      <c r="A152" s="53" t="n">
        <f aca="false">'3. Assumptions'!$B$10^(1/10)-1</f>
        <v>0.0494252306643652</v>
      </c>
      <c r="B152" s="53" t="n">
        <f aca="false">IF(A152&gt;0,MIN('3. Assumptions'!$B$16,'3. Assumptions'!$B$13*(A152/'3. Assumptions'!$B$15)^'3. Assumptions'!$B$14),0)</f>
        <v>0.0089011250123841</v>
      </c>
      <c r="C152" s="34" t="n">
        <f aca="false">(1-'3. Assumptions'!$B$12-B152)*(1-'3. Assumptions'!$B$12)^('3. Assumptions'!$B$8-1)</f>
        <v>0.655427972106185</v>
      </c>
      <c r="D152" s="34" t="n">
        <f aca="false">1+(1-'3. Assumptions'!$B$12-B152)*(1-(1-'3. Assumptions'!$B$12)^('3. Assumptions'!$B$8-1))/'3. Assumptions'!$B$12</f>
        <v>5.04768275009671</v>
      </c>
      <c r="E152" s="34" t="n">
        <f aca="false">(1-'3. Assumptions'!$B$11)*(1-'3. Assumptions'!$B$12)^('3. Assumptions'!$B$7-1)</f>
        <v>0.690273454655712</v>
      </c>
      <c r="F152" s="34" t="n">
        <f aca="false">1+(1-'3. Assumptions'!$B$11)*(1-(1-'3. Assumptions'!$B$12)^('3. Assumptions'!$B$7-1))/'3. Assumptions'!$B$12</f>
        <v>4.28912098262087</v>
      </c>
      <c r="G152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52" s="34" t="n">
        <f aca="false">IF(A152&lt;=0,0,MAX(0,ROUNDUP(LN('3. Assumptions'!$B$10)/LN(1+A152)-0.000000000001,0)-1))</f>
        <v>9</v>
      </c>
      <c r="I152" s="34" t="n">
        <f aca="false">IF(A152&lt;=0,1/(1-C152),(1+A152)*(1-(C152*(1+A152))^H152)/(1-C152*(1+A152))+'3. Assumptions'!$B$10*C152^H152/(1-C152))</f>
        <v>3.35074146006942</v>
      </c>
      <c r="J152" s="45" t="n">
        <f aca="false">F152+E152*D152/(1-C152)</f>
        <v>14.401031201256</v>
      </c>
      <c r="K152" s="34" t="n">
        <f aca="false">F152-G152+E152*D152*I152</f>
        <v>15.0794702382963</v>
      </c>
      <c r="L152" s="45" t="n">
        <f aca="false">'3. Assumptions'!$B$17*'2. The tape'!$B$11/J152</f>
        <v>32.6115535364606</v>
      </c>
      <c r="M152" s="31" t="n">
        <f aca="false">L152*'2. The tape'!$B$15*'2. The tape'!$D$11*K152</f>
        <v>943216.844973997</v>
      </c>
      <c r="N152" s="31" t="n">
        <f aca="false">M152*(1+'3. Assumptions'!$B$19+'3. Assumptions'!$B$20+'3. Assumptions'!$B$22)</f>
        <v>1043197.83054124</v>
      </c>
      <c r="O152" s="31" t="n">
        <f aca="false">'6. Income and costs'!$B$39+'3. Assumptions'!$B$31*L152*12+M152*('3. Assumptions'!$B$20*(1-'3. Assumptions'!$B$21)+'3. Assumptions'!$B$33)+N152*('3. Assumptions'!$B$26+'3. Assumptions'!$B$32)</f>
        <v>578816.637970276</v>
      </c>
      <c r="P152" s="31" t="n">
        <f aca="false">N152-O152</f>
        <v>464381.192570964</v>
      </c>
    </row>
    <row r="153" customFormat="false" ht="15" hidden="false" customHeight="false" outlineLevel="0" collapsed="false">
      <c r="A153" s="53" t="n">
        <f aca="false">'3. Assumptions'!$B$10^(1/11)-1</f>
        <v>0.0448328522867396</v>
      </c>
      <c r="B153" s="53" t="n">
        <f aca="false">IF(A153&gt;0,MIN('3. Assumptions'!$B$16,'3. Assumptions'!$B$13*(A153/'3. Assumptions'!$B$15)^'3. Assumptions'!$B$14),0)</f>
        <v>0.00704367479419685</v>
      </c>
      <c r="C153" s="34" t="n">
        <f aca="false">(1-'3. Assumptions'!$B$12-B153)*(1-'3. Assumptions'!$B$12)^('3. Assumptions'!$B$8-1)</f>
        <v>0.656744678045083</v>
      </c>
      <c r="D153" s="34" t="n">
        <f aca="false">1+(1-'3. Assumptions'!$B$12-B153)*(1-(1-'3. Assumptions'!$B$12)^('3. Assumptions'!$B$8-1))/'3. Assumptions'!$B$12</f>
        <v>5.05581424301835</v>
      </c>
      <c r="E153" s="34" t="n">
        <f aca="false">(1-'3. Assumptions'!$B$11)*(1-'3. Assumptions'!$B$12)^('3. Assumptions'!$B$7-1)</f>
        <v>0.690273454655712</v>
      </c>
      <c r="F153" s="34" t="n">
        <f aca="false">1+(1-'3. Assumptions'!$B$11)*(1-(1-'3. Assumptions'!$B$12)^('3. Assumptions'!$B$7-1))/'3. Assumptions'!$B$12</f>
        <v>4.28912098262087</v>
      </c>
      <c r="G153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53" s="34" t="n">
        <f aca="false">IF(A153&lt;=0,0,MAX(0,ROUNDUP(LN('3. Assumptions'!$B$10)/LN(1+A153)-0.000000000001,0)-1))</f>
        <v>10</v>
      </c>
      <c r="I153" s="34" t="n">
        <f aca="false">IF(A153&lt;=0,1/(1-C153),(1+A153)*(1-(C153*(1+A153))^H153)/(1-C153*(1+A153))+'3. Assumptions'!$B$10*C153^H153/(1-C153))</f>
        <v>3.32288123103829</v>
      </c>
      <c r="J153" s="45" t="n">
        <f aca="false">F153+E153*D153/(1-C153)</f>
        <v>14.4561719805488</v>
      </c>
      <c r="K153" s="34" t="n">
        <f aca="false">F153-G153+E153*D153*I153</f>
        <v>15.0010485387426</v>
      </c>
      <c r="L153" s="45" t="n">
        <f aca="false">'3. Assumptions'!$B$17*'2. The tape'!$B$11/J153</f>
        <v>32.4871619286152</v>
      </c>
      <c r="M153" s="31" t="n">
        <f aca="false">L153*'2. The tape'!$B$15*'2. The tape'!$D$11*K153</f>
        <v>934732.547565592</v>
      </c>
      <c r="N153" s="31" t="n">
        <f aca="false">M153*(1+'3. Assumptions'!$B$19+'3. Assumptions'!$B$20+'3. Assumptions'!$B$22)</f>
        <v>1033814.19760754</v>
      </c>
      <c r="O153" s="31" t="n">
        <f aca="false">'6. Income and costs'!$B$39+'3. Assumptions'!$B$31*L153*12+M153*('3. Assumptions'!$B$20*(1-'3. Assumptions'!$B$21)+'3. Assumptions'!$B$33)+N153*('3. Assumptions'!$B$26+'3. Assumptions'!$B$32)</f>
        <v>577715.066052637</v>
      </c>
      <c r="P153" s="31" t="n">
        <f aca="false">N153-O153</f>
        <v>456099.131554907</v>
      </c>
    </row>
    <row r="154" customFormat="false" ht="15" hidden="false" customHeight="false" outlineLevel="0" collapsed="false">
      <c r="A154" s="53" t="n">
        <f aca="false">'3. Assumptions'!$B$10^(1/12)-1</f>
        <v>0.0410212256555538</v>
      </c>
      <c r="B154" s="53" t="n">
        <f aca="false">IF(A154&gt;0,MIN('3. Assumptions'!$B$16,'3. Assumptions'!$B$13*(A154/'3. Assumptions'!$B$15)^'3. Assumptions'!$B$14),0)</f>
        <v>0.00569100184725295</v>
      </c>
      <c r="C154" s="34" t="n">
        <f aca="false">(1-'3. Assumptions'!$B$12-B154)*(1-'3. Assumptions'!$B$12)^('3. Assumptions'!$B$8-1)</f>
        <v>0.657703558388248</v>
      </c>
      <c r="D154" s="34" t="n">
        <f aca="false">1+(1-'3. Assumptions'!$B$12-B154)*(1-(1-'3. Assumptions'!$B$12)^('3. Assumptions'!$B$8-1))/'3. Assumptions'!$B$12</f>
        <v>5.06173593630826</v>
      </c>
      <c r="E154" s="34" t="n">
        <f aca="false">(1-'3. Assumptions'!$B$11)*(1-'3. Assumptions'!$B$12)^('3. Assumptions'!$B$7-1)</f>
        <v>0.690273454655712</v>
      </c>
      <c r="F154" s="34" t="n">
        <f aca="false">1+(1-'3. Assumptions'!$B$11)*(1-(1-'3. Assumptions'!$B$12)^('3. Assumptions'!$B$7-1))/'3. Assumptions'!$B$12</f>
        <v>4.28912098262087</v>
      </c>
      <c r="G154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54" s="34" t="n">
        <f aca="false">IF(A154&lt;=0,0,MAX(0,ROUNDUP(LN('3. Assumptions'!$B$10)/LN(1+A154)-0.000000000001,0)-1))</f>
        <v>11</v>
      </c>
      <c r="I154" s="34" t="n">
        <f aca="false">IF(A154&lt;=0,1/(1-C154),(1+A154)*(1-(C154*(1+A154))^H154)/(1-C154*(1+A154))+'3. Assumptions'!$B$10*C154^H154/(1-C154))</f>
        <v>3.29747662793295</v>
      </c>
      <c r="J154" s="45" t="n">
        <f aca="false">F154+E154*D154/(1-C154)</f>
        <v>14.4965947584467</v>
      </c>
      <c r="K154" s="34" t="n">
        <f aca="false">F154-G154+E154*D154*I154</f>
        <v>14.9258678824098</v>
      </c>
      <c r="L154" s="45" t="n">
        <f aca="false">'3. Assumptions'!$B$17*'2. The tape'!$B$11/J154</f>
        <v>32.3965736661263</v>
      </c>
      <c r="M154" s="31" t="n">
        <f aca="false">L154*'2. The tape'!$B$15*'2. The tape'!$D$11*K154</f>
        <v>927454.578535375</v>
      </c>
      <c r="N154" s="31" t="n">
        <f aca="false">M154*(1+'3. Assumptions'!$B$19+'3. Assumptions'!$B$20+'3. Assumptions'!$B$22)</f>
        <v>1025764.76386013</v>
      </c>
      <c r="O154" s="31" t="n">
        <f aca="false">'6. Income and costs'!$B$39+'3. Assumptions'!$B$31*L154*12+M154*('3. Assumptions'!$B$20*(1-'3. Assumptions'!$B$21)+'3. Assumptions'!$B$33)+N154*('3. Assumptions'!$B$26+'3. Assumptions'!$B$32)</f>
        <v>576794.534042842</v>
      </c>
      <c r="P154" s="31" t="n">
        <f aca="false">N154-O154</f>
        <v>448970.229817283</v>
      </c>
    </row>
    <row r="155" customFormat="false" ht="15" hidden="false" customHeight="false" outlineLevel="0" collapsed="false">
      <c r="A155" s="53" t="n">
        <f aca="false">IF(OR(MATCH(MAX(P22:P142),P22:P142,0)=1,MATCH(MAX(P22:P142),P22:P142,0)=121),INDEX(A22:A142,MATCH(MAX(P22:P142),P22:P142,0)),INDEX(A22:A142,MATCH(MAX(P22:P142),P22:P142,0))-0.0025/2*(INDEX(P22:P142,MATCH(MAX(P22:P142),P22:P142,0)+1)-INDEX(P22:P142,MATCH(MAX(P22:P142),P22:P142,0)-1))/(INDEX(P22:P142,MATCH(MAX(P22:P142),P22:P142,0)+1)-2*INDEX(P22:P142,MATCH(MAX(P22:P142),P22:P142,0))+INDEX(P22:P142,MATCH(MAX(P22:P142),P22:P142,0)-1)))</f>
        <v>0.128205496623354</v>
      </c>
      <c r="B155" s="53" t="n">
        <f aca="false">IF(A155&gt;0,MIN('3. Assumptions'!$B$16,'3. Assumptions'!$B$13*(A155/'3. Assumptions'!$B$15)^'3. Assumptions'!$B$14),0)</f>
        <v>0.0876887658511875</v>
      </c>
      <c r="C155" s="34" t="n">
        <f aca="false">(1-'3. Assumptions'!$B$12-B155)*(1-'3. Assumptions'!$B$12)^('3. Assumptions'!$B$8-1)</f>
        <v>0.599577132289081</v>
      </c>
      <c r="D155" s="34" t="n">
        <f aca="false">1+(1-'3. Assumptions'!$B$12-B155)*(1-(1-'3. Assumptions'!$B$12)^('3. Assumptions'!$B$8-1))/'3. Assumptions'!$B$12</f>
        <v>4.70276844901851</v>
      </c>
      <c r="E155" s="34" t="n">
        <f aca="false">(1-'3. Assumptions'!$B$11)*(1-'3. Assumptions'!$B$12)^('3. Assumptions'!$B$7-1)</f>
        <v>0.690273454655712</v>
      </c>
      <c r="F155" s="34" t="n">
        <f aca="false">1+(1-'3. Assumptions'!$B$11)*(1-(1-'3. Assumptions'!$B$12)^('3. Assumptions'!$B$7-1))/'3. Assumptions'!$B$12</f>
        <v>4.28912098262087</v>
      </c>
      <c r="G155" s="34" t="n">
        <f aca="false">(1-(1-'3. Assumptions'!$B$5*MIN(1,('3. Assumptions'!$B$6/(52/12)))))+(1-(1-'3. Assumptions'!$B$5*MAX(0,MIN(1,('3. Assumptions'!$B$6/(52/12))-1))))*(1-'3. Assumptions'!$B$11)+(1-(1-'3. Assumptions'!$B$5*MAX(0,MIN(1,('3. Assumptions'!$B$6/(52/12))-2))))*(1-'3. Assumptions'!$B$11)*(1-'3. Assumptions'!$B$12)</f>
        <v>0.884576923076923</v>
      </c>
      <c r="H155" s="34" t="n">
        <f aca="false">IF(A155&lt;=0,0,MAX(0,ROUNDUP(LN('3. Assumptions'!$B$10)/LN(1+A155)-0.000000000001,0)-1))</f>
        <v>3</v>
      </c>
      <c r="I155" s="34" t="n">
        <f aca="false">IF(A155&lt;=0,1/(1-C155),(1+A155)*(1-(C155*(1+A155))^H155)/(1-C155*(1+A155))+'3. Assumptions'!$B$10*C155^H155/(1-C155))</f>
        <v>3.27964932129047</v>
      </c>
      <c r="J155" s="45" t="n">
        <f aca="false">F155+E155*D155/(1-C155)</f>
        <v>12.3960411550558</v>
      </c>
      <c r="K155" s="34" t="n">
        <f aca="false">F155-G155+E155*D155*I155</f>
        <v>14.050929301541</v>
      </c>
      <c r="L155" s="45" t="n">
        <f aca="false">'3. Assumptions'!$B$17*'2. The tape'!$B$11/J155</f>
        <v>37.8862891890653</v>
      </c>
      <c r="M155" s="31" t="n">
        <f aca="false">L155*'2. The tape'!$B$15*'2. The tape'!$D$11*K155</f>
        <v>1021036.09271231</v>
      </c>
      <c r="N155" s="31" t="n">
        <f aca="false">M155*(1+'3. Assumptions'!$B$19+'3. Assumptions'!$B$20+'3. Assumptions'!$B$22)</f>
        <v>1129265.91853981</v>
      </c>
      <c r="O155" s="31" t="n">
        <f aca="false">'6. Income and costs'!$B$39+'3. Assumptions'!$B$31*L155*12+M155*('3. Assumptions'!$B$20*(1-'3. Assumptions'!$B$21)+'3. Assumptions'!$B$33)+N155*('3. Assumptions'!$B$26+'3. Assumptions'!$B$32)</f>
        <v>595182.430725386</v>
      </c>
      <c r="P155" s="31" t="n">
        <f aca="false">N155-O155</f>
        <v>534083.487814426</v>
      </c>
    </row>
    <row r="157" customFormat="false" ht="15" hidden="false" customHeight="false" outlineLevel="0" collapsed="false">
      <c r="A157" s="14" t="s">
        <v>372</v>
      </c>
      <c r="B157" s="38" t="n">
        <f aca="false">INDEX(A22:A155,MATCH(MAX(P22:P155),P22:P155,0))</f>
        <v>0.128180927925918</v>
      </c>
    </row>
    <row r="158" customFormat="false" ht="15" hidden="false" customHeight="false" outlineLevel="0" collapsed="false">
      <c r="A158" s="14" t="s">
        <v>362</v>
      </c>
      <c r="B158" s="12" t="n">
        <f aca="false">MAX(P22:P155)</f>
        <v>534086.592374851</v>
      </c>
    </row>
    <row r="159" customFormat="false" ht="15" hidden="false" customHeight="false" outlineLevel="0" collapsed="false">
      <c r="A159" s="14" t="s">
        <v>373</v>
      </c>
      <c r="B159" s="33" t="n">
        <f aca="false">INDEX(J22:J155,MATCH(MAX(P22:P155),P22:P155,0))</f>
        <v>12.3969242729843</v>
      </c>
    </row>
    <row r="160" customFormat="false" ht="15" hidden="false" customHeight="false" outlineLevel="0" collapsed="false">
      <c r="A160" s="14" t="s">
        <v>374</v>
      </c>
      <c r="B160" s="0" t="str">
        <f aca="false">IF(AND(MATCH(MAX(P22:P142),P22:P142,0)&gt;1,MATCH(MAX(P22:P142),P22:P142,0)&lt;121),"yes","no — widen the range")</f>
        <v>yes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2026-08-26T15:48:01Z</dcterms:created>
  <dc:creator>openpyxl</dc:creator>
  <dc:description/>
  <dc:language>en-US</dc:language>
  <cp:lastModifiedBy/>
  <dcterms:modified xsi:type="dcterms:W3CDTF">2026-09-23T23:34:11Z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